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iste\Documents\UEFA Rankings\2020-21\"/>
    </mc:Choice>
  </mc:AlternateContent>
  <xr:revisionPtr revIDLastSave="0" documentId="13_ncr:1_{38CEAAA9-4014-4CFD-B5AF-1602EC704FAD}" xr6:coauthVersionLast="47" xr6:coauthVersionMax="47" xr10:uidLastSave="{00000000-0000-0000-0000-000000000000}"/>
  <bookViews>
    <workbookView xWindow="2532" yWindow="2532" windowWidth="17280" windowHeight="8994" activeTab="1" xr2:uid="{00000000-000D-0000-FFFF-FFFF00000000}"/>
  </bookViews>
  <sheets>
    <sheet name="Round Bonuses" sheetId="1" r:id="rId1"/>
    <sheet name="Overall Rankings" sheetId="2" r:id="rId2"/>
    <sheet name="Country Rank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S110" i="2" l="1"/>
  <c r="Q111" i="3"/>
  <c r="P111" i="3"/>
  <c r="O111" i="3"/>
  <c r="N111" i="3"/>
  <c r="Q110" i="3"/>
  <c r="P110" i="3"/>
  <c r="U110" i="3" s="1"/>
  <c r="X56" i="3" s="1"/>
  <c r="O110" i="3"/>
  <c r="N110" i="3"/>
  <c r="R109" i="3"/>
  <c r="Q109" i="3"/>
  <c r="P109" i="3"/>
  <c r="O109" i="3"/>
  <c r="N109" i="3"/>
  <c r="V108" i="3"/>
  <c r="Y55" i="3" s="1"/>
  <c r="Z55" i="3" s="1"/>
  <c r="R108" i="3"/>
  <c r="U108" i="3" s="1"/>
  <c r="X55" i="3" s="1"/>
  <c r="Q108" i="3"/>
  <c r="P108" i="3"/>
  <c r="O108" i="3"/>
  <c r="N108" i="3"/>
  <c r="R107" i="3"/>
  <c r="V106" i="3" s="1"/>
  <c r="Y54" i="3" s="1"/>
  <c r="Z54" i="3" s="1"/>
  <c r="Q107" i="3"/>
  <c r="P107" i="3"/>
  <c r="O107" i="3"/>
  <c r="N107" i="3"/>
  <c r="R106" i="3"/>
  <c r="Q106" i="3"/>
  <c r="P106" i="3"/>
  <c r="O106" i="3"/>
  <c r="N106" i="3"/>
  <c r="U106" i="3" s="1"/>
  <c r="Q105" i="3"/>
  <c r="P105" i="3"/>
  <c r="O105" i="3"/>
  <c r="N105" i="3"/>
  <c r="V104" i="3" s="1"/>
  <c r="Q104" i="3"/>
  <c r="P104" i="3"/>
  <c r="O104" i="3"/>
  <c r="N104" i="3"/>
  <c r="U104" i="3" s="1"/>
  <c r="Q103" i="3"/>
  <c r="P103" i="3"/>
  <c r="O103" i="3"/>
  <c r="N103" i="3"/>
  <c r="V102" i="3" s="1"/>
  <c r="Q102" i="3"/>
  <c r="P102" i="3"/>
  <c r="O102" i="3"/>
  <c r="N102" i="3"/>
  <c r="T101" i="3"/>
  <c r="S101" i="3"/>
  <c r="R101" i="3"/>
  <c r="Q101" i="3"/>
  <c r="P101" i="3"/>
  <c r="O101" i="3"/>
  <c r="N101" i="3"/>
  <c r="T100" i="3"/>
  <c r="S100" i="3"/>
  <c r="R100" i="3"/>
  <c r="U100" i="3" s="1"/>
  <c r="Q100" i="3"/>
  <c r="P100" i="3"/>
  <c r="O100" i="3"/>
  <c r="N100" i="3"/>
  <c r="Q99" i="3"/>
  <c r="V98" i="3" s="1"/>
  <c r="P99" i="3"/>
  <c r="O99" i="3"/>
  <c r="N99" i="3"/>
  <c r="U98" i="3"/>
  <c r="Q98" i="3"/>
  <c r="P98" i="3"/>
  <c r="O98" i="3"/>
  <c r="N98" i="3"/>
  <c r="Q97" i="3"/>
  <c r="V96" i="3" s="1"/>
  <c r="P97" i="3"/>
  <c r="O97" i="3"/>
  <c r="N97" i="3"/>
  <c r="U96" i="3"/>
  <c r="X49" i="3" s="1"/>
  <c r="Q96" i="3"/>
  <c r="P96" i="3"/>
  <c r="O96" i="3"/>
  <c r="N96" i="3"/>
  <c r="Q95" i="3"/>
  <c r="V94" i="3" s="1"/>
  <c r="Y48" i="3" s="1"/>
  <c r="Z48" i="3" s="1"/>
  <c r="P95" i="3"/>
  <c r="O95" i="3"/>
  <c r="N95" i="3"/>
  <c r="U94" i="3"/>
  <c r="Q94" i="3"/>
  <c r="P94" i="3"/>
  <c r="O94" i="3"/>
  <c r="N94" i="3"/>
  <c r="Q93" i="3"/>
  <c r="V92" i="3" s="1"/>
  <c r="P93" i="3"/>
  <c r="O93" i="3"/>
  <c r="N93" i="3"/>
  <c r="U92" i="3"/>
  <c r="Q92" i="3"/>
  <c r="P92" i="3"/>
  <c r="O92" i="3"/>
  <c r="N92" i="3"/>
  <c r="P91" i="3"/>
  <c r="V90" i="3" s="1"/>
  <c r="O91" i="3"/>
  <c r="N91" i="3"/>
  <c r="P90" i="3"/>
  <c r="U90" i="3" s="1"/>
  <c r="O90" i="3"/>
  <c r="N90" i="3"/>
  <c r="S89" i="3"/>
  <c r="R89" i="3"/>
  <c r="Q89" i="3"/>
  <c r="V88" i="3" s="1"/>
  <c r="P89" i="3"/>
  <c r="O89" i="3"/>
  <c r="N89" i="3"/>
  <c r="S88" i="3"/>
  <c r="R88" i="3"/>
  <c r="Q88" i="3"/>
  <c r="P88" i="3"/>
  <c r="O88" i="3"/>
  <c r="N88" i="3"/>
  <c r="Q87" i="3"/>
  <c r="P87" i="3"/>
  <c r="O87" i="3"/>
  <c r="N87" i="3"/>
  <c r="V86" i="3" s="1"/>
  <c r="Q86" i="3"/>
  <c r="P86" i="3"/>
  <c r="O86" i="3"/>
  <c r="N86" i="3"/>
  <c r="U86" i="3" s="1"/>
  <c r="Q85" i="3"/>
  <c r="P85" i="3"/>
  <c r="O85" i="3"/>
  <c r="N85" i="3"/>
  <c r="V84" i="3" s="1"/>
  <c r="Y43" i="3" s="1"/>
  <c r="Q84" i="3"/>
  <c r="P84" i="3"/>
  <c r="O84" i="3"/>
  <c r="N84" i="3"/>
  <c r="U84" i="3" s="1"/>
  <c r="R83" i="3"/>
  <c r="Q83" i="3"/>
  <c r="P83" i="3"/>
  <c r="O83" i="3"/>
  <c r="N83" i="3"/>
  <c r="R82" i="3"/>
  <c r="Q82" i="3"/>
  <c r="P82" i="3"/>
  <c r="O82" i="3"/>
  <c r="N82" i="3"/>
  <c r="Q81" i="3"/>
  <c r="P81" i="3"/>
  <c r="O81" i="3"/>
  <c r="N81" i="3"/>
  <c r="V80" i="3" s="1"/>
  <c r="Q80" i="3"/>
  <c r="P80" i="3"/>
  <c r="O80" i="3"/>
  <c r="N80" i="3"/>
  <c r="Q79" i="3"/>
  <c r="P79" i="3"/>
  <c r="O79" i="3"/>
  <c r="N79" i="3"/>
  <c r="V78" i="3" s="1"/>
  <c r="Q78" i="3"/>
  <c r="P78" i="3"/>
  <c r="O78" i="3"/>
  <c r="N78" i="3"/>
  <c r="P77" i="3"/>
  <c r="O77" i="3"/>
  <c r="N77" i="3"/>
  <c r="V76" i="3" s="1"/>
  <c r="Y39" i="3" s="1"/>
  <c r="P76" i="3"/>
  <c r="O76" i="3"/>
  <c r="N76" i="3"/>
  <c r="Q75" i="3"/>
  <c r="P75" i="3"/>
  <c r="O75" i="3"/>
  <c r="N75" i="3"/>
  <c r="V74" i="3" s="1"/>
  <c r="Q74" i="3"/>
  <c r="P74" i="3"/>
  <c r="O74" i="3"/>
  <c r="N74" i="3"/>
  <c r="R73" i="3"/>
  <c r="Q73" i="3"/>
  <c r="P73" i="3"/>
  <c r="O73" i="3"/>
  <c r="N73" i="3"/>
  <c r="V72" i="3" s="1"/>
  <c r="Y37" i="3" s="1"/>
  <c r="Z37" i="3" s="1"/>
  <c r="R72" i="3"/>
  <c r="Q72" i="3"/>
  <c r="P72" i="3"/>
  <c r="O72" i="3"/>
  <c r="N72" i="3"/>
  <c r="U72" i="3" s="1"/>
  <c r="X37" i="3" s="1"/>
  <c r="Q71" i="3"/>
  <c r="P71" i="3"/>
  <c r="O71" i="3"/>
  <c r="N71" i="3"/>
  <c r="V70" i="3" s="1"/>
  <c r="Q70" i="3"/>
  <c r="P70" i="3"/>
  <c r="O70" i="3"/>
  <c r="N70" i="3"/>
  <c r="U70" i="3" s="1"/>
  <c r="X36" i="3" s="1"/>
  <c r="Q69" i="3"/>
  <c r="P69" i="3"/>
  <c r="O69" i="3"/>
  <c r="N69" i="3"/>
  <c r="Q68" i="3"/>
  <c r="P68" i="3"/>
  <c r="O68" i="3"/>
  <c r="N68" i="3"/>
  <c r="Q67" i="3"/>
  <c r="P67" i="3"/>
  <c r="O67" i="3"/>
  <c r="N67" i="3"/>
  <c r="Q66" i="3"/>
  <c r="P66" i="3"/>
  <c r="O66" i="3"/>
  <c r="N66" i="3"/>
  <c r="Q65" i="3"/>
  <c r="P65" i="3"/>
  <c r="O65" i="3"/>
  <c r="N65" i="3"/>
  <c r="V64" i="3" s="1"/>
  <c r="Q64" i="3"/>
  <c r="P64" i="3"/>
  <c r="O64" i="3"/>
  <c r="N64" i="3"/>
  <c r="Q63" i="3"/>
  <c r="P63" i="3"/>
  <c r="O63" i="3"/>
  <c r="N63" i="3"/>
  <c r="V62" i="3" s="1"/>
  <c r="Q62" i="3"/>
  <c r="P62" i="3"/>
  <c r="O62" i="3"/>
  <c r="N62" i="3"/>
  <c r="N61" i="3"/>
  <c r="V60" i="3"/>
  <c r="N60" i="3"/>
  <c r="U60" i="3" s="1"/>
  <c r="Q59" i="3"/>
  <c r="P59" i="3"/>
  <c r="O59" i="3"/>
  <c r="N59" i="3"/>
  <c r="V58" i="3"/>
  <c r="Y30" i="3" s="1"/>
  <c r="Z30" i="3" s="1"/>
  <c r="Q58" i="3"/>
  <c r="P58" i="3"/>
  <c r="U58" i="3" s="1"/>
  <c r="X30" i="3" s="1"/>
  <c r="O58" i="3"/>
  <c r="N58" i="3"/>
  <c r="P57" i="3"/>
  <c r="O57" i="3"/>
  <c r="N57" i="3"/>
  <c r="V56" i="3" s="1"/>
  <c r="Y29" i="3" s="1"/>
  <c r="Z29" i="3" s="1"/>
  <c r="W56" i="3"/>
  <c r="P56" i="3"/>
  <c r="O56" i="3"/>
  <c r="N56" i="3"/>
  <c r="U56" i="3" s="1"/>
  <c r="W55" i="3"/>
  <c r="Q55" i="3"/>
  <c r="P55" i="3"/>
  <c r="O55" i="3"/>
  <c r="N55" i="3"/>
  <c r="V54" i="3" s="1"/>
  <c r="Y28" i="3" s="1"/>
  <c r="X54" i="3"/>
  <c r="W54" i="3"/>
  <c r="Q54" i="3"/>
  <c r="P54" i="3"/>
  <c r="O54" i="3"/>
  <c r="N54" i="3"/>
  <c r="Y53" i="3"/>
  <c r="X53" i="3"/>
  <c r="W53" i="3"/>
  <c r="T53" i="3"/>
  <c r="S53" i="3"/>
  <c r="R53" i="3"/>
  <c r="Q53" i="3"/>
  <c r="P53" i="3"/>
  <c r="O53" i="3"/>
  <c r="N53" i="3"/>
  <c r="V52" i="3" s="1"/>
  <c r="Y52" i="3"/>
  <c r="W52" i="3"/>
  <c r="T52" i="3"/>
  <c r="S52" i="3"/>
  <c r="R52" i="3"/>
  <c r="Q52" i="3"/>
  <c r="P52" i="3"/>
  <c r="O52" i="3"/>
  <c r="N52" i="3"/>
  <c r="U52" i="3" s="1"/>
  <c r="X51" i="3"/>
  <c r="W51" i="3"/>
  <c r="Q51" i="3"/>
  <c r="P51" i="3"/>
  <c r="O51" i="3"/>
  <c r="N51" i="3"/>
  <c r="Y50" i="3"/>
  <c r="Z50" i="3" s="1"/>
  <c r="X50" i="3"/>
  <c r="W50" i="3"/>
  <c r="V50" i="3"/>
  <c r="Q50" i="3"/>
  <c r="U50" i="3" s="1"/>
  <c r="X26" i="3" s="1"/>
  <c r="P50" i="3"/>
  <c r="O50" i="3"/>
  <c r="N50" i="3"/>
  <c r="Z49" i="3"/>
  <c r="Y49" i="3"/>
  <c r="W49" i="3"/>
  <c r="Q49" i="3"/>
  <c r="P49" i="3"/>
  <c r="O49" i="3"/>
  <c r="N49" i="3"/>
  <c r="V48" i="3" s="1"/>
  <c r="Y25" i="3" s="1"/>
  <c r="X48" i="3"/>
  <c r="W48" i="3"/>
  <c r="Q48" i="3"/>
  <c r="P48" i="3"/>
  <c r="U48" i="3" s="1"/>
  <c r="X25" i="3" s="1"/>
  <c r="O48" i="3"/>
  <c r="N48" i="3"/>
  <c r="Y47" i="3"/>
  <c r="Z47" i="3" s="1"/>
  <c r="X47" i="3"/>
  <c r="W47" i="3"/>
  <c r="Q47" i="3"/>
  <c r="P47" i="3"/>
  <c r="O47" i="3"/>
  <c r="N47" i="3"/>
  <c r="V46" i="3" s="1"/>
  <c r="Y24" i="3" s="1"/>
  <c r="Z24" i="3" s="1"/>
  <c r="Y46" i="3"/>
  <c r="Z46" i="3" s="1"/>
  <c r="X46" i="3"/>
  <c r="W46" i="3"/>
  <c r="Q46" i="3"/>
  <c r="P46" i="3"/>
  <c r="O46" i="3"/>
  <c r="N46" i="3"/>
  <c r="U46" i="3" s="1"/>
  <c r="Y45" i="3"/>
  <c r="W45" i="3"/>
  <c r="R45" i="3"/>
  <c r="Q45" i="3"/>
  <c r="P45" i="3"/>
  <c r="O45" i="3"/>
  <c r="N45" i="3"/>
  <c r="Y44" i="3"/>
  <c r="X44" i="3"/>
  <c r="Z44" i="3" s="1"/>
  <c r="W44" i="3"/>
  <c r="R44" i="3"/>
  <c r="Q44" i="3"/>
  <c r="P44" i="3"/>
  <c r="O44" i="3"/>
  <c r="N44" i="3"/>
  <c r="U44" i="3" s="1"/>
  <c r="X23" i="3" s="1"/>
  <c r="Z43" i="3"/>
  <c r="X43" i="3"/>
  <c r="W43" i="3"/>
  <c r="P43" i="3"/>
  <c r="O43" i="3"/>
  <c r="N43" i="3"/>
  <c r="W42" i="3"/>
  <c r="V42" i="3"/>
  <c r="Y22" i="3" s="1"/>
  <c r="U42" i="3"/>
  <c r="X22" i="3" s="1"/>
  <c r="P42" i="3"/>
  <c r="O42" i="3"/>
  <c r="N42" i="3"/>
  <c r="Y41" i="3"/>
  <c r="W41" i="3"/>
  <c r="T41" i="3"/>
  <c r="S41" i="3"/>
  <c r="R41" i="3"/>
  <c r="Q41" i="3"/>
  <c r="P41" i="3"/>
  <c r="V40" i="3" s="1"/>
  <c r="Y21" i="3" s="1"/>
  <c r="O41" i="3"/>
  <c r="N41" i="3"/>
  <c r="Y40" i="3"/>
  <c r="W40" i="3"/>
  <c r="T40" i="3"/>
  <c r="S40" i="3"/>
  <c r="R40" i="3"/>
  <c r="Q40" i="3"/>
  <c r="P40" i="3"/>
  <c r="O40" i="3"/>
  <c r="N40" i="3"/>
  <c r="W39" i="3"/>
  <c r="Q39" i="3"/>
  <c r="P39" i="3"/>
  <c r="O39" i="3"/>
  <c r="N39" i="3"/>
  <c r="Y38" i="3"/>
  <c r="W38" i="3"/>
  <c r="V38" i="3"/>
  <c r="Y20" i="3" s="1"/>
  <c r="Z20" i="3" s="1"/>
  <c r="Q38" i="3"/>
  <c r="P38" i="3"/>
  <c r="O38" i="3"/>
  <c r="N38" i="3"/>
  <c r="U38" i="3" s="1"/>
  <c r="X20" i="3" s="1"/>
  <c r="W37" i="3"/>
  <c r="S37" i="3"/>
  <c r="R37" i="3"/>
  <c r="Q37" i="3"/>
  <c r="P37" i="3"/>
  <c r="O37" i="3"/>
  <c r="N37" i="3"/>
  <c r="Z36" i="3"/>
  <c r="Y36" i="3"/>
  <c r="W36" i="3"/>
  <c r="S36" i="3"/>
  <c r="R36" i="3"/>
  <c r="Q36" i="3"/>
  <c r="P36" i="3"/>
  <c r="O36" i="3"/>
  <c r="N36" i="3"/>
  <c r="U36" i="3" s="1"/>
  <c r="X19" i="3" s="1"/>
  <c r="W35" i="3"/>
  <c r="Q35" i="3"/>
  <c r="P35" i="3"/>
  <c r="O35" i="3"/>
  <c r="N35" i="3"/>
  <c r="W34" i="3"/>
  <c r="V34" i="3"/>
  <c r="Y18" i="3" s="1"/>
  <c r="Z18" i="3" s="1"/>
  <c r="Q34" i="3"/>
  <c r="P34" i="3"/>
  <c r="O34" i="3"/>
  <c r="N34" i="3"/>
  <c r="U34" i="3" s="1"/>
  <c r="Y33" i="3"/>
  <c r="W33" i="3"/>
  <c r="Q33" i="3"/>
  <c r="P33" i="3"/>
  <c r="O33" i="3"/>
  <c r="V32" i="3" s="1"/>
  <c r="Y17" i="3" s="1"/>
  <c r="N33" i="3"/>
  <c r="Y32" i="3"/>
  <c r="W32" i="3"/>
  <c r="Q32" i="3"/>
  <c r="P32" i="3"/>
  <c r="O32" i="3"/>
  <c r="N32" i="3"/>
  <c r="U32" i="3" s="1"/>
  <c r="X17" i="3" s="1"/>
  <c r="Y31" i="3"/>
  <c r="Z31" i="3" s="1"/>
  <c r="X31" i="3"/>
  <c r="W31" i="3"/>
  <c r="Q31" i="3"/>
  <c r="P31" i="3"/>
  <c r="O31" i="3"/>
  <c r="N31" i="3"/>
  <c r="W30" i="3"/>
  <c r="Q30" i="3"/>
  <c r="P30" i="3"/>
  <c r="O30" i="3"/>
  <c r="N30" i="3"/>
  <c r="X29" i="3"/>
  <c r="W29" i="3"/>
  <c r="T29" i="3"/>
  <c r="S29" i="3"/>
  <c r="R29" i="3"/>
  <c r="Q29" i="3"/>
  <c r="P29" i="3"/>
  <c r="O29" i="3"/>
  <c r="N29" i="3"/>
  <c r="W28" i="3"/>
  <c r="T28" i="3"/>
  <c r="S28" i="3"/>
  <c r="R28" i="3"/>
  <c r="Q28" i="3"/>
  <c r="P28" i="3"/>
  <c r="O28" i="3"/>
  <c r="N28" i="3"/>
  <c r="Y27" i="3"/>
  <c r="X27" i="3"/>
  <c r="W27" i="3"/>
  <c r="Q27" i="3"/>
  <c r="P27" i="3"/>
  <c r="V26" i="3" s="1"/>
  <c r="Y14" i="3" s="1"/>
  <c r="O27" i="3"/>
  <c r="N27" i="3"/>
  <c r="Y26" i="3"/>
  <c r="W26" i="3"/>
  <c r="Q26" i="3"/>
  <c r="U26" i="3" s="1"/>
  <c r="X14" i="3" s="1"/>
  <c r="P26" i="3"/>
  <c r="O26" i="3"/>
  <c r="N26" i="3"/>
  <c r="Z25" i="3"/>
  <c r="W25" i="3"/>
  <c r="R25" i="3"/>
  <c r="Q25" i="3"/>
  <c r="P25" i="3"/>
  <c r="O25" i="3"/>
  <c r="N25" i="3"/>
  <c r="X24" i="3"/>
  <c r="W24" i="3"/>
  <c r="R24" i="3"/>
  <c r="Q24" i="3"/>
  <c r="P24" i="3"/>
  <c r="O24" i="3"/>
  <c r="N24" i="3"/>
  <c r="U24" i="3" s="1"/>
  <c r="X13" i="3" s="1"/>
  <c r="W23" i="3"/>
  <c r="Q23" i="3"/>
  <c r="P23" i="3"/>
  <c r="O23" i="3"/>
  <c r="N23" i="3"/>
  <c r="Z22" i="3"/>
  <c r="W22" i="3"/>
  <c r="Q22" i="3"/>
  <c r="P22" i="3"/>
  <c r="O22" i="3"/>
  <c r="N22" i="3"/>
  <c r="W21" i="3"/>
  <c r="R21" i="3"/>
  <c r="Q21" i="3"/>
  <c r="P21" i="3"/>
  <c r="O21" i="3"/>
  <c r="N21" i="3"/>
  <c r="W20" i="3"/>
  <c r="V20" i="3"/>
  <c r="Y11" i="3" s="1"/>
  <c r="U20" i="3"/>
  <c r="X11" i="3" s="1"/>
  <c r="R20" i="3"/>
  <c r="Q20" i="3"/>
  <c r="P20" i="3"/>
  <c r="O20" i="3"/>
  <c r="N20" i="3"/>
  <c r="W19" i="3"/>
  <c r="Q19" i="3"/>
  <c r="P19" i="3"/>
  <c r="O19" i="3"/>
  <c r="N19" i="3"/>
  <c r="X18" i="3"/>
  <c r="W18" i="3"/>
  <c r="Q18" i="3"/>
  <c r="P18" i="3"/>
  <c r="O18" i="3"/>
  <c r="N18" i="3"/>
  <c r="U18" i="3" s="1"/>
  <c r="X10" i="3" s="1"/>
  <c r="W17" i="3"/>
  <c r="Q17" i="3"/>
  <c r="P17" i="3"/>
  <c r="O17" i="3"/>
  <c r="N17" i="3"/>
  <c r="V16" i="3" s="1"/>
  <c r="Y9" i="3" s="1"/>
  <c r="W16" i="3"/>
  <c r="Q16" i="3"/>
  <c r="P16" i="3"/>
  <c r="O16" i="3"/>
  <c r="N16" i="3"/>
  <c r="U16" i="3" s="1"/>
  <c r="X9" i="3" s="1"/>
  <c r="W15" i="3"/>
  <c r="R15" i="3"/>
  <c r="Q15" i="3"/>
  <c r="P15" i="3"/>
  <c r="O15" i="3"/>
  <c r="N15" i="3"/>
  <c r="W14" i="3"/>
  <c r="V14" i="3"/>
  <c r="Y8" i="3" s="1"/>
  <c r="U14" i="3"/>
  <c r="X8" i="3" s="1"/>
  <c r="R14" i="3"/>
  <c r="Q14" i="3"/>
  <c r="P14" i="3"/>
  <c r="O14" i="3"/>
  <c r="N14" i="3"/>
  <c r="W13" i="3"/>
  <c r="Q13" i="3"/>
  <c r="P13" i="3"/>
  <c r="O13" i="3"/>
  <c r="N13" i="3"/>
  <c r="W12" i="3"/>
  <c r="Q12" i="3"/>
  <c r="P12" i="3"/>
  <c r="O12" i="3"/>
  <c r="N12" i="3"/>
  <c r="U12" i="3" s="1"/>
  <c r="X7" i="3" s="1"/>
  <c r="W11" i="3"/>
  <c r="Q11" i="3"/>
  <c r="P11" i="3"/>
  <c r="O11" i="3"/>
  <c r="N11" i="3"/>
  <c r="V10" i="3" s="1"/>
  <c r="Y6" i="3" s="1"/>
  <c r="Z6" i="3" s="1"/>
  <c r="W10" i="3"/>
  <c r="Q10" i="3"/>
  <c r="P10" i="3"/>
  <c r="O10" i="3"/>
  <c r="N10" i="3"/>
  <c r="U10" i="3" s="1"/>
  <c r="X6" i="3" s="1"/>
  <c r="W9" i="3"/>
  <c r="R9" i="3"/>
  <c r="Q9" i="3"/>
  <c r="P9" i="3"/>
  <c r="O9" i="3"/>
  <c r="N9" i="3"/>
  <c r="Z8" i="3"/>
  <c r="W8" i="3"/>
  <c r="V8" i="3"/>
  <c r="U8" i="3"/>
  <c r="X5" i="3" s="1"/>
  <c r="Z5" i="3" s="1"/>
  <c r="R8" i="3"/>
  <c r="Q8" i="3"/>
  <c r="P8" i="3"/>
  <c r="O8" i="3"/>
  <c r="N8" i="3"/>
  <c r="W7" i="3"/>
  <c r="Q7" i="3"/>
  <c r="P7" i="3"/>
  <c r="O7" i="3"/>
  <c r="N7" i="3"/>
  <c r="V6" i="3" s="1"/>
  <c r="Y4" i="3" s="1"/>
  <c r="Z4" i="3" s="1"/>
  <c r="W6" i="3"/>
  <c r="U6" i="3"/>
  <c r="X4" i="3" s="1"/>
  <c r="Q6" i="3"/>
  <c r="P6" i="3"/>
  <c r="O6" i="3"/>
  <c r="N6" i="3"/>
  <c r="Y5" i="3"/>
  <c r="W5" i="3"/>
  <c r="P5" i="3"/>
  <c r="O5" i="3"/>
  <c r="N5" i="3"/>
  <c r="W4" i="3"/>
  <c r="V4" i="3"/>
  <c r="Y3" i="3" s="1"/>
  <c r="Z3" i="3" s="1"/>
  <c r="U4" i="3"/>
  <c r="X3" i="3" s="1"/>
  <c r="P4" i="3"/>
  <c r="O4" i="3"/>
  <c r="N4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W3" i="3"/>
  <c r="Q3" i="3"/>
  <c r="P3" i="3"/>
  <c r="O3" i="3"/>
  <c r="N3" i="3"/>
  <c r="A3" i="3"/>
  <c r="W2" i="3"/>
  <c r="V2" i="3"/>
  <c r="Y2" i="3" s="1"/>
  <c r="Q2" i="3"/>
  <c r="P2" i="3"/>
  <c r="O2" i="3"/>
  <c r="U2" i="3" s="1"/>
  <c r="X2" i="3" s="1"/>
  <c r="N2" i="3"/>
  <c r="A2" i="3"/>
  <c r="Y1" i="3"/>
  <c r="X1" i="3"/>
  <c r="W1" i="3"/>
  <c r="BS239" i="2"/>
  <c r="I238" i="3" s="1"/>
  <c r="BO239" i="2"/>
  <c r="BN239" i="2"/>
  <c r="H238" i="3" s="1"/>
  <c r="BM239" i="2"/>
  <c r="G238" i="3" s="1"/>
  <c r="AW239" i="2"/>
  <c r="AV239" i="2"/>
  <c r="AU239" i="2"/>
  <c r="AT239" i="2"/>
  <c r="AS239" i="2"/>
  <c r="AR239" i="2"/>
  <c r="AQ239" i="2"/>
  <c r="AP239" i="2"/>
  <c r="AO239" i="2"/>
  <c r="AN239" i="2"/>
  <c r="AM239" i="2"/>
  <c r="AE239" i="2"/>
  <c r="AD239" i="2"/>
  <c r="AC239" i="2"/>
  <c r="Y239" i="2"/>
  <c r="X239" i="2"/>
  <c r="W239" i="2"/>
  <c r="V239" i="2"/>
  <c r="U239" i="2"/>
  <c r="T239" i="2"/>
  <c r="S239" i="2"/>
  <c r="R239" i="2"/>
  <c r="Q239" i="2"/>
  <c r="P239" i="2"/>
  <c r="O239" i="2"/>
  <c r="C239" i="2"/>
  <c r="BE239" i="2" s="1"/>
  <c r="B239" i="2"/>
  <c r="A239" i="2"/>
  <c r="BD239" i="2" s="1"/>
  <c r="BS238" i="2"/>
  <c r="I237" i="3" s="1"/>
  <c r="BO238" i="2"/>
  <c r="BN238" i="2"/>
  <c r="H237" i="3" s="1"/>
  <c r="BM238" i="2"/>
  <c r="G237" i="3" s="1"/>
  <c r="AZ238" i="2"/>
  <c r="AW238" i="2"/>
  <c r="AV238" i="2"/>
  <c r="AU238" i="2"/>
  <c r="AT238" i="2"/>
  <c r="AS238" i="2"/>
  <c r="AR238" i="2"/>
  <c r="AQ238" i="2"/>
  <c r="AP238" i="2"/>
  <c r="AO238" i="2"/>
  <c r="AN238" i="2"/>
  <c r="AM238" i="2"/>
  <c r="AG238" i="2"/>
  <c r="AY238" i="2" s="1"/>
  <c r="BG238" i="2" s="1"/>
  <c r="Y238" i="2"/>
  <c r="X238" i="2"/>
  <c r="W238" i="2"/>
  <c r="V238" i="2"/>
  <c r="U238" i="2"/>
  <c r="T238" i="2"/>
  <c r="S238" i="2"/>
  <c r="R238" i="2"/>
  <c r="Q238" i="2"/>
  <c r="P238" i="2"/>
  <c r="O238" i="2"/>
  <c r="C238" i="2"/>
  <c r="BE238" i="2" s="1"/>
  <c r="B238" i="2"/>
  <c r="A238" i="2"/>
  <c r="BD238" i="2" s="1"/>
  <c r="BS237" i="2"/>
  <c r="I236" i="3" s="1"/>
  <c r="BO237" i="2"/>
  <c r="BN237" i="2"/>
  <c r="H236" i="3" s="1"/>
  <c r="BM237" i="2"/>
  <c r="G236" i="3" s="1"/>
  <c r="AW237" i="2"/>
  <c r="AV237" i="2"/>
  <c r="AU237" i="2"/>
  <c r="AT237" i="2"/>
  <c r="AS237" i="2"/>
  <c r="AR237" i="2"/>
  <c r="AQ237" i="2"/>
  <c r="AP237" i="2"/>
  <c r="AO237" i="2"/>
  <c r="AN237" i="2"/>
  <c r="AM237" i="2"/>
  <c r="AC237" i="2"/>
  <c r="AY237" i="2" s="1"/>
  <c r="BG237" i="2" s="1"/>
  <c r="Y237" i="2"/>
  <c r="X237" i="2"/>
  <c r="W237" i="2"/>
  <c r="V237" i="2"/>
  <c r="U237" i="2"/>
  <c r="T237" i="2"/>
  <c r="S237" i="2"/>
  <c r="R237" i="2"/>
  <c r="Q237" i="2"/>
  <c r="P237" i="2"/>
  <c r="O237" i="2"/>
  <c r="C237" i="2"/>
  <c r="BE237" i="2" s="1"/>
  <c r="B237" i="2"/>
  <c r="A237" i="2"/>
  <c r="BD237" i="2" s="1"/>
  <c r="BS236" i="2"/>
  <c r="I235" i="3" s="1"/>
  <c r="BO236" i="2"/>
  <c r="BN236" i="2"/>
  <c r="H235" i="3" s="1"/>
  <c r="BM236" i="2"/>
  <c r="G235" i="3" s="1"/>
  <c r="AW236" i="2"/>
  <c r="AV236" i="2"/>
  <c r="AU236" i="2"/>
  <c r="AT236" i="2"/>
  <c r="AS236" i="2"/>
  <c r="AR236" i="2"/>
  <c r="AQ236" i="2"/>
  <c r="AP236" i="2"/>
  <c r="AO236" i="2"/>
  <c r="AN236" i="2"/>
  <c r="AM236" i="2"/>
  <c r="AC236" i="2"/>
  <c r="AB236" i="2"/>
  <c r="AY236" i="2" s="1"/>
  <c r="BG236" i="2" s="1"/>
  <c r="Y236" i="2"/>
  <c r="X236" i="2"/>
  <c r="W236" i="2"/>
  <c r="V236" i="2"/>
  <c r="U236" i="2"/>
  <c r="T236" i="2"/>
  <c r="S236" i="2"/>
  <c r="R236" i="2"/>
  <c r="Q236" i="2"/>
  <c r="P236" i="2"/>
  <c r="O236" i="2"/>
  <c r="C236" i="2"/>
  <c r="BE236" i="2" s="1"/>
  <c r="B236" i="2"/>
  <c r="A236" i="2"/>
  <c r="BD236" i="2" s="1"/>
  <c r="BS235" i="2"/>
  <c r="I234" i="3" s="1"/>
  <c r="BO235" i="2"/>
  <c r="BN235" i="2"/>
  <c r="H234" i="3" s="1"/>
  <c r="BM235" i="2"/>
  <c r="G234" i="3" s="1"/>
  <c r="AW235" i="2"/>
  <c r="AV235" i="2"/>
  <c r="AU235" i="2"/>
  <c r="AT235" i="2"/>
  <c r="AS235" i="2"/>
  <c r="AR235" i="2"/>
  <c r="AQ235" i="2"/>
  <c r="AP235" i="2"/>
  <c r="AO235" i="2"/>
  <c r="AN235" i="2"/>
  <c r="AM235" i="2"/>
  <c r="Y235" i="2"/>
  <c r="X235" i="2"/>
  <c r="W235" i="2"/>
  <c r="V235" i="2"/>
  <c r="U235" i="2"/>
  <c r="T235" i="2"/>
  <c r="S235" i="2"/>
  <c r="R235" i="2"/>
  <c r="Q235" i="2"/>
  <c r="P235" i="2"/>
  <c r="O235" i="2"/>
  <c r="J235" i="2"/>
  <c r="AY235" i="2" s="1"/>
  <c r="BG235" i="2" s="1"/>
  <c r="C235" i="2"/>
  <c r="BE235" i="2" s="1"/>
  <c r="B235" i="2"/>
  <c r="A235" i="2"/>
  <c r="BD235" i="2" s="1"/>
  <c r="BS234" i="2"/>
  <c r="I233" i="3" s="1"/>
  <c r="BO234" i="2"/>
  <c r="BN234" i="2"/>
  <c r="H233" i="3" s="1"/>
  <c r="BM234" i="2"/>
  <c r="G233" i="3" s="1"/>
  <c r="AW234" i="2"/>
  <c r="AV234" i="2"/>
  <c r="AU234" i="2"/>
  <c r="AT234" i="2"/>
  <c r="AS234" i="2"/>
  <c r="AR234" i="2"/>
  <c r="AQ234" i="2"/>
  <c r="AP234" i="2"/>
  <c r="AO234" i="2"/>
  <c r="AN234" i="2"/>
  <c r="AM234" i="2"/>
  <c r="AC234" i="2"/>
  <c r="AZ234" i="2" s="1"/>
  <c r="Y234" i="2"/>
  <c r="X234" i="2"/>
  <c r="W234" i="2"/>
  <c r="V234" i="2"/>
  <c r="U234" i="2"/>
  <c r="T234" i="2"/>
  <c r="S234" i="2"/>
  <c r="R234" i="2"/>
  <c r="Q234" i="2"/>
  <c r="P234" i="2"/>
  <c r="O234" i="2"/>
  <c r="C234" i="2"/>
  <c r="BE234" i="2" s="1"/>
  <c r="B234" i="2"/>
  <c r="A234" i="2"/>
  <c r="BD234" i="2" s="1"/>
  <c r="BS233" i="2"/>
  <c r="I232" i="3" s="1"/>
  <c r="BO233" i="2"/>
  <c r="BN233" i="2"/>
  <c r="H232" i="3" s="1"/>
  <c r="BM233" i="2"/>
  <c r="G232" i="3" s="1"/>
  <c r="AW233" i="2"/>
  <c r="AV233" i="2"/>
  <c r="AU233" i="2"/>
  <c r="AT233" i="2"/>
  <c r="AS233" i="2"/>
  <c r="AR233" i="2"/>
  <c r="AQ233" i="2"/>
  <c r="AP233" i="2"/>
  <c r="AO233" i="2"/>
  <c r="AN233" i="2"/>
  <c r="AM233" i="2"/>
  <c r="AD233" i="2"/>
  <c r="AC233" i="2"/>
  <c r="Y233" i="2"/>
  <c r="X233" i="2"/>
  <c r="W233" i="2"/>
  <c r="V233" i="2"/>
  <c r="U233" i="2"/>
  <c r="T233" i="2"/>
  <c r="S233" i="2"/>
  <c r="R233" i="2"/>
  <c r="Q233" i="2"/>
  <c r="P233" i="2"/>
  <c r="O233" i="2"/>
  <c r="C233" i="2"/>
  <c r="BE233" i="2" s="1"/>
  <c r="B233" i="2"/>
  <c r="A233" i="2"/>
  <c r="BD233" i="2" s="1"/>
  <c r="BS232" i="2"/>
  <c r="I231" i="3" s="1"/>
  <c r="BO232" i="2"/>
  <c r="BN232" i="2"/>
  <c r="H231" i="3" s="1"/>
  <c r="BM232" i="2"/>
  <c r="G231" i="3" s="1"/>
  <c r="AW232" i="2"/>
  <c r="AV232" i="2"/>
  <c r="AU232" i="2"/>
  <c r="AT232" i="2"/>
  <c r="AS232" i="2"/>
  <c r="AR232" i="2"/>
  <c r="AQ232" i="2"/>
  <c r="AP232" i="2"/>
  <c r="AO232" i="2"/>
  <c r="AN232" i="2"/>
  <c r="AM232" i="2"/>
  <c r="AI232" i="2"/>
  <c r="AH232" i="2"/>
  <c r="AG232" i="2"/>
  <c r="AF232" i="2"/>
  <c r="Y232" i="2"/>
  <c r="X232" i="2"/>
  <c r="W232" i="2"/>
  <c r="V232" i="2"/>
  <c r="U232" i="2"/>
  <c r="T232" i="2"/>
  <c r="S232" i="2"/>
  <c r="R232" i="2"/>
  <c r="Q232" i="2"/>
  <c r="P232" i="2"/>
  <c r="O232" i="2"/>
  <c r="H232" i="2"/>
  <c r="G232" i="2"/>
  <c r="C232" i="2"/>
  <c r="BE232" i="2" s="1"/>
  <c r="B232" i="2"/>
  <c r="A232" i="2"/>
  <c r="BD232" i="2" s="1"/>
  <c r="BS231" i="2"/>
  <c r="I230" i="3" s="1"/>
  <c r="BO231" i="2"/>
  <c r="BN231" i="2"/>
  <c r="H230" i="3" s="1"/>
  <c r="BM231" i="2"/>
  <c r="G230" i="3" s="1"/>
  <c r="AW231" i="2"/>
  <c r="AV231" i="2"/>
  <c r="AU231" i="2"/>
  <c r="AT231" i="2"/>
  <c r="AS231" i="2"/>
  <c r="AR231" i="2"/>
  <c r="AQ231" i="2"/>
  <c r="AP231" i="2"/>
  <c r="AO231" i="2"/>
  <c r="AN231" i="2"/>
  <c r="AM231" i="2"/>
  <c r="AH231" i="2"/>
  <c r="AG231" i="2"/>
  <c r="Y231" i="2"/>
  <c r="X231" i="2"/>
  <c r="W231" i="2"/>
  <c r="V231" i="2"/>
  <c r="U231" i="2"/>
  <c r="T231" i="2"/>
  <c r="S231" i="2"/>
  <c r="R231" i="2"/>
  <c r="Q231" i="2"/>
  <c r="P231" i="2"/>
  <c r="O231" i="2"/>
  <c r="C231" i="2"/>
  <c r="BE231" i="2" s="1"/>
  <c r="B231" i="2"/>
  <c r="A231" i="2"/>
  <c r="BD231" i="2" s="1"/>
  <c r="BS230" i="2"/>
  <c r="I229" i="3" s="1"/>
  <c r="BO230" i="2"/>
  <c r="BN230" i="2"/>
  <c r="H229" i="3" s="1"/>
  <c r="BM230" i="2"/>
  <c r="G229" i="3" s="1"/>
  <c r="AW230" i="2"/>
  <c r="AV230" i="2"/>
  <c r="AU230" i="2"/>
  <c r="AT230" i="2"/>
  <c r="AS230" i="2"/>
  <c r="AR230" i="2"/>
  <c r="AQ230" i="2"/>
  <c r="AP230" i="2"/>
  <c r="AO230" i="2"/>
  <c r="AN230" i="2"/>
  <c r="AM230" i="2"/>
  <c r="AE230" i="2"/>
  <c r="AD230" i="2"/>
  <c r="Y230" i="2"/>
  <c r="X230" i="2"/>
  <c r="W230" i="2"/>
  <c r="V230" i="2"/>
  <c r="U230" i="2"/>
  <c r="T230" i="2"/>
  <c r="S230" i="2"/>
  <c r="R230" i="2"/>
  <c r="Q230" i="2"/>
  <c r="P230" i="2"/>
  <c r="O230" i="2"/>
  <c r="C230" i="2"/>
  <c r="BE230" i="2" s="1"/>
  <c r="B230" i="2"/>
  <c r="A230" i="2"/>
  <c r="BD230" i="2" s="1"/>
  <c r="BS229" i="2"/>
  <c r="I228" i="3" s="1"/>
  <c r="BO229" i="2"/>
  <c r="BN229" i="2"/>
  <c r="H228" i="3" s="1"/>
  <c r="BM229" i="2"/>
  <c r="G228" i="3" s="1"/>
  <c r="AW229" i="2"/>
  <c r="AV229" i="2"/>
  <c r="AU229" i="2"/>
  <c r="AT229" i="2"/>
  <c r="AS229" i="2"/>
  <c r="AR229" i="2"/>
  <c r="AQ229" i="2"/>
  <c r="AP229" i="2"/>
  <c r="AO229" i="2"/>
  <c r="AN229" i="2"/>
  <c r="AM229" i="2"/>
  <c r="AE229" i="2"/>
  <c r="AY229" i="2" s="1"/>
  <c r="BG229" i="2" s="1"/>
  <c r="Y229" i="2"/>
  <c r="X229" i="2"/>
  <c r="W229" i="2"/>
  <c r="V229" i="2"/>
  <c r="U229" i="2"/>
  <c r="T229" i="2"/>
  <c r="S229" i="2"/>
  <c r="R229" i="2"/>
  <c r="Q229" i="2"/>
  <c r="P229" i="2"/>
  <c r="O229" i="2"/>
  <c r="C229" i="2"/>
  <c r="BE229" i="2" s="1"/>
  <c r="B229" i="2"/>
  <c r="A229" i="2"/>
  <c r="BD229" i="2" s="1"/>
  <c r="BS228" i="2"/>
  <c r="I227" i="3" s="1"/>
  <c r="BO228" i="2"/>
  <c r="BN228" i="2"/>
  <c r="H227" i="3" s="1"/>
  <c r="BM228" i="2"/>
  <c r="G227" i="3" s="1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Y228" i="2"/>
  <c r="X228" i="2"/>
  <c r="W228" i="2"/>
  <c r="V228" i="2"/>
  <c r="U228" i="2"/>
  <c r="T228" i="2"/>
  <c r="S228" i="2"/>
  <c r="R228" i="2"/>
  <c r="Q228" i="2"/>
  <c r="P228" i="2"/>
  <c r="O228" i="2"/>
  <c r="C228" i="2"/>
  <c r="BE228" i="2" s="1"/>
  <c r="B228" i="2"/>
  <c r="A228" i="2"/>
  <c r="BD228" i="2" s="1"/>
  <c r="BS227" i="2"/>
  <c r="I226" i="3" s="1"/>
  <c r="BO227" i="2"/>
  <c r="BN227" i="2"/>
  <c r="H226" i="3" s="1"/>
  <c r="BM227" i="2"/>
  <c r="G226" i="3" s="1"/>
  <c r="AW227" i="2"/>
  <c r="AV227" i="2"/>
  <c r="AU227" i="2"/>
  <c r="AT227" i="2"/>
  <c r="AS227" i="2"/>
  <c r="AR227" i="2"/>
  <c r="AQ227" i="2"/>
  <c r="AP227" i="2"/>
  <c r="AO227" i="2"/>
  <c r="AN227" i="2"/>
  <c r="AM227" i="2"/>
  <c r="AF227" i="2"/>
  <c r="AE227" i="2"/>
  <c r="Y227" i="2"/>
  <c r="X227" i="2"/>
  <c r="W227" i="2"/>
  <c r="V227" i="2"/>
  <c r="U227" i="2"/>
  <c r="T227" i="2"/>
  <c r="S227" i="2"/>
  <c r="R227" i="2"/>
  <c r="Q227" i="2"/>
  <c r="P227" i="2"/>
  <c r="O227" i="2"/>
  <c r="G227" i="2"/>
  <c r="C227" i="2"/>
  <c r="BE227" i="2" s="1"/>
  <c r="B227" i="2"/>
  <c r="A227" i="2"/>
  <c r="BD227" i="2" s="1"/>
  <c r="BS226" i="2"/>
  <c r="I225" i="3" s="1"/>
  <c r="BO226" i="2"/>
  <c r="BN226" i="2"/>
  <c r="H225" i="3" s="1"/>
  <c r="BM226" i="2"/>
  <c r="G225" i="3" s="1"/>
  <c r="AW226" i="2"/>
  <c r="AV226" i="2"/>
  <c r="AU226" i="2"/>
  <c r="AT226" i="2"/>
  <c r="AS226" i="2"/>
  <c r="AR226" i="2"/>
  <c r="AQ226" i="2"/>
  <c r="AP226" i="2"/>
  <c r="AO226" i="2"/>
  <c r="AN226" i="2"/>
  <c r="AM226" i="2"/>
  <c r="AC226" i="2"/>
  <c r="AZ226" i="2" s="1"/>
  <c r="Y226" i="2"/>
  <c r="X226" i="2"/>
  <c r="W226" i="2"/>
  <c r="V226" i="2"/>
  <c r="U226" i="2"/>
  <c r="T226" i="2"/>
  <c r="S226" i="2"/>
  <c r="R226" i="2"/>
  <c r="Q226" i="2"/>
  <c r="P226" i="2"/>
  <c r="O226" i="2"/>
  <c r="C226" i="2"/>
  <c r="BE226" i="2" s="1"/>
  <c r="B226" i="2"/>
  <c r="A226" i="2"/>
  <c r="BD226" i="2" s="1"/>
  <c r="BS225" i="2"/>
  <c r="I224" i="3" s="1"/>
  <c r="BO225" i="2"/>
  <c r="BN225" i="2"/>
  <c r="H224" i="3" s="1"/>
  <c r="BM225" i="2"/>
  <c r="G224" i="3" s="1"/>
  <c r="AW225" i="2"/>
  <c r="AV225" i="2"/>
  <c r="AU225" i="2"/>
  <c r="AT225" i="2"/>
  <c r="AS225" i="2"/>
  <c r="AR225" i="2"/>
  <c r="AQ225" i="2"/>
  <c r="AP225" i="2"/>
  <c r="AO225" i="2"/>
  <c r="AN225" i="2"/>
  <c r="AM225" i="2"/>
  <c r="AD225" i="2"/>
  <c r="AZ225" i="2" s="1"/>
  <c r="Y225" i="2"/>
  <c r="X225" i="2"/>
  <c r="W225" i="2"/>
  <c r="V225" i="2"/>
  <c r="U225" i="2"/>
  <c r="T225" i="2"/>
  <c r="S225" i="2"/>
  <c r="R225" i="2"/>
  <c r="Q225" i="2"/>
  <c r="P225" i="2"/>
  <c r="O225" i="2"/>
  <c r="C225" i="2"/>
  <c r="BE225" i="2" s="1"/>
  <c r="B225" i="2"/>
  <c r="A225" i="2"/>
  <c r="BD225" i="2" s="1"/>
  <c r="BS224" i="2"/>
  <c r="I223" i="3" s="1"/>
  <c r="BO224" i="2"/>
  <c r="BN224" i="2"/>
  <c r="H223" i="3" s="1"/>
  <c r="BM224" i="2"/>
  <c r="G223" i="3" s="1"/>
  <c r="AW224" i="2"/>
  <c r="AV224" i="2"/>
  <c r="AU224" i="2"/>
  <c r="AT224" i="2"/>
  <c r="AS224" i="2"/>
  <c r="AR224" i="2"/>
  <c r="AQ224" i="2"/>
  <c r="AP224" i="2"/>
  <c r="AO224" i="2"/>
  <c r="AN224" i="2"/>
  <c r="AM224" i="2"/>
  <c r="AF224" i="2"/>
  <c r="AE224" i="2"/>
  <c r="AD224" i="2"/>
  <c r="Y224" i="2"/>
  <c r="X224" i="2"/>
  <c r="W224" i="2"/>
  <c r="V224" i="2"/>
  <c r="U224" i="2"/>
  <c r="T224" i="2"/>
  <c r="S224" i="2"/>
  <c r="R224" i="2"/>
  <c r="Q224" i="2"/>
  <c r="P224" i="2"/>
  <c r="O224" i="2"/>
  <c r="C224" i="2"/>
  <c r="BE224" i="2" s="1"/>
  <c r="B224" i="2"/>
  <c r="A224" i="2"/>
  <c r="BD224" i="2" s="1"/>
  <c r="BS223" i="2"/>
  <c r="I222" i="3" s="1"/>
  <c r="BO223" i="2"/>
  <c r="BN223" i="2"/>
  <c r="H222" i="3" s="1"/>
  <c r="BM223" i="2"/>
  <c r="G222" i="3" s="1"/>
  <c r="AW223" i="2"/>
  <c r="AV223" i="2"/>
  <c r="AU223" i="2"/>
  <c r="AT223" i="2"/>
  <c r="AS223" i="2"/>
  <c r="AR223" i="2"/>
  <c r="AQ223" i="2"/>
  <c r="AP223" i="2"/>
  <c r="AO223" i="2"/>
  <c r="AN223" i="2"/>
  <c r="AM223" i="2"/>
  <c r="AD223" i="2"/>
  <c r="AC223" i="2"/>
  <c r="Y223" i="2"/>
  <c r="X223" i="2"/>
  <c r="W223" i="2"/>
  <c r="V223" i="2"/>
  <c r="U223" i="2"/>
  <c r="T223" i="2"/>
  <c r="S223" i="2"/>
  <c r="R223" i="2"/>
  <c r="Q223" i="2"/>
  <c r="P223" i="2"/>
  <c r="O223" i="2"/>
  <c r="C223" i="2"/>
  <c r="BE223" i="2" s="1"/>
  <c r="B223" i="2"/>
  <c r="A223" i="2"/>
  <c r="BD223" i="2" s="1"/>
  <c r="BS222" i="2"/>
  <c r="I221" i="3" s="1"/>
  <c r="BO222" i="2"/>
  <c r="BN222" i="2"/>
  <c r="H221" i="3" s="1"/>
  <c r="BM222" i="2"/>
  <c r="G221" i="3" s="1"/>
  <c r="AW222" i="2"/>
  <c r="AV222" i="2"/>
  <c r="AU222" i="2"/>
  <c r="AT222" i="2"/>
  <c r="AS222" i="2"/>
  <c r="AR222" i="2"/>
  <c r="AQ222" i="2"/>
  <c r="AP222" i="2"/>
  <c r="AO222" i="2"/>
  <c r="AN222" i="2"/>
  <c r="AM222" i="2"/>
  <c r="AC222" i="2"/>
  <c r="AZ222" i="2" s="1"/>
  <c r="Y222" i="2"/>
  <c r="X222" i="2"/>
  <c r="W222" i="2"/>
  <c r="V222" i="2"/>
  <c r="U222" i="2"/>
  <c r="T222" i="2"/>
  <c r="S222" i="2"/>
  <c r="R222" i="2"/>
  <c r="Q222" i="2"/>
  <c r="P222" i="2"/>
  <c r="O222" i="2"/>
  <c r="C222" i="2"/>
  <c r="BE222" i="2" s="1"/>
  <c r="B222" i="2"/>
  <c r="A222" i="2"/>
  <c r="BD222" i="2" s="1"/>
  <c r="BS221" i="2"/>
  <c r="I220" i="3" s="1"/>
  <c r="BO221" i="2"/>
  <c r="BN221" i="2"/>
  <c r="H220" i="3" s="1"/>
  <c r="BM221" i="2"/>
  <c r="G220" i="3" s="1"/>
  <c r="AW221" i="2"/>
  <c r="AV221" i="2"/>
  <c r="AU221" i="2"/>
  <c r="AT221" i="2"/>
  <c r="AS221" i="2"/>
  <c r="AR221" i="2"/>
  <c r="AQ221" i="2"/>
  <c r="AP221" i="2"/>
  <c r="AO221" i="2"/>
  <c r="AN221" i="2"/>
  <c r="AM221" i="2"/>
  <c r="AC221" i="2"/>
  <c r="Y221" i="2"/>
  <c r="X221" i="2"/>
  <c r="W221" i="2"/>
  <c r="V221" i="2"/>
  <c r="U221" i="2"/>
  <c r="T221" i="2"/>
  <c r="S221" i="2"/>
  <c r="R221" i="2"/>
  <c r="Q221" i="2"/>
  <c r="P221" i="2"/>
  <c r="O221" i="2"/>
  <c r="C221" i="2"/>
  <c r="BE221" i="2" s="1"/>
  <c r="B221" i="2"/>
  <c r="A221" i="2"/>
  <c r="BD221" i="2" s="1"/>
  <c r="BS220" i="2"/>
  <c r="I219" i="3" s="1"/>
  <c r="BO220" i="2"/>
  <c r="BN220" i="2"/>
  <c r="H219" i="3" s="1"/>
  <c r="BM220" i="2"/>
  <c r="G219" i="3" s="1"/>
  <c r="AW220" i="2"/>
  <c r="AV220" i="2"/>
  <c r="AU220" i="2"/>
  <c r="AT220" i="2"/>
  <c r="AS220" i="2"/>
  <c r="AR220" i="2"/>
  <c r="AQ220" i="2"/>
  <c r="AP220" i="2"/>
  <c r="AO220" i="2"/>
  <c r="AN220" i="2"/>
  <c r="AM220" i="2"/>
  <c r="AC220" i="2"/>
  <c r="Y220" i="2"/>
  <c r="X220" i="2"/>
  <c r="W220" i="2"/>
  <c r="V220" i="2"/>
  <c r="U220" i="2"/>
  <c r="T220" i="2"/>
  <c r="S220" i="2"/>
  <c r="R220" i="2"/>
  <c r="Q220" i="2"/>
  <c r="P220" i="2"/>
  <c r="O220" i="2"/>
  <c r="C220" i="2"/>
  <c r="BE220" i="2" s="1"/>
  <c r="B220" i="2"/>
  <c r="A220" i="2"/>
  <c r="BD220" i="2" s="1"/>
  <c r="BS219" i="2"/>
  <c r="I218" i="3" s="1"/>
  <c r="BO219" i="2"/>
  <c r="BN219" i="2"/>
  <c r="H218" i="3" s="1"/>
  <c r="BM219" i="2"/>
  <c r="G218" i="3" s="1"/>
  <c r="AW219" i="2"/>
  <c r="AV219" i="2"/>
  <c r="AU219" i="2"/>
  <c r="AT219" i="2"/>
  <c r="AS219" i="2"/>
  <c r="AR219" i="2"/>
  <c r="AQ219" i="2"/>
  <c r="AP219" i="2"/>
  <c r="AO219" i="2"/>
  <c r="AN219" i="2"/>
  <c r="AM219" i="2"/>
  <c r="AC219" i="2"/>
  <c r="AY219" i="2" s="1"/>
  <c r="BG219" i="2" s="1"/>
  <c r="Y219" i="2"/>
  <c r="X219" i="2"/>
  <c r="W219" i="2"/>
  <c r="V219" i="2"/>
  <c r="U219" i="2"/>
  <c r="T219" i="2"/>
  <c r="S219" i="2"/>
  <c r="R219" i="2"/>
  <c r="Q219" i="2"/>
  <c r="P219" i="2"/>
  <c r="O219" i="2"/>
  <c r="C219" i="2"/>
  <c r="BE219" i="2" s="1"/>
  <c r="B219" i="2"/>
  <c r="A219" i="2"/>
  <c r="BD219" i="2" s="1"/>
  <c r="BS218" i="2"/>
  <c r="I217" i="3" s="1"/>
  <c r="BO218" i="2"/>
  <c r="BN218" i="2"/>
  <c r="H217" i="3" s="1"/>
  <c r="BM218" i="2"/>
  <c r="G217" i="3" s="1"/>
  <c r="AY218" i="2"/>
  <c r="BG218" i="2" s="1"/>
  <c r="AW218" i="2"/>
  <c r="AV218" i="2"/>
  <c r="AU218" i="2"/>
  <c r="AT218" i="2"/>
  <c r="AS218" i="2"/>
  <c r="AR218" i="2"/>
  <c r="AQ218" i="2"/>
  <c r="AP218" i="2"/>
  <c r="AO218" i="2"/>
  <c r="AN218" i="2"/>
  <c r="AM218" i="2"/>
  <c r="AC218" i="2"/>
  <c r="AZ218" i="2" s="1"/>
  <c r="Y218" i="2"/>
  <c r="X218" i="2"/>
  <c r="W218" i="2"/>
  <c r="V218" i="2"/>
  <c r="U218" i="2"/>
  <c r="T218" i="2"/>
  <c r="S218" i="2"/>
  <c r="R218" i="2"/>
  <c r="Q218" i="2"/>
  <c r="P218" i="2"/>
  <c r="O218" i="2"/>
  <c r="C218" i="2"/>
  <c r="BE218" i="2" s="1"/>
  <c r="B218" i="2"/>
  <c r="A218" i="2"/>
  <c r="BD218" i="2" s="1"/>
  <c r="BS217" i="2"/>
  <c r="I216" i="3" s="1"/>
  <c r="BO217" i="2"/>
  <c r="BN217" i="2"/>
  <c r="H216" i="3" s="1"/>
  <c r="BM217" i="2"/>
  <c r="G216" i="3" s="1"/>
  <c r="AW217" i="2"/>
  <c r="AV217" i="2"/>
  <c r="AU217" i="2"/>
  <c r="AT217" i="2"/>
  <c r="AS217" i="2"/>
  <c r="AR217" i="2"/>
  <c r="AQ217" i="2"/>
  <c r="AP217" i="2"/>
  <c r="AO217" i="2"/>
  <c r="AN217" i="2"/>
  <c r="AM217" i="2"/>
  <c r="AD217" i="2"/>
  <c r="AC217" i="2"/>
  <c r="AY217" i="2" s="1"/>
  <c r="BG217" i="2" s="1"/>
  <c r="Y217" i="2"/>
  <c r="X217" i="2"/>
  <c r="W217" i="2"/>
  <c r="V217" i="2"/>
  <c r="U217" i="2"/>
  <c r="T217" i="2"/>
  <c r="S217" i="2"/>
  <c r="R217" i="2"/>
  <c r="Q217" i="2"/>
  <c r="P217" i="2"/>
  <c r="O217" i="2"/>
  <c r="C217" i="2"/>
  <c r="BE217" i="2" s="1"/>
  <c r="B217" i="2"/>
  <c r="A217" i="2"/>
  <c r="BD217" i="2" s="1"/>
  <c r="BS216" i="2"/>
  <c r="I215" i="3" s="1"/>
  <c r="BO216" i="2"/>
  <c r="BN216" i="2"/>
  <c r="H215" i="3" s="1"/>
  <c r="BM216" i="2"/>
  <c r="G215" i="3" s="1"/>
  <c r="AW216" i="2"/>
  <c r="AV216" i="2"/>
  <c r="AU216" i="2"/>
  <c r="AT216" i="2"/>
  <c r="AS216" i="2"/>
  <c r="AR216" i="2"/>
  <c r="AQ216" i="2"/>
  <c r="AP216" i="2"/>
  <c r="AO216" i="2"/>
  <c r="AN216" i="2"/>
  <c r="AM216" i="2"/>
  <c r="AB216" i="2"/>
  <c r="AZ216" i="2" s="1"/>
  <c r="Y216" i="2"/>
  <c r="X216" i="2"/>
  <c r="W216" i="2"/>
  <c r="V216" i="2"/>
  <c r="U216" i="2"/>
  <c r="T216" i="2"/>
  <c r="S216" i="2"/>
  <c r="R216" i="2"/>
  <c r="Q216" i="2"/>
  <c r="P216" i="2"/>
  <c r="O216" i="2"/>
  <c r="C216" i="2"/>
  <c r="BE216" i="2" s="1"/>
  <c r="B216" i="2"/>
  <c r="A216" i="2"/>
  <c r="BD216" i="2" s="1"/>
  <c r="BS215" i="2"/>
  <c r="I214" i="3" s="1"/>
  <c r="BO215" i="2"/>
  <c r="BN215" i="2"/>
  <c r="H214" i="3" s="1"/>
  <c r="BM215" i="2"/>
  <c r="G214" i="3" s="1"/>
  <c r="AW215" i="2"/>
  <c r="AV215" i="2"/>
  <c r="AU215" i="2"/>
  <c r="AT215" i="2"/>
  <c r="AS215" i="2"/>
  <c r="AR215" i="2"/>
  <c r="AQ215" i="2"/>
  <c r="AP215" i="2"/>
  <c r="AO215" i="2"/>
  <c r="AN215" i="2"/>
  <c r="AM215" i="2"/>
  <c r="AD215" i="2"/>
  <c r="Y215" i="2"/>
  <c r="X215" i="2"/>
  <c r="W215" i="2"/>
  <c r="V215" i="2"/>
  <c r="U215" i="2"/>
  <c r="T215" i="2"/>
  <c r="S215" i="2"/>
  <c r="R215" i="2"/>
  <c r="Q215" i="2"/>
  <c r="P215" i="2"/>
  <c r="O215" i="2"/>
  <c r="D215" i="2"/>
  <c r="C215" i="2"/>
  <c r="BE215" i="2" s="1"/>
  <c r="B215" i="2"/>
  <c r="A215" i="2"/>
  <c r="BD215" i="2" s="1"/>
  <c r="BS214" i="2"/>
  <c r="I213" i="3" s="1"/>
  <c r="BO214" i="2"/>
  <c r="BN214" i="2"/>
  <c r="H213" i="3" s="1"/>
  <c r="BM214" i="2"/>
  <c r="G213" i="3" s="1"/>
  <c r="AW214" i="2"/>
  <c r="AV214" i="2"/>
  <c r="AU214" i="2"/>
  <c r="AT214" i="2"/>
  <c r="AS214" i="2"/>
  <c r="AR214" i="2"/>
  <c r="AQ214" i="2"/>
  <c r="AP214" i="2"/>
  <c r="AO214" i="2"/>
  <c r="AN214" i="2"/>
  <c r="AM214" i="2"/>
  <c r="AI214" i="2"/>
  <c r="AH214" i="2"/>
  <c r="AG214" i="2"/>
  <c r="AF214" i="2"/>
  <c r="AE214" i="2"/>
  <c r="AD214" i="2"/>
  <c r="Y214" i="2"/>
  <c r="X214" i="2"/>
  <c r="W214" i="2"/>
  <c r="V214" i="2"/>
  <c r="U214" i="2"/>
  <c r="T214" i="2"/>
  <c r="S214" i="2"/>
  <c r="R214" i="2"/>
  <c r="Q214" i="2"/>
  <c r="P214" i="2"/>
  <c r="O214" i="2"/>
  <c r="C214" i="2"/>
  <c r="BE214" i="2" s="1"/>
  <c r="B214" i="2"/>
  <c r="A214" i="2"/>
  <c r="BD214" i="2" s="1"/>
  <c r="BS213" i="2"/>
  <c r="I212" i="3" s="1"/>
  <c r="BO213" i="2"/>
  <c r="BN213" i="2"/>
  <c r="H212" i="3" s="1"/>
  <c r="BM213" i="2"/>
  <c r="G212" i="3" s="1"/>
  <c r="AW213" i="2"/>
  <c r="AV213" i="2"/>
  <c r="AU213" i="2"/>
  <c r="AT213" i="2"/>
  <c r="AS213" i="2"/>
  <c r="AR213" i="2"/>
  <c r="AQ213" i="2"/>
  <c r="AP213" i="2"/>
  <c r="AO213" i="2"/>
  <c r="AN213" i="2"/>
  <c r="AM213" i="2"/>
  <c r="AF213" i="2"/>
  <c r="Y213" i="2"/>
  <c r="X213" i="2"/>
  <c r="W213" i="2"/>
  <c r="V213" i="2"/>
  <c r="U213" i="2"/>
  <c r="T213" i="2"/>
  <c r="S213" i="2"/>
  <c r="R213" i="2"/>
  <c r="Q213" i="2"/>
  <c r="P213" i="2"/>
  <c r="O213" i="2"/>
  <c r="G213" i="2"/>
  <c r="F213" i="2"/>
  <c r="C213" i="2"/>
  <c r="BE213" i="2" s="1"/>
  <c r="B213" i="2"/>
  <c r="A213" i="2"/>
  <c r="BD213" i="2" s="1"/>
  <c r="BS212" i="2"/>
  <c r="I211" i="3" s="1"/>
  <c r="BO212" i="2"/>
  <c r="BN212" i="2"/>
  <c r="H211" i="3" s="1"/>
  <c r="BM212" i="2"/>
  <c r="G211" i="3" s="1"/>
  <c r="AW212" i="2"/>
  <c r="AV212" i="2"/>
  <c r="AU212" i="2"/>
  <c r="AT212" i="2"/>
  <c r="AS212" i="2"/>
  <c r="AR212" i="2"/>
  <c r="AQ212" i="2"/>
  <c r="AP212" i="2"/>
  <c r="AO212" i="2"/>
  <c r="AN212" i="2"/>
  <c r="AM212" i="2"/>
  <c r="AD212" i="2"/>
  <c r="AC212" i="2"/>
  <c r="Y212" i="2"/>
  <c r="X212" i="2"/>
  <c r="W212" i="2"/>
  <c r="V212" i="2"/>
  <c r="U212" i="2"/>
  <c r="T212" i="2"/>
  <c r="S212" i="2"/>
  <c r="R212" i="2"/>
  <c r="Q212" i="2"/>
  <c r="P212" i="2"/>
  <c r="O212" i="2"/>
  <c r="C212" i="2"/>
  <c r="BE212" i="2" s="1"/>
  <c r="B212" i="2"/>
  <c r="A212" i="2"/>
  <c r="BD212" i="2" s="1"/>
  <c r="BS211" i="2"/>
  <c r="I210" i="3" s="1"/>
  <c r="BO211" i="2"/>
  <c r="BN211" i="2"/>
  <c r="H210" i="3" s="1"/>
  <c r="BM211" i="2"/>
  <c r="G210" i="3" s="1"/>
  <c r="AW211" i="2"/>
  <c r="AV211" i="2"/>
  <c r="AU211" i="2"/>
  <c r="AT211" i="2"/>
  <c r="AS211" i="2"/>
  <c r="AR211" i="2"/>
  <c r="AQ211" i="2"/>
  <c r="AP211" i="2"/>
  <c r="AO211" i="2"/>
  <c r="AN211" i="2"/>
  <c r="AM211" i="2"/>
  <c r="AD211" i="2"/>
  <c r="AC211" i="2"/>
  <c r="Y211" i="2"/>
  <c r="X211" i="2"/>
  <c r="W211" i="2"/>
  <c r="V211" i="2"/>
  <c r="U211" i="2"/>
  <c r="T211" i="2"/>
  <c r="S211" i="2"/>
  <c r="R211" i="2"/>
  <c r="Q211" i="2"/>
  <c r="P211" i="2"/>
  <c r="O211" i="2"/>
  <c r="C211" i="2"/>
  <c r="BE211" i="2" s="1"/>
  <c r="B211" i="2"/>
  <c r="A211" i="2"/>
  <c r="BD211" i="2" s="1"/>
  <c r="BS210" i="2"/>
  <c r="I209" i="3" s="1"/>
  <c r="BO210" i="2"/>
  <c r="BN210" i="2"/>
  <c r="H209" i="3" s="1"/>
  <c r="BM210" i="2"/>
  <c r="G209" i="3" s="1"/>
  <c r="AW210" i="2"/>
  <c r="AV210" i="2"/>
  <c r="AU210" i="2"/>
  <c r="AT210" i="2"/>
  <c r="AS210" i="2"/>
  <c r="AR210" i="2"/>
  <c r="AQ210" i="2"/>
  <c r="AP210" i="2"/>
  <c r="AO210" i="2"/>
  <c r="AN210" i="2"/>
  <c r="AM210" i="2"/>
  <c r="AC210" i="2"/>
  <c r="Y210" i="2"/>
  <c r="X210" i="2"/>
  <c r="W210" i="2"/>
  <c r="V210" i="2"/>
  <c r="U210" i="2"/>
  <c r="T210" i="2"/>
  <c r="S210" i="2"/>
  <c r="R210" i="2"/>
  <c r="Q210" i="2"/>
  <c r="P210" i="2"/>
  <c r="O210" i="2"/>
  <c r="C210" i="2"/>
  <c r="BE210" i="2" s="1"/>
  <c r="B210" i="2"/>
  <c r="A210" i="2"/>
  <c r="BD210" i="2" s="1"/>
  <c r="BS209" i="2"/>
  <c r="I208" i="3" s="1"/>
  <c r="BO209" i="2"/>
  <c r="BN209" i="2"/>
  <c r="H208" i="3" s="1"/>
  <c r="BM209" i="2"/>
  <c r="G208" i="3" s="1"/>
  <c r="AW209" i="2"/>
  <c r="AV209" i="2"/>
  <c r="AU209" i="2"/>
  <c r="AT209" i="2"/>
  <c r="AS209" i="2"/>
  <c r="AR209" i="2"/>
  <c r="AQ209" i="2"/>
  <c r="AP209" i="2"/>
  <c r="AO209" i="2"/>
  <c r="AN209" i="2"/>
  <c r="AM209" i="2"/>
  <c r="AC209" i="2"/>
  <c r="Y209" i="2"/>
  <c r="X209" i="2"/>
  <c r="W209" i="2"/>
  <c r="V209" i="2"/>
  <c r="U209" i="2"/>
  <c r="T209" i="2"/>
  <c r="S209" i="2"/>
  <c r="R209" i="2"/>
  <c r="Q209" i="2"/>
  <c r="P209" i="2"/>
  <c r="O209" i="2"/>
  <c r="C209" i="2"/>
  <c r="BE209" i="2" s="1"/>
  <c r="B209" i="2"/>
  <c r="A209" i="2"/>
  <c r="BD209" i="2" s="1"/>
  <c r="BS208" i="2"/>
  <c r="I207" i="3" s="1"/>
  <c r="BO208" i="2"/>
  <c r="BN208" i="2"/>
  <c r="H207" i="3" s="1"/>
  <c r="BM208" i="2"/>
  <c r="G207" i="3" s="1"/>
  <c r="AW208" i="2"/>
  <c r="AV208" i="2"/>
  <c r="AU208" i="2"/>
  <c r="AT208" i="2"/>
  <c r="AS208" i="2"/>
  <c r="AR208" i="2"/>
  <c r="AQ208" i="2"/>
  <c r="AP208" i="2"/>
  <c r="AO208" i="2"/>
  <c r="AN208" i="2"/>
  <c r="AM208" i="2"/>
  <c r="AE208" i="2"/>
  <c r="Y208" i="2"/>
  <c r="X208" i="2"/>
  <c r="W208" i="2"/>
  <c r="V208" i="2"/>
  <c r="U208" i="2"/>
  <c r="T208" i="2"/>
  <c r="S208" i="2"/>
  <c r="R208" i="2"/>
  <c r="Q208" i="2"/>
  <c r="P208" i="2"/>
  <c r="O208" i="2"/>
  <c r="G208" i="2"/>
  <c r="F208" i="2"/>
  <c r="C208" i="2"/>
  <c r="BE208" i="2" s="1"/>
  <c r="B208" i="2"/>
  <c r="A208" i="2"/>
  <c r="BD208" i="2" s="1"/>
  <c r="BS207" i="2"/>
  <c r="I206" i="3" s="1"/>
  <c r="BO207" i="2"/>
  <c r="BN207" i="2"/>
  <c r="H206" i="3" s="1"/>
  <c r="BM207" i="2"/>
  <c r="G206" i="3" s="1"/>
  <c r="AW207" i="2"/>
  <c r="AV207" i="2"/>
  <c r="AU207" i="2"/>
  <c r="AT207" i="2"/>
  <c r="AS207" i="2"/>
  <c r="AR207" i="2"/>
  <c r="AQ207" i="2"/>
  <c r="AP207" i="2"/>
  <c r="AO207" i="2"/>
  <c r="AN207" i="2"/>
  <c r="AM207" i="2"/>
  <c r="AG207" i="2"/>
  <c r="AF207" i="2"/>
  <c r="AE207" i="2"/>
  <c r="AD207" i="2"/>
  <c r="Y207" i="2"/>
  <c r="X207" i="2"/>
  <c r="W207" i="2"/>
  <c r="V207" i="2"/>
  <c r="U207" i="2"/>
  <c r="T207" i="2"/>
  <c r="S207" i="2"/>
  <c r="R207" i="2"/>
  <c r="Q207" i="2"/>
  <c r="P207" i="2"/>
  <c r="O207" i="2"/>
  <c r="C207" i="2"/>
  <c r="BE207" i="2" s="1"/>
  <c r="B207" i="2"/>
  <c r="A207" i="2"/>
  <c r="BD207" i="2" s="1"/>
  <c r="BS206" i="2"/>
  <c r="I205" i="3" s="1"/>
  <c r="BO206" i="2"/>
  <c r="BN206" i="2"/>
  <c r="H205" i="3" s="1"/>
  <c r="BM206" i="2"/>
  <c r="G205" i="3" s="1"/>
  <c r="AW206" i="2"/>
  <c r="AV206" i="2"/>
  <c r="AU206" i="2"/>
  <c r="AT206" i="2"/>
  <c r="AS206" i="2"/>
  <c r="AR206" i="2"/>
  <c r="AQ206" i="2"/>
  <c r="AP206" i="2"/>
  <c r="AO206" i="2"/>
  <c r="AN206" i="2"/>
  <c r="AM206" i="2"/>
  <c r="AE206" i="2"/>
  <c r="AZ206" i="2" s="1"/>
  <c r="Y206" i="2"/>
  <c r="X206" i="2"/>
  <c r="W206" i="2"/>
  <c r="V206" i="2"/>
  <c r="U206" i="2"/>
  <c r="T206" i="2"/>
  <c r="S206" i="2"/>
  <c r="R206" i="2"/>
  <c r="Q206" i="2"/>
  <c r="P206" i="2"/>
  <c r="O206" i="2"/>
  <c r="C206" i="2"/>
  <c r="BE206" i="2" s="1"/>
  <c r="B206" i="2"/>
  <c r="A206" i="2"/>
  <c r="BD206" i="2" s="1"/>
  <c r="BS205" i="2"/>
  <c r="I204" i="3" s="1"/>
  <c r="BO205" i="2"/>
  <c r="BN205" i="2"/>
  <c r="H204" i="3" s="1"/>
  <c r="BM205" i="2"/>
  <c r="G204" i="3" s="1"/>
  <c r="AW205" i="2"/>
  <c r="AV205" i="2"/>
  <c r="AU205" i="2"/>
  <c r="AT205" i="2"/>
  <c r="AS205" i="2"/>
  <c r="AR205" i="2"/>
  <c r="AQ205" i="2"/>
  <c r="AP205" i="2"/>
  <c r="AO205" i="2"/>
  <c r="AN205" i="2"/>
  <c r="AM205" i="2"/>
  <c r="AB205" i="2"/>
  <c r="Y205" i="2"/>
  <c r="X205" i="2"/>
  <c r="W205" i="2"/>
  <c r="V205" i="2"/>
  <c r="U205" i="2"/>
  <c r="T205" i="2"/>
  <c r="S205" i="2"/>
  <c r="R205" i="2"/>
  <c r="Q205" i="2"/>
  <c r="P205" i="2"/>
  <c r="O205" i="2"/>
  <c r="C205" i="2"/>
  <c r="BE205" i="2" s="1"/>
  <c r="B205" i="2"/>
  <c r="A205" i="2"/>
  <c r="BD205" i="2" s="1"/>
  <c r="BS204" i="2"/>
  <c r="I203" i="3" s="1"/>
  <c r="BO204" i="2"/>
  <c r="BN204" i="2"/>
  <c r="H203" i="3" s="1"/>
  <c r="BM204" i="2"/>
  <c r="G203" i="3" s="1"/>
  <c r="AW204" i="2"/>
  <c r="AV204" i="2"/>
  <c r="AU204" i="2"/>
  <c r="AT204" i="2"/>
  <c r="AS204" i="2"/>
  <c r="AR204" i="2"/>
  <c r="AQ204" i="2"/>
  <c r="AP204" i="2"/>
  <c r="AO204" i="2"/>
  <c r="AN204" i="2"/>
  <c r="AM204" i="2"/>
  <c r="AF204" i="2"/>
  <c r="AE204" i="2"/>
  <c r="Y204" i="2"/>
  <c r="X204" i="2"/>
  <c r="W204" i="2"/>
  <c r="V204" i="2"/>
  <c r="U204" i="2"/>
  <c r="T204" i="2"/>
  <c r="S204" i="2"/>
  <c r="R204" i="2"/>
  <c r="Q204" i="2"/>
  <c r="P204" i="2"/>
  <c r="O204" i="2"/>
  <c r="C204" i="2"/>
  <c r="BE204" i="2" s="1"/>
  <c r="B204" i="2"/>
  <c r="A204" i="2"/>
  <c r="BD204" i="2" s="1"/>
  <c r="BS203" i="2"/>
  <c r="I202" i="3" s="1"/>
  <c r="BO203" i="2"/>
  <c r="BN203" i="2"/>
  <c r="H202" i="3" s="1"/>
  <c r="BM203" i="2"/>
  <c r="G202" i="3" s="1"/>
  <c r="AW203" i="2"/>
  <c r="AV203" i="2"/>
  <c r="AU203" i="2"/>
  <c r="AT203" i="2"/>
  <c r="AS203" i="2"/>
  <c r="AR203" i="2"/>
  <c r="AQ203" i="2"/>
  <c r="AP203" i="2"/>
  <c r="AO203" i="2"/>
  <c r="AN203" i="2"/>
  <c r="AM203" i="2"/>
  <c r="AG203" i="2"/>
  <c r="Y203" i="2"/>
  <c r="X203" i="2"/>
  <c r="W203" i="2"/>
  <c r="V203" i="2"/>
  <c r="U203" i="2"/>
  <c r="T203" i="2"/>
  <c r="S203" i="2"/>
  <c r="R203" i="2"/>
  <c r="Q203" i="2"/>
  <c r="P203" i="2"/>
  <c r="O203" i="2"/>
  <c r="C203" i="2"/>
  <c r="BE203" i="2" s="1"/>
  <c r="B203" i="2"/>
  <c r="A203" i="2"/>
  <c r="BD203" i="2" s="1"/>
  <c r="BS202" i="2"/>
  <c r="I201" i="3" s="1"/>
  <c r="BO202" i="2"/>
  <c r="BN202" i="2"/>
  <c r="H201" i="3" s="1"/>
  <c r="BM202" i="2"/>
  <c r="G201" i="3" s="1"/>
  <c r="AW202" i="2"/>
  <c r="AV202" i="2"/>
  <c r="AU202" i="2"/>
  <c r="AT202" i="2"/>
  <c r="AS202" i="2"/>
  <c r="AR202" i="2"/>
  <c r="AQ202" i="2"/>
  <c r="AP202" i="2"/>
  <c r="AO202" i="2"/>
  <c r="AN202" i="2"/>
  <c r="AM202" i="2"/>
  <c r="AE202" i="2"/>
  <c r="AZ202" i="2" s="1"/>
  <c r="Y202" i="2"/>
  <c r="X202" i="2"/>
  <c r="W202" i="2"/>
  <c r="V202" i="2"/>
  <c r="U202" i="2"/>
  <c r="T202" i="2"/>
  <c r="S202" i="2"/>
  <c r="R202" i="2"/>
  <c r="Q202" i="2"/>
  <c r="P202" i="2"/>
  <c r="O202" i="2"/>
  <c r="C202" i="2"/>
  <c r="BE202" i="2" s="1"/>
  <c r="B202" i="2"/>
  <c r="A202" i="2"/>
  <c r="BD202" i="2" s="1"/>
  <c r="BS201" i="2"/>
  <c r="I200" i="3" s="1"/>
  <c r="BO201" i="2"/>
  <c r="BN201" i="2"/>
  <c r="H200" i="3" s="1"/>
  <c r="BM201" i="2"/>
  <c r="G200" i="3" s="1"/>
  <c r="AW201" i="2"/>
  <c r="AV201" i="2"/>
  <c r="AU201" i="2"/>
  <c r="AT201" i="2"/>
  <c r="AS201" i="2"/>
  <c r="AR201" i="2"/>
  <c r="AQ201" i="2"/>
  <c r="AP201" i="2"/>
  <c r="AO201" i="2"/>
  <c r="AN201" i="2"/>
  <c r="AM201" i="2"/>
  <c r="AG201" i="2"/>
  <c r="AF201" i="2"/>
  <c r="AE201" i="2"/>
  <c r="AD201" i="2"/>
  <c r="Y201" i="2"/>
  <c r="X201" i="2"/>
  <c r="W201" i="2"/>
  <c r="V201" i="2"/>
  <c r="U201" i="2"/>
  <c r="T201" i="2"/>
  <c r="S201" i="2"/>
  <c r="R201" i="2"/>
  <c r="Q201" i="2"/>
  <c r="P201" i="2"/>
  <c r="O201" i="2"/>
  <c r="C201" i="2"/>
  <c r="BE201" i="2" s="1"/>
  <c r="B201" i="2"/>
  <c r="A201" i="2"/>
  <c r="BD201" i="2" s="1"/>
  <c r="BS200" i="2"/>
  <c r="I199" i="3" s="1"/>
  <c r="BO200" i="2"/>
  <c r="BN200" i="2"/>
  <c r="H199" i="3" s="1"/>
  <c r="BM200" i="2"/>
  <c r="G199" i="3" s="1"/>
  <c r="AW200" i="2"/>
  <c r="AV200" i="2"/>
  <c r="AU200" i="2"/>
  <c r="AT200" i="2"/>
  <c r="AS200" i="2"/>
  <c r="AR200" i="2"/>
  <c r="AQ200" i="2"/>
  <c r="AP200" i="2"/>
  <c r="AO200" i="2"/>
  <c r="AN200" i="2"/>
  <c r="AM200" i="2"/>
  <c r="AD200" i="2"/>
  <c r="Y200" i="2"/>
  <c r="X200" i="2"/>
  <c r="W200" i="2"/>
  <c r="V200" i="2"/>
  <c r="U200" i="2"/>
  <c r="T200" i="2"/>
  <c r="S200" i="2"/>
  <c r="R200" i="2"/>
  <c r="Q200" i="2"/>
  <c r="P200" i="2"/>
  <c r="O200" i="2"/>
  <c r="F200" i="2"/>
  <c r="C200" i="2"/>
  <c r="BE200" i="2" s="1"/>
  <c r="B200" i="2"/>
  <c r="A200" i="2"/>
  <c r="BD200" i="2" s="1"/>
  <c r="BS199" i="2"/>
  <c r="I198" i="3" s="1"/>
  <c r="BO199" i="2"/>
  <c r="BN199" i="2"/>
  <c r="H198" i="3" s="1"/>
  <c r="BM199" i="2"/>
  <c r="G198" i="3" s="1"/>
  <c r="AW199" i="2"/>
  <c r="AV199" i="2"/>
  <c r="AU199" i="2"/>
  <c r="AT199" i="2"/>
  <c r="AS199" i="2"/>
  <c r="AR199" i="2"/>
  <c r="AQ199" i="2"/>
  <c r="AP199" i="2"/>
  <c r="AO199" i="2"/>
  <c r="AN199" i="2"/>
  <c r="AM199" i="2"/>
  <c r="AC199" i="2"/>
  <c r="Y199" i="2"/>
  <c r="X199" i="2"/>
  <c r="W199" i="2"/>
  <c r="V199" i="2"/>
  <c r="U199" i="2"/>
  <c r="T199" i="2"/>
  <c r="S199" i="2"/>
  <c r="R199" i="2"/>
  <c r="Q199" i="2"/>
  <c r="P199" i="2"/>
  <c r="O199" i="2"/>
  <c r="C199" i="2"/>
  <c r="BE199" i="2" s="1"/>
  <c r="B199" i="2"/>
  <c r="A199" i="2"/>
  <c r="BD199" i="2" s="1"/>
  <c r="BS198" i="2"/>
  <c r="I197" i="3" s="1"/>
  <c r="BO198" i="2"/>
  <c r="BN198" i="2"/>
  <c r="H197" i="3" s="1"/>
  <c r="BM198" i="2"/>
  <c r="G197" i="3" s="1"/>
  <c r="AW198" i="2"/>
  <c r="AV198" i="2"/>
  <c r="AU198" i="2"/>
  <c r="AT198" i="2"/>
  <c r="AS198" i="2"/>
  <c r="AR198" i="2"/>
  <c r="AQ198" i="2"/>
  <c r="AP198" i="2"/>
  <c r="AO198" i="2"/>
  <c r="AN198" i="2"/>
  <c r="AM198" i="2"/>
  <c r="AJ198" i="2"/>
  <c r="AI198" i="2"/>
  <c r="AH198" i="2"/>
  <c r="AG198" i="2"/>
  <c r="Y198" i="2"/>
  <c r="X198" i="2"/>
  <c r="W198" i="2"/>
  <c r="V198" i="2"/>
  <c r="U198" i="2"/>
  <c r="T198" i="2"/>
  <c r="S198" i="2"/>
  <c r="R198" i="2"/>
  <c r="Q198" i="2"/>
  <c r="P198" i="2"/>
  <c r="O198" i="2"/>
  <c r="I198" i="2"/>
  <c r="C198" i="2"/>
  <c r="BE198" i="2" s="1"/>
  <c r="B198" i="2"/>
  <c r="A198" i="2"/>
  <c r="BD198" i="2" s="1"/>
  <c r="BS197" i="2"/>
  <c r="I196" i="3" s="1"/>
  <c r="BO197" i="2"/>
  <c r="BN197" i="2"/>
  <c r="H196" i="3" s="1"/>
  <c r="BM197" i="2"/>
  <c r="G196" i="3" s="1"/>
  <c r="AW197" i="2"/>
  <c r="AV197" i="2"/>
  <c r="AU197" i="2"/>
  <c r="AT197" i="2"/>
  <c r="AS197" i="2"/>
  <c r="AR197" i="2"/>
  <c r="AQ197" i="2"/>
  <c r="AP197" i="2"/>
  <c r="AO197" i="2"/>
  <c r="AN197" i="2"/>
  <c r="AM197" i="2"/>
  <c r="AG197" i="2"/>
  <c r="Y197" i="2"/>
  <c r="X197" i="2"/>
  <c r="W197" i="2"/>
  <c r="V197" i="2"/>
  <c r="U197" i="2"/>
  <c r="T197" i="2"/>
  <c r="S197" i="2"/>
  <c r="R197" i="2"/>
  <c r="Q197" i="2"/>
  <c r="P197" i="2"/>
  <c r="O197" i="2"/>
  <c r="C197" i="2"/>
  <c r="BE197" i="2" s="1"/>
  <c r="B197" i="2"/>
  <c r="A197" i="2"/>
  <c r="BD197" i="2" s="1"/>
  <c r="BS196" i="2"/>
  <c r="I195" i="3" s="1"/>
  <c r="BO196" i="2"/>
  <c r="BN196" i="2"/>
  <c r="H195" i="3" s="1"/>
  <c r="BM196" i="2"/>
  <c r="G195" i="3" s="1"/>
  <c r="AW196" i="2"/>
  <c r="AV196" i="2"/>
  <c r="AU196" i="2"/>
  <c r="AT196" i="2"/>
  <c r="AS196" i="2"/>
  <c r="AR196" i="2"/>
  <c r="AQ196" i="2"/>
  <c r="AP196" i="2"/>
  <c r="AO196" i="2"/>
  <c r="AN196" i="2"/>
  <c r="AM196" i="2"/>
  <c r="AC196" i="2"/>
  <c r="AY196" i="2" s="1"/>
  <c r="BG196" i="2" s="1"/>
  <c r="Y196" i="2"/>
  <c r="X196" i="2"/>
  <c r="W196" i="2"/>
  <c r="V196" i="2"/>
  <c r="U196" i="2"/>
  <c r="T196" i="2"/>
  <c r="S196" i="2"/>
  <c r="R196" i="2"/>
  <c r="Q196" i="2"/>
  <c r="P196" i="2"/>
  <c r="O196" i="2"/>
  <c r="C196" i="2"/>
  <c r="BE196" i="2" s="1"/>
  <c r="B196" i="2"/>
  <c r="A196" i="2"/>
  <c r="BD196" i="2" s="1"/>
  <c r="BS195" i="2"/>
  <c r="I194" i="3" s="1"/>
  <c r="BO195" i="2"/>
  <c r="BN195" i="2"/>
  <c r="H194" i="3" s="1"/>
  <c r="BM195" i="2"/>
  <c r="G194" i="3" s="1"/>
  <c r="AW195" i="2"/>
  <c r="AV195" i="2"/>
  <c r="AU195" i="2"/>
  <c r="AT195" i="2"/>
  <c r="AS195" i="2"/>
  <c r="AR195" i="2"/>
  <c r="AQ195" i="2"/>
  <c r="AP195" i="2"/>
  <c r="AO195" i="2"/>
  <c r="AN195" i="2"/>
  <c r="AM195" i="2"/>
  <c r="AD195" i="2"/>
  <c r="Y195" i="2"/>
  <c r="X195" i="2"/>
  <c r="W195" i="2"/>
  <c r="V195" i="2"/>
  <c r="U195" i="2"/>
  <c r="T195" i="2"/>
  <c r="S195" i="2"/>
  <c r="R195" i="2"/>
  <c r="Q195" i="2"/>
  <c r="P195" i="2"/>
  <c r="O195" i="2"/>
  <c r="F195" i="2"/>
  <c r="C195" i="2"/>
  <c r="BE195" i="2" s="1"/>
  <c r="B195" i="2"/>
  <c r="A195" i="2"/>
  <c r="BD195" i="2" s="1"/>
  <c r="BS194" i="2"/>
  <c r="I193" i="3" s="1"/>
  <c r="BO194" i="2"/>
  <c r="BN194" i="2"/>
  <c r="H193" i="3" s="1"/>
  <c r="BM194" i="2"/>
  <c r="G193" i="3" s="1"/>
  <c r="AW194" i="2"/>
  <c r="AV194" i="2"/>
  <c r="AU194" i="2"/>
  <c r="AT194" i="2"/>
  <c r="AS194" i="2"/>
  <c r="AR194" i="2"/>
  <c r="AQ194" i="2"/>
  <c r="AP194" i="2"/>
  <c r="AO194" i="2"/>
  <c r="AN194" i="2"/>
  <c r="AM194" i="2"/>
  <c r="AC194" i="2"/>
  <c r="AZ194" i="2" s="1"/>
  <c r="Y194" i="2"/>
  <c r="X194" i="2"/>
  <c r="W194" i="2"/>
  <c r="V194" i="2"/>
  <c r="U194" i="2"/>
  <c r="T194" i="2"/>
  <c r="S194" i="2"/>
  <c r="R194" i="2"/>
  <c r="Q194" i="2"/>
  <c r="P194" i="2"/>
  <c r="O194" i="2"/>
  <c r="C194" i="2"/>
  <c r="BE194" i="2" s="1"/>
  <c r="B194" i="2"/>
  <c r="A194" i="2"/>
  <c r="BD194" i="2" s="1"/>
  <c r="BS193" i="2"/>
  <c r="I192" i="3" s="1"/>
  <c r="BO193" i="2"/>
  <c r="BN193" i="2"/>
  <c r="H192" i="3" s="1"/>
  <c r="BM193" i="2"/>
  <c r="G192" i="3" s="1"/>
  <c r="AW193" i="2"/>
  <c r="AV193" i="2"/>
  <c r="AU193" i="2"/>
  <c r="AT193" i="2"/>
  <c r="AS193" i="2"/>
  <c r="AR193" i="2"/>
  <c r="AQ193" i="2"/>
  <c r="AP193" i="2"/>
  <c r="AO193" i="2"/>
  <c r="AN193" i="2"/>
  <c r="AM193" i="2"/>
  <c r="AE193" i="2"/>
  <c r="AD193" i="2"/>
  <c r="AC193" i="2"/>
  <c r="Y193" i="2"/>
  <c r="X193" i="2"/>
  <c r="W193" i="2"/>
  <c r="V193" i="2"/>
  <c r="U193" i="2"/>
  <c r="T193" i="2"/>
  <c r="S193" i="2"/>
  <c r="R193" i="2"/>
  <c r="Q193" i="2"/>
  <c r="P193" i="2"/>
  <c r="O193" i="2"/>
  <c r="C193" i="2"/>
  <c r="BE193" i="2" s="1"/>
  <c r="B193" i="2"/>
  <c r="A193" i="2"/>
  <c r="BD193" i="2" s="1"/>
  <c r="BS192" i="2"/>
  <c r="I191" i="3" s="1"/>
  <c r="BO192" i="2"/>
  <c r="BN192" i="2"/>
  <c r="H191" i="3" s="1"/>
  <c r="BM192" i="2"/>
  <c r="G191" i="3" s="1"/>
  <c r="AW192" i="2"/>
  <c r="AV192" i="2"/>
  <c r="AU192" i="2"/>
  <c r="AT192" i="2"/>
  <c r="AS192" i="2"/>
  <c r="AR192" i="2"/>
  <c r="AQ192" i="2"/>
  <c r="AP192" i="2"/>
  <c r="AO192" i="2"/>
  <c r="AN192" i="2"/>
  <c r="AM192" i="2"/>
  <c r="AC192" i="2"/>
  <c r="AZ192" i="2" s="1"/>
  <c r="Y192" i="2"/>
  <c r="X192" i="2"/>
  <c r="W192" i="2"/>
  <c r="V192" i="2"/>
  <c r="U192" i="2"/>
  <c r="T192" i="2"/>
  <c r="S192" i="2"/>
  <c r="R192" i="2"/>
  <c r="Q192" i="2"/>
  <c r="P192" i="2"/>
  <c r="O192" i="2"/>
  <c r="C192" i="2"/>
  <c r="BE192" i="2" s="1"/>
  <c r="B192" i="2"/>
  <c r="A192" i="2"/>
  <c r="BD192" i="2" s="1"/>
  <c r="BS191" i="2"/>
  <c r="I190" i="3" s="1"/>
  <c r="BO191" i="2"/>
  <c r="BN191" i="2"/>
  <c r="H190" i="3" s="1"/>
  <c r="BM191" i="2"/>
  <c r="G190" i="3" s="1"/>
  <c r="AW191" i="2"/>
  <c r="AV191" i="2"/>
  <c r="AU191" i="2"/>
  <c r="AT191" i="2"/>
  <c r="AS191" i="2"/>
  <c r="AR191" i="2"/>
  <c r="AQ191" i="2"/>
  <c r="AP191" i="2"/>
  <c r="AO191" i="2"/>
  <c r="AN191" i="2"/>
  <c r="AM191" i="2"/>
  <c r="AE191" i="2"/>
  <c r="Y191" i="2"/>
  <c r="X191" i="2"/>
  <c r="W191" i="2"/>
  <c r="V191" i="2"/>
  <c r="U191" i="2"/>
  <c r="T191" i="2"/>
  <c r="S191" i="2"/>
  <c r="R191" i="2"/>
  <c r="Q191" i="2"/>
  <c r="P191" i="2"/>
  <c r="O191" i="2"/>
  <c r="G191" i="2"/>
  <c r="F191" i="2"/>
  <c r="C191" i="2"/>
  <c r="BE191" i="2" s="1"/>
  <c r="B191" i="2"/>
  <c r="A191" i="2"/>
  <c r="BD191" i="2" s="1"/>
  <c r="BS190" i="2"/>
  <c r="I189" i="3" s="1"/>
  <c r="BO190" i="2"/>
  <c r="BN190" i="2"/>
  <c r="H189" i="3" s="1"/>
  <c r="BM190" i="2"/>
  <c r="G189" i="3" s="1"/>
  <c r="AW190" i="2"/>
  <c r="AV190" i="2"/>
  <c r="AU190" i="2"/>
  <c r="AT190" i="2"/>
  <c r="AS190" i="2"/>
  <c r="AR190" i="2"/>
  <c r="AQ190" i="2"/>
  <c r="AP190" i="2"/>
  <c r="AO190" i="2"/>
  <c r="AN190" i="2"/>
  <c r="AM190" i="2"/>
  <c r="AD190" i="2"/>
  <c r="AC190" i="2"/>
  <c r="Y190" i="2"/>
  <c r="X190" i="2"/>
  <c r="W190" i="2"/>
  <c r="V190" i="2"/>
  <c r="U190" i="2"/>
  <c r="T190" i="2"/>
  <c r="S190" i="2"/>
  <c r="R190" i="2"/>
  <c r="Q190" i="2"/>
  <c r="P190" i="2"/>
  <c r="O190" i="2"/>
  <c r="C190" i="2"/>
  <c r="BE190" i="2" s="1"/>
  <c r="B190" i="2"/>
  <c r="A190" i="2"/>
  <c r="BD190" i="2" s="1"/>
  <c r="BS189" i="2"/>
  <c r="I188" i="3" s="1"/>
  <c r="BO189" i="2"/>
  <c r="BN189" i="2"/>
  <c r="H188" i="3" s="1"/>
  <c r="BM189" i="2"/>
  <c r="G188" i="3" s="1"/>
  <c r="AW189" i="2"/>
  <c r="AV189" i="2"/>
  <c r="AU189" i="2"/>
  <c r="AT189" i="2"/>
  <c r="AS189" i="2"/>
  <c r="AR189" i="2"/>
  <c r="AQ189" i="2"/>
  <c r="AP189" i="2"/>
  <c r="AO189" i="2"/>
  <c r="AN189" i="2"/>
  <c r="AM189" i="2"/>
  <c r="AC189" i="2"/>
  <c r="AZ189" i="2" s="1"/>
  <c r="Y189" i="2"/>
  <c r="X189" i="2"/>
  <c r="W189" i="2"/>
  <c r="V189" i="2"/>
  <c r="U189" i="2"/>
  <c r="T189" i="2"/>
  <c r="S189" i="2"/>
  <c r="R189" i="2"/>
  <c r="Q189" i="2"/>
  <c r="P189" i="2"/>
  <c r="O189" i="2"/>
  <c r="C189" i="2"/>
  <c r="BE189" i="2" s="1"/>
  <c r="B189" i="2"/>
  <c r="A189" i="2"/>
  <c r="BD189" i="2" s="1"/>
  <c r="BS188" i="2"/>
  <c r="I187" i="3" s="1"/>
  <c r="BO188" i="2"/>
  <c r="BN188" i="2"/>
  <c r="H187" i="3" s="1"/>
  <c r="BM188" i="2"/>
  <c r="G187" i="3" s="1"/>
  <c r="AW188" i="2"/>
  <c r="AV188" i="2"/>
  <c r="AU188" i="2"/>
  <c r="AT188" i="2"/>
  <c r="AS188" i="2"/>
  <c r="AR188" i="2"/>
  <c r="AQ188" i="2"/>
  <c r="AP188" i="2"/>
  <c r="AO188" i="2"/>
  <c r="AN188" i="2"/>
  <c r="AM188" i="2"/>
  <c r="AI188" i="2"/>
  <c r="AH188" i="2"/>
  <c r="Y188" i="2"/>
  <c r="X188" i="2"/>
  <c r="W188" i="2"/>
  <c r="V188" i="2"/>
  <c r="U188" i="2"/>
  <c r="T188" i="2"/>
  <c r="S188" i="2"/>
  <c r="R188" i="2"/>
  <c r="Q188" i="2"/>
  <c r="P188" i="2"/>
  <c r="O188" i="2"/>
  <c r="J188" i="2"/>
  <c r="C188" i="2"/>
  <c r="BE188" i="2" s="1"/>
  <c r="B188" i="2"/>
  <c r="A188" i="2"/>
  <c r="BD188" i="2" s="1"/>
  <c r="BS187" i="2"/>
  <c r="I186" i="3" s="1"/>
  <c r="BO187" i="2"/>
  <c r="BN187" i="2"/>
  <c r="H186" i="3" s="1"/>
  <c r="BM187" i="2"/>
  <c r="G186" i="3" s="1"/>
  <c r="AW187" i="2"/>
  <c r="AV187" i="2"/>
  <c r="AU187" i="2"/>
  <c r="AT187" i="2"/>
  <c r="AS187" i="2"/>
  <c r="AR187" i="2"/>
  <c r="AQ187" i="2"/>
  <c r="AP187" i="2"/>
  <c r="AO187" i="2"/>
  <c r="AN187" i="2"/>
  <c r="AM187" i="2"/>
  <c r="AD187" i="2"/>
  <c r="AC187" i="2"/>
  <c r="Y187" i="2"/>
  <c r="X187" i="2"/>
  <c r="W187" i="2"/>
  <c r="V187" i="2"/>
  <c r="U187" i="2"/>
  <c r="T187" i="2"/>
  <c r="S187" i="2"/>
  <c r="R187" i="2"/>
  <c r="Q187" i="2"/>
  <c r="P187" i="2"/>
  <c r="O187" i="2"/>
  <c r="C187" i="2"/>
  <c r="BE187" i="2" s="1"/>
  <c r="B187" i="2"/>
  <c r="A187" i="2"/>
  <c r="BD187" i="2" s="1"/>
  <c r="BS186" i="2"/>
  <c r="I185" i="3" s="1"/>
  <c r="BO186" i="2"/>
  <c r="BN186" i="2"/>
  <c r="H185" i="3" s="1"/>
  <c r="BM186" i="2"/>
  <c r="G185" i="3" s="1"/>
  <c r="AW186" i="2"/>
  <c r="AV186" i="2"/>
  <c r="AU186" i="2"/>
  <c r="AT186" i="2"/>
  <c r="AS186" i="2"/>
  <c r="AR186" i="2"/>
  <c r="AQ186" i="2"/>
  <c r="AP186" i="2"/>
  <c r="AO186" i="2"/>
  <c r="AN186" i="2"/>
  <c r="AM186" i="2"/>
  <c r="Y186" i="2"/>
  <c r="X186" i="2"/>
  <c r="W186" i="2"/>
  <c r="V186" i="2"/>
  <c r="U186" i="2"/>
  <c r="T186" i="2"/>
  <c r="S186" i="2"/>
  <c r="R186" i="2"/>
  <c r="Q186" i="2"/>
  <c r="P186" i="2"/>
  <c r="O186" i="2"/>
  <c r="K186" i="2"/>
  <c r="AZ186" i="2" s="1"/>
  <c r="J186" i="2"/>
  <c r="C186" i="2"/>
  <c r="BE186" i="2" s="1"/>
  <c r="B186" i="2"/>
  <c r="A186" i="2"/>
  <c r="BD186" i="2" s="1"/>
  <c r="BS185" i="2"/>
  <c r="I184" i="3" s="1"/>
  <c r="BO185" i="2"/>
  <c r="BN185" i="2"/>
  <c r="H184" i="3" s="1"/>
  <c r="BM185" i="2"/>
  <c r="G184" i="3" s="1"/>
  <c r="AW185" i="2"/>
  <c r="AV185" i="2"/>
  <c r="AU185" i="2"/>
  <c r="AT185" i="2"/>
  <c r="AS185" i="2"/>
  <c r="AR185" i="2"/>
  <c r="AQ185" i="2"/>
  <c r="AP185" i="2"/>
  <c r="AO185" i="2"/>
  <c r="AN185" i="2"/>
  <c r="AM185" i="2"/>
  <c r="AD185" i="2"/>
  <c r="AC185" i="2"/>
  <c r="AY185" i="2" s="1"/>
  <c r="BG185" i="2" s="1"/>
  <c r="Y185" i="2"/>
  <c r="X185" i="2"/>
  <c r="W185" i="2"/>
  <c r="V185" i="2"/>
  <c r="U185" i="2"/>
  <c r="T185" i="2"/>
  <c r="S185" i="2"/>
  <c r="R185" i="2"/>
  <c r="Q185" i="2"/>
  <c r="P185" i="2"/>
  <c r="O185" i="2"/>
  <c r="C185" i="2"/>
  <c r="BE185" i="2" s="1"/>
  <c r="B185" i="2"/>
  <c r="A185" i="2"/>
  <c r="BD185" i="2" s="1"/>
  <c r="BS184" i="2"/>
  <c r="I183" i="3" s="1"/>
  <c r="BO184" i="2"/>
  <c r="BN184" i="2"/>
  <c r="H183" i="3" s="1"/>
  <c r="BM184" i="2"/>
  <c r="G183" i="3" s="1"/>
  <c r="AW184" i="2"/>
  <c r="AV184" i="2"/>
  <c r="AU184" i="2"/>
  <c r="AT184" i="2"/>
  <c r="AS184" i="2"/>
  <c r="AR184" i="2"/>
  <c r="AQ184" i="2"/>
  <c r="AP184" i="2"/>
  <c r="AO184" i="2"/>
  <c r="AN184" i="2"/>
  <c r="AM184" i="2"/>
  <c r="AF184" i="2"/>
  <c r="AE184" i="2"/>
  <c r="Y184" i="2"/>
  <c r="X184" i="2"/>
  <c r="W184" i="2"/>
  <c r="V184" i="2"/>
  <c r="U184" i="2"/>
  <c r="T184" i="2"/>
  <c r="S184" i="2"/>
  <c r="R184" i="2"/>
  <c r="Q184" i="2"/>
  <c r="P184" i="2"/>
  <c r="O184" i="2"/>
  <c r="G184" i="2"/>
  <c r="F184" i="2"/>
  <c r="C184" i="2"/>
  <c r="BE184" i="2" s="1"/>
  <c r="B184" i="2"/>
  <c r="A184" i="2"/>
  <c r="BD184" i="2" s="1"/>
  <c r="BS183" i="2"/>
  <c r="I182" i="3" s="1"/>
  <c r="BO183" i="2"/>
  <c r="BN183" i="2"/>
  <c r="H182" i="3" s="1"/>
  <c r="BM183" i="2"/>
  <c r="G182" i="3" s="1"/>
  <c r="AW183" i="2"/>
  <c r="AV183" i="2"/>
  <c r="AU183" i="2"/>
  <c r="AT183" i="2"/>
  <c r="AS183" i="2"/>
  <c r="AR183" i="2"/>
  <c r="AQ183" i="2"/>
  <c r="AP183" i="2"/>
  <c r="AO183" i="2"/>
  <c r="AN183" i="2"/>
  <c r="AM183" i="2"/>
  <c r="AC183" i="2"/>
  <c r="AY183" i="2" s="1"/>
  <c r="BG183" i="2" s="1"/>
  <c r="Y183" i="2"/>
  <c r="X183" i="2"/>
  <c r="W183" i="2"/>
  <c r="V183" i="2"/>
  <c r="U183" i="2"/>
  <c r="T183" i="2"/>
  <c r="S183" i="2"/>
  <c r="R183" i="2"/>
  <c r="Q183" i="2"/>
  <c r="P183" i="2"/>
  <c r="O183" i="2"/>
  <c r="C183" i="2"/>
  <c r="BE183" i="2" s="1"/>
  <c r="B183" i="2"/>
  <c r="A183" i="2"/>
  <c r="BD183" i="2" s="1"/>
  <c r="BS182" i="2"/>
  <c r="I181" i="3" s="1"/>
  <c r="BO182" i="2"/>
  <c r="BN182" i="2"/>
  <c r="H181" i="3" s="1"/>
  <c r="BM182" i="2"/>
  <c r="G181" i="3" s="1"/>
  <c r="AW182" i="2"/>
  <c r="AV182" i="2"/>
  <c r="AU182" i="2"/>
  <c r="AT182" i="2"/>
  <c r="AS182" i="2"/>
  <c r="AR182" i="2"/>
  <c r="AQ182" i="2"/>
  <c r="AP182" i="2"/>
  <c r="AO182" i="2"/>
  <c r="AN182" i="2"/>
  <c r="AM182" i="2"/>
  <c r="AC182" i="2"/>
  <c r="AZ182" i="2" s="1"/>
  <c r="Y182" i="2"/>
  <c r="X182" i="2"/>
  <c r="W182" i="2"/>
  <c r="V182" i="2"/>
  <c r="U182" i="2"/>
  <c r="T182" i="2"/>
  <c r="S182" i="2"/>
  <c r="R182" i="2"/>
  <c r="Q182" i="2"/>
  <c r="P182" i="2"/>
  <c r="O182" i="2"/>
  <c r="C182" i="2"/>
  <c r="BE182" i="2" s="1"/>
  <c r="B182" i="2"/>
  <c r="A182" i="2"/>
  <c r="BD182" i="2" s="1"/>
  <c r="BS181" i="2"/>
  <c r="I180" i="3" s="1"/>
  <c r="BO181" i="2"/>
  <c r="BN181" i="2"/>
  <c r="H180" i="3" s="1"/>
  <c r="BM181" i="2"/>
  <c r="G180" i="3" s="1"/>
  <c r="AW181" i="2"/>
  <c r="AV181" i="2"/>
  <c r="AU181" i="2"/>
  <c r="AT181" i="2"/>
  <c r="AS181" i="2"/>
  <c r="AR181" i="2"/>
  <c r="AQ181" i="2"/>
  <c r="AP181" i="2"/>
  <c r="AO181" i="2"/>
  <c r="AN181" i="2"/>
  <c r="AM181" i="2"/>
  <c r="AE181" i="2"/>
  <c r="AZ181" i="2" s="1"/>
  <c r="Y181" i="2"/>
  <c r="X181" i="2"/>
  <c r="W181" i="2"/>
  <c r="V181" i="2"/>
  <c r="U181" i="2"/>
  <c r="T181" i="2"/>
  <c r="S181" i="2"/>
  <c r="R181" i="2"/>
  <c r="Q181" i="2"/>
  <c r="P181" i="2"/>
  <c r="O181" i="2"/>
  <c r="C181" i="2"/>
  <c r="BE181" i="2" s="1"/>
  <c r="B181" i="2"/>
  <c r="A181" i="2"/>
  <c r="BD181" i="2" s="1"/>
  <c r="BS180" i="2"/>
  <c r="I179" i="3" s="1"/>
  <c r="BO180" i="2"/>
  <c r="BN180" i="2"/>
  <c r="H179" i="3" s="1"/>
  <c r="BM180" i="2"/>
  <c r="G179" i="3" s="1"/>
  <c r="AW180" i="2"/>
  <c r="AV180" i="2"/>
  <c r="AU180" i="2"/>
  <c r="AT180" i="2"/>
  <c r="AS180" i="2"/>
  <c r="AR180" i="2"/>
  <c r="AQ180" i="2"/>
  <c r="AP180" i="2"/>
  <c r="AO180" i="2"/>
  <c r="AN180" i="2"/>
  <c r="AM180" i="2"/>
  <c r="AF180" i="2"/>
  <c r="AE180" i="2"/>
  <c r="AD180" i="2"/>
  <c r="AC180" i="2"/>
  <c r="Y180" i="2"/>
  <c r="X180" i="2"/>
  <c r="W180" i="2"/>
  <c r="V180" i="2"/>
  <c r="U180" i="2"/>
  <c r="T180" i="2"/>
  <c r="S180" i="2"/>
  <c r="R180" i="2"/>
  <c r="Q180" i="2"/>
  <c r="P180" i="2"/>
  <c r="O180" i="2"/>
  <c r="C180" i="2"/>
  <c r="BE180" i="2" s="1"/>
  <c r="B180" i="2"/>
  <c r="A180" i="2"/>
  <c r="BD180" i="2" s="1"/>
  <c r="BS179" i="2"/>
  <c r="I178" i="3" s="1"/>
  <c r="BO179" i="2"/>
  <c r="BN179" i="2"/>
  <c r="H178" i="3" s="1"/>
  <c r="BM179" i="2"/>
  <c r="G178" i="3" s="1"/>
  <c r="AW179" i="2"/>
  <c r="AV179" i="2"/>
  <c r="AU179" i="2"/>
  <c r="AT179" i="2"/>
  <c r="AS179" i="2"/>
  <c r="AR179" i="2"/>
  <c r="AQ179" i="2"/>
  <c r="AP179" i="2"/>
  <c r="AO179" i="2"/>
  <c r="AN179" i="2"/>
  <c r="AM179" i="2"/>
  <c r="AK179" i="2"/>
  <c r="AJ179" i="2"/>
  <c r="AI179" i="2"/>
  <c r="AH179" i="2"/>
  <c r="AG179" i="2"/>
  <c r="Y179" i="2"/>
  <c r="X179" i="2"/>
  <c r="W179" i="2"/>
  <c r="V179" i="2"/>
  <c r="U179" i="2"/>
  <c r="T179" i="2"/>
  <c r="S179" i="2"/>
  <c r="R179" i="2"/>
  <c r="Q179" i="2"/>
  <c r="P179" i="2"/>
  <c r="O179" i="2"/>
  <c r="C179" i="2"/>
  <c r="BE179" i="2" s="1"/>
  <c r="B179" i="2"/>
  <c r="A179" i="2"/>
  <c r="BD179" i="2" s="1"/>
  <c r="BS178" i="2"/>
  <c r="I177" i="3" s="1"/>
  <c r="BO178" i="2"/>
  <c r="BN178" i="2"/>
  <c r="H177" i="3" s="1"/>
  <c r="BM178" i="2"/>
  <c r="G177" i="3" s="1"/>
  <c r="AW178" i="2"/>
  <c r="AV178" i="2"/>
  <c r="AU178" i="2"/>
  <c r="AT178" i="2"/>
  <c r="AS178" i="2"/>
  <c r="AR178" i="2"/>
  <c r="AQ178" i="2"/>
  <c r="AP178" i="2"/>
  <c r="AO178" i="2"/>
  <c r="AN178" i="2"/>
  <c r="AM178" i="2"/>
  <c r="AD178" i="2"/>
  <c r="AC178" i="2"/>
  <c r="AY178" i="2" s="1"/>
  <c r="BG178" i="2" s="1"/>
  <c r="Y178" i="2"/>
  <c r="X178" i="2"/>
  <c r="W178" i="2"/>
  <c r="V178" i="2"/>
  <c r="U178" i="2"/>
  <c r="T178" i="2"/>
  <c r="S178" i="2"/>
  <c r="R178" i="2"/>
  <c r="Q178" i="2"/>
  <c r="P178" i="2"/>
  <c r="O178" i="2"/>
  <c r="C178" i="2"/>
  <c r="BE178" i="2" s="1"/>
  <c r="B178" i="2"/>
  <c r="A178" i="2"/>
  <c r="BD178" i="2" s="1"/>
  <c r="BS177" i="2"/>
  <c r="I176" i="3" s="1"/>
  <c r="BO177" i="2"/>
  <c r="BN177" i="2"/>
  <c r="H176" i="3" s="1"/>
  <c r="BM177" i="2"/>
  <c r="G176" i="3" s="1"/>
  <c r="AW177" i="2"/>
  <c r="AV177" i="2"/>
  <c r="AU177" i="2"/>
  <c r="AT177" i="2"/>
  <c r="AS177" i="2"/>
  <c r="AR177" i="2"/>
  <c r="AQ177" i="2"/>
  <c r="AP177" i="2"/>
  <c r="AO177" i="2"/>
  <c r="AN177" i="2"/>
  <c r="AM177" i="2"/>
  <c r="AF177" i="2"/>
  <c r="AE177" i="2"/>
  <c r="AD177" i="2"/>
  <c r="Y177" i="2"/>
  <c r="X177" i="2"/>
  <c r="W177" i="2"/>
  <c r="V177" i="2"/>
  <c r="U177" i="2"/>
  <c r="T177" i="2"/>
  <c r="S177" i="2"/>
  <c r="R177" i="2"/>
  <c r="Q177" i="2"/>
  <c r="P177" i="2"/>
  <c r="O177" i="2"/>
  <c r="C177" i="2"/>
  <c r="BE177" i="2" s="1"/>
  <c r="B177" i="2"/>
  <c r="A177" i="2"/>
  <c r="BD177" i="2" s="1"/>
  <c r="BS176" i="2"/>
  <c r="I175" i="3" s="1"/>
  <c r="BO176" i="2"/>
  <c r="BN176" i="2"/>
  <c r="H175" i="3" s="1"/>
  <c r="BM176" i="2"/>
  <c r="G175" i="3" s="1"/>
  <c r="BD176" i="2"/>
  <c r="AW176" i="2"/>
  <c r="AV176" i="2"/>
  <c r="AU176" i="2"/>
  <c r="AT176" i="2"/>
  <c r="AS176" i="2"/>
  <c r="AR176" i="2"/>
  <c r="AQ176" i="2"/>
  <c r="AP176" i="2"/>
  <c r="AO176" i="2"/>
  <c r="AN176" i="2"/>
  <c r="AM176" i="2"/>
  <c r="AG176" i="2"/>
  <c r="AF176" i="2"/>
  <c r="AE176" i="2"/>
  <c r="Y176" i="2"/>
  <c r="X176" i="2"/>
  <c r="W176" i="2"/>
  <c r="V176" i="2"/>
  <c r="U176" i="2"/>
  <c r="T176" i="2"/>
  <c r="S176" i="2"/>
  <c r="R176" i="2"/>
  <c r="Q176" i="2"/>
  <c r="P176" i="2"/>
  <c r="O176" i="2"/>
  <c r="C176" i="2"/>
  <c r="BE176" i="2" s="1"/>
  <c r="B176" i="2"/>
  <c r="A176" i="2"/>
  <c r="BS175" i="2"/>
  <c r="I174" i="3" s="1"/>
  <c r="BO175" i="2"/>
  <c r="BN175" i="2"/>
  <c r="H174" i="3" s="1"/>
  <c r="BM175" i="2"/>
  <c r="G174" i="3" s="1"/>
  <c r="AW175" i="2"/>
  <c r="AV175" i="2"/>
  <c r="AU175" i="2"/>
  <c r="AT175" i="2"/>
  <c r="AS175" i="2"/>
  <c r="AR175" i="2"/>
  <c r="AQ175" i="2"/>
  <c r="AP175" i="2"/>
  <c r="AO175" i="2"/>
  <c r="AN175" i="2"/>
  <c r="AM175" i="2"/>
  <c r="AE175" i="2"/>
  <c r="AD175" i="2"/>
  <c r="Y175" i="2"/>
  <c r="X175" i="2"/>
  <c r="W175" i="2"/>
  <c r="V175" i="2"/>
  <c r="U175" i="2"/>
  <c r="T175" i="2"/>
  <c r="S175" i="2"/>
  <c r="R175" i="2"/>
  <c r="Q175" i="2"/>
  <c r="P175" i="2"/>
  <c r="O175" i="2"/>
  <c r="F175" i="2"/>
  <c r="C175" i="2"/>
  <c r="BE175" i="2" s="1"/>
  <c r="B175" i="2"/>
  <c r="A175" i="2"/>
  <c r="BD175" i="2" s="1"/>
  <c r="BS174" i="2"/>
  <c r="I173" i="3" s="1"/>
  <c r="BO174" i="2"/>
  <c r="BN174" i="2"/>
  <c r="H173" i="3" s="1"/>
  <c r="BM174" i="2"/>
  <c r="G173" i="3" s="1"/>
  <c r="AW174" i="2"/>
  <c r="AV174" i="2"/>
  <c r="AU174" i="2"/>
  <c r="AT174" i="2"/>
  <c r="AS174" i="2"/>
  <c r="AR174" i="2"/>
  <c r="AQ174" i="2"/>
  <c r="AP174" i="2"/>
  <c r="AO174" i="2"/>
  <c r="AN174" i="2"/>
  <c r="AM174" i="2"/>
  <c r="AC174" i="2"/>
  <c r="AY174" i="2" s="1"/>
  <c r="BG174" i="2" s="1"/>
  <c r="Y174" i="2"/>
  <c r="X174" i="2"/>
  <c r="W174" i="2"/>
  <c r="V174" i="2"/>
  <c r="U174" i="2"/>
  <c r="T174" i="2"/>
  <c r="S174" i="2"/>
  <c r="R174" i="2"/>
  <c r="Q174" i="2"/>
  <c r="P174" i="2"/>
  <c r="O174" i="2"/>
  <c r="C174" i="2"/>
  <c r="BE174" i="2" s="1"/>
  <c r="B174" i="2"/>
  <c r="A174" i="2"/>
  <c r="BD174" i="2" s="1"/>
  <c r="BS173" i="2"/>
  <c r="I172" i="3" s="1"/>
  <c r="BO173" i="2"/>
  <c r="BN173" i="2"/>
  <c r="H172" i="3" s="1"/>
  <c r="BM173" i="2"/>
  <c r="G172" i="3" s="1"/>
  <c r="AW173" i="2"/>
  <c r="AV173" i="2"/>
  <c r="AU173" i="2"/>
  <c r="AT173" i="2"/>
  <c r="AS173" i="2"/>
  <c r="AR173" i="2"/>
  <c r="AQ173" i="2"/>
  <c r="AP173" i="2"/>
  <c r="AO173" i="2"/>
  <c r="AN173" i="2"/>
  <c r="AM173" i="2"/>
  <c r="AD173" i="2"/>
  <c r="AC173" i="2"/>
  <c r="Y173" i="2"/>
  <c r="X173" i="2"/>
  <c r="W173" i="2"/>
  <c r="V173" i="2"/>
  <c r="U173" i="2"/>
  <c r="T173" i="2"/>
  <c r="S173" i="2"/>
  <c r="R173" i="2"/>
  <c r="Q173" i="2"/>
  <c r="P173" i="2"/>
  <c r="O173" i="2"/>
  <c r="C173" i="2"/>
  <c r="BE173" i="2" s="1"/>
  <c r="B173" i="2"/>
  <c r="A173" i="2"/>
  <c r="BD173" i="2" s="1"/>
  <c r="BS172" i="2"/>
  <c r="I171" i="3" s="1"/>
  <c r="BO172" i="2"/>
  <c r="BN172" i="2"/>
  <c r="H171" i="3" s="1"/>
  <c r="BM172" i="2"/>
  <c r="G171" i="3" s="1"/>
  <c r="AW172" i="2"/>
  <c r="AV172" i="2"/>
  <c r="AU172" i="2"/>
  <c r="AT172" i="2"/>
  <c r="AS172" i="2"/>
  <c r="AR172" i="2"/>
  <c r="AQ172" i="2"/>
  <c r="AP172" i="2"/>
  <c r="AO172" i="2"/>
  <c r="AN172" i="2"/>
  <c r="AM172" i="2"/>
  <c r="Y172" i="2"/>
  <c r="X172" i="2"/>
  <c r="W172" i="2"/>
  <c r="V172" i="2"/>
  <c r="U172" i="2"/>
  <c r="T172" i="2"/>
  <c r="S172" i="2"/>
  <c r="R172" i="2"/>
  <c r="Q172" i="2"/>
  <c r="P172" i="2"/>
  <c r="O172" i="2"/>
  <c r="J172" i="2"/>
  <c r="AZ172" i="2" s="1"/>
  <c r="C172" i="2"/>
  <c r="BE172" i="2" s="1"/>
  <c r="B172" i="2"/>
  <c r="A172" i="2"/>
  <c r="BD172" i="2" s="1"/>
  <c r="BS171" i="2"/>
  <c r="I170" i="3" s="1"/>
  <c r="BO171" i="2"/>
  <c r="BN171" i="2"/>
  <c r="H170" i="3" s="1"/>
  <c r="BM171" i="2"/>
  <c r="G170" i="3" s="1"/>
  <c r="AW171" i="2"/>
  <c r="AV171" i="2"/>
  <c r="AU171" i="2"/>
  <c r="AT171" i="2"/>
  <c r="AS171" i="2"/>
  <c r="AR171" i="2"/>
  <c r="AQ171" i="2"/>
  <c r="AP171" i="2"/>
  <c r="AO171" i="2"/>
  <c r="AN171" i="2"/>
  <c r="AM171" i="2"/>
  <c r="AE171" i="2"/>
  <c r="AD171" i="2"/>
  <c r="Y171" i="2"/>
  <c r="X171" i="2"/>
  <c r="W171" i="2"/>
  <c r="V171" i="2"/>
  <c r="U171" i="2"/>
  <c r="T171" i="2"/>
  <c r="S171" i="2"/>
  <c r="R171" i="2"/>
  <c r="Q171" i="2"/>
  <c r="P171" i="2"/>
  <c r="O171" i="2"/>
  <c r="C171" i="2"/>
  <c r="BE171" i="2" s="1"/>
  <c r="B171" i="2"/>
  <c r="A171" i="2"/>
  <c r="BD171" i="2" s="1"/>
  <c r="BS170" i="2"/>
  <c r="I169" i="3" s="1"/>
  <c r="BO170" i="2"/>
  <c r="BN170" i="2"/>
  <c r="H169" i="3" s="1"/>
  <c r="BM170" i="2"/>
  <c r="G169" i="3" s="1"/>
  <c r="AW170" i="2"/>
  <c r="AV170" i="2"/>
  <c r="AU170" i="2"/>
  <c r="AT170" i="2"/>
  <c r="AS170" i="2"/>
  <c r="AR170" i="2"/>
  <c r="AQ170" i="2"/>
  <c r="AP170" i="2"/>
  <c r="AO170" i="2"/>
  <c r="AN170" i="2"/>
  <c r="AM170" i="2"/>
  <c r="AH170" i="2"/>
  <c r="AG170" i="2"/>
  <c r="AF170" i="2"/>
  <c r="Y170" i="2"/>
  <c r="X170" i="2"/>
  <c r="W170" i="2"/>
  <c r="V170" i="2"/>
  <c r="U170" i="2"/>
  <c r="T170" i="2"/>
  <c r="S170" i="2"/>
  <c r="R170" i="2"/>
  <c r="Q170" i="2"/>
  <c r="P170" i="2"/>
  <c r="O170" i="2"/>
  <c r="H170" i="2"/>
  <c r="G170" i="2"/>
  <c r="F170" i="2"/>
  <c r="C170" i="2"/>
  <c r="BE170" i="2" s="1"/>
  <c r="B170" i="2"/>
  <c r="A170" i="2"/>
  <c r="BD170" i="2" s="1"/>
  <c r="BS169" i="2"/>
  <c r="I168" i="3" s="1"/>
  <c r="BO169" i="2"/>
  <c r="BN169" i="2"/>
  <c r="H168" i="3" s="1"/>
  <c r="BM169" i="2"/>
  <c r="G168" i="3" s="1"/>
  <c r="AW169" i="2"/>
  <c r="AV169" i="2"/>
  <c r="AU169" i="2"/>
  <c r="AT169" i="2"/>
  <c r="AS169" i="2"/>
  <c r="AR169" i="2"/>
  <c r="AQ169" i="2"/>
  <c r="AP169" i="2"/>
  <c r="AO169" i="2"/>
  <c r="AN169" i="2"/>
  <c r="AM169" i="2"/>
  <c r="AH169" i="2"/>
  <c r="Y169" i="2"/>
  <c r="X169" i="2"/>
  <c r="W169" i="2"/>
  <c r="V169" i="2"/>
  <c r="U169" i="2"/>
  <c r="T169" i="2"/>
  <c r="S169" i="2"/>
  <c r="R169" i="2"/>
  <c r="Q169" i="2"/>
  <c r="P169" i="2"/>
  <c r="O169" i="2"/>
  <c r="J169" i="2"/>
  <c r="I169" i="2"/>
  <c r="C169" i="2"/>
  <c r="BE169" i="2" s="1"/>
  <c r="B169" i="2"/>
  <c r="A169" i="2"/>
  <c r="BD169" i="2" s="1"/>
  <c r="BS168" i="2"/>
  <c r="I167" i="3" s="1"/>
  <c r="BO168" i="2"/>
  <c r="BN168" i="2"/>
  <c r="H167" i="3" s="1"/>
  <c r="BM168" i="2"/>
  <c r="G167" i="3" s="1"/>
  <c r="AW168" i="2"/>
  <c r="AV168" i="2"/>
  <c r="AU168" i="2"/>
  <c r="AT168" i="2"/>
  <c r="AS168" i="2"/>
  <c r="AR168" i="2"/>
  <c r="AQ168" i="2"/>
  <c r="AP168" i="2"/>
  <c r="AO168" i="2"/>
  <c r="AN168" i="2"/>
  <c r="AM168" i="2"/>
  <c r="AH168" i="2"/>
  <c r="AG168" i="2"/>
  <c r="Y168" i="2"/>
  <c r="X168" i="2"/>
  <c r="W168" i="2"/>
  <c r="V168" i="2"/>
  <c r="U168" i="2"/>
  <c r="T168" i="2"/>
  <c r="S168" i="2"/>
  <c r="R168" i="2"/>
  <c r="Q168" i="2"/>
  <c r="P168" i="2"/>
  <c r="O168" i="2"/>
  <c r="C168" i="2"/>
  <c r="BE168" i="2" s="1"/>
  <c r="B168" i="2"/>
  <c r="A168" i="2"/>
  <c r="BD168" i="2" s="1"/>
  <c r="BS167" i="2"/>
  <c r="I166" i="3" s="1"/>
  <c r="BO167" i="2"/>
  <c r="BN167" i="2"/>
  <c r="H166" i="3" s="1"/>
  <c r="BM167" i="2"/>
  <c r="G166" i="3" s="1"/>
  <c r="AW167" i="2"/>
  <c r="AV167" i="2"/>
  <c r="AU167" i="2"/>
  <c r="AT167" i="2"/>
  <c r="AS167" i="2"/>
  <c r="AR167" i="2"/>
  <c r="AQ167" i="2"/>
  <c r="AP167" i="2"/>
  <c r="AO167" i="2"/>
  <c r="AN167" i="2"/>
  <c r="AM167" i="2"/>
  <c r="Y167" i="2"/>
  <c r="X167" i="2"/>
  <c r="W167" i="2"/>
  <c r="V167" i="2"/>
  <c r="U167" i="2"/>
  <c r="T167" i="2"/>
  <c r="S167" i="2"/>
  <c r="R167" i="2"/>
  <c r="Q167" i="2"/>
  <c r="P167" i="2"/>
  <c r="O167" i="2"/>
  <c r="M167" i="2"/>
  <c r="L167" i="2"/>
  <c r="K167" i="2"/>
  <c r="J167" i="2"/>
  <c r="C167" i="2"/>
  <c r="BE167" i="2" s="1"/>
  <c r="B167" i="2"/>
  <c r="A167" i="2"/>
  <c r="BD167" i="2" s="1"/>
  <c r="BS166" i="2"/>
  <c r="I165" i="3" s="1"/>
  <c r="BO166" i="2"/>
  <c r="BN166" i="2"/>
  <c r="H165" i="3" s="1"/>
  <c r="BM166" i="2"/>
  <c r="G165" i="3" s="1"/>
  <c r="AW166" i="2"/>
  <c r="AV166" i="2"/>
  <c r="AU166" i="2"/>
  <c r="AT166" i="2"/>
  <c r="AS166" i="2"/>
  <c r="AR166" i="2"/>
  <c r="AQ166" i="2"/>
  <c r="AP166" i="2"/>
  <c r="AO166" i="2"/>
  <c r="AN166" i="2"/>
  <c r="AM166" i="2"/>
  <c r="Y166" i="2"/>
  <c r="X166" i="2"/>
  <c r="W166" i="2"/>
  <c r="V166" i="2"/>
  <c r="U166" i="2"/>
  <c r="T166" i="2"/>
  <c r="S166" i="2"/>
  <c r="R166" i="2"/>
  <c r="Q166" i="2"/>
  <c r="P166" i="2"/>
  <c r="O166" i="2"/>
  <c r="K166" i="2"/>
  <c r="J166" i="2"/>
  <c r="C166" i="2"/>
  <c r="BE166" i="2" s="1"/>
  <c r="B166" i="2"/>
  <c r="A166" i="2"/>
  <c r="BD166" i="2" s="1"/>
  <c r="BS165" i="2"/>
  <c r="I164" i="3" s="1"/>
  <c r="BO165" i="2"/>
  <c r="BN165" i="2"/>
  <c r="H164" i="3" s="1"/>
  <c r="BM165" i="2"/>
  <c r="G164" i="3" s="1"/>
  <c r="AW165" i="2"/>
  <c r="AV165" i="2"/>
  <c r="AU165" i="2"/>
  <c r="AT165" i="2"/>
  <c r="AS165" i="2"/>
  <c r="AR165" i="2"/>
  <c r="AQ165" i="2"/>
  <c r="AP165" i="2"/>
  <c r="AO165" i="2"/>
  <c r="AN165" i="2"/>
  <c r="AM165" i="2"/>
  <c r="AG165" i="2"/>
  <c r="Y165" i="2"/>
  <c r="X165" i="2"/>
  <c r="W165" i="2"/>
  <c r="V165" i="2"/>
  <c r="U165" i="2"/>
  <c r="T165" i="2"/>
  <c r="S165" i="2"/>
  <c r="R165" i="2"/>
  <c r="Q165" i="2"/>
  <c r="P165" i="2"/>
  <c r="O165" i="2"/>
  <c r="H165" i="2"/>
  <c r="G165" i="2"/>
  <c r="C165" i="2"/>
  <c r="BE165" i="2" s="1"/>
  <c r="B165" i="2"/>
  <c r="A165" i="2"/>
  <c r="BD165" i="2" s="1"/>
  <c r="BS164" i="2"/>
  <c r="I163" i="3" s="1"/>
  <c r="BO164" i="2"/>
  <c r="BN164" i="2"/>
  <c r="H163" i="3" s="1"/>
  <c r="BM164" i="2"/>
  <c r="G163" i="3" s="1"/>
  <c r="AW164" i="2"/>
  <c r="AV164" i="2"/>
  <c r="AU164" i="2"/>
  <c r="AT164" i="2"/>
  <c r="AS164" i="2"/>
  <c r="AR164" i="2"/>
  <c r="AQ164" i="2"/>
  <c r="AP164" i="2"/>
  <c r="AO164" i="2"/>
  <c r="AN164" i="2"/>
  <c r="AM164" i="2"/>
  <c r="AI164" i="2"/>
  <c r="AH164" i="2"/>
  <c r="AG164" i="2"/>
  <c r="AF164" i="2"/>
  <c r="AE164" i="2"/>
  <c r="AD164" i="2"/>
  <c r="Y164" i="2"/>
  <c r="X164" i="2"/>
  <c r="W164" i="2"/>
  <c r="V164" i="2"/>
  <c r="U164" i="2"/>
  <c r="T164" i="2"/>
  <c r="S164" i="2"/>
  <c r="R164" i="2"/>
  <c r="Q164" i="2"/>
  <c r="P164" i="2"/>
  <c r="O164" i="2"/>
  <c r="C164" i="2"/>
  <c r="BE164" i="2" s="1"/>
  <c r="B164" i="2"/>
  <c r="A164" i="2"/>
  <c r="BD164" i="2" s="1"/>
  <c r="BS163" i="2"/>
  <c r="I162" i="3" s="1"/>
  <c r="BO163" i="2"/>
  <c r="BN163" i="2"/>
  <c r="H162" i="3" s="1"/>
  <c r="BM163" i="2"/>
  <c r="G162" i="3" s="1"/>
  <c r="BE163" i="2"/>
  <c r="AW163" i="2"/>
  <c r="AV163" i="2"/>
  <c r="AU163" i="2"/>
  <c r="AT163" i="2"/>
  <c r="AS163" i="2"/>
  <c r="AR163" i="2"/>
  <c r="AQ163" i="2"/>
  <c r="AP163" i="2"/>
  <c r="AO163" i="2"/>
  <c r="AN163" i="2"/>
  <c r="AM163" i="2"/>
  <c r="AG163" i="2"/>
  <c r="AF163" i="2"/>
  <c r="Y163" i="2"/>
  <c r="X163" i="2"/>
  <c r="W163" i="2"/>
  <c r="V163" i="2"/>
  <c r="U163" i="2"/>
  <c r="T163" i="2"/>
  <c r="S163" i="2"/>
  <c r="R163" i="2"/>
  <c r="Q163" i="2"/>
  <c r="P163" i="2"/>
  <c r="O163" i="2"/>
  <c r="H163" i="2"/>
  <c r="G163" i="2"/>
  <c r="F163" i="2"/>
  <c r="C163" i="2"/>
  <c r="B163" i="2"/>
  <c r="A163" i="2"/>
  <c r="BD163" i="2" s="1"/>
  <c r="BS162" i="2"/>
  <c r="I161" i="3" s="1"/>
  <c r="BO162" i="2"/>
  <c r="BN162" i="2"/>
  <c r="H161" i="3" s="1"/>
  <c r="BM162" i="2"/>
  <c r="G161" i="3" s="1"/>
  <c r="AW162" i="2"/>
  <c r="AV162" i="2"/>
  <c r="AU162" i="2"/>
  <c r="AT162" i="2"/>
  <c r="AS162" i="2"/>
  <c r="AR162" i="2"/>
  <c r="AQ162" i="2"/>
  <c r="AP162" i="2"/>
  <c r="AO162" i="2"/>
  <c r="AN162" i="2"/>
  <c r="AM162" i="2"/>
  <c r="AC162" i="2"/>
  <c r="AY162" i="2" s="1"/>
  <c r="BG162" i="2" s="1"/>
  <c r="Y162" i="2"/>
  <c r="X162" i="2"/>
  <c r="W162" i="2"/>
  <c r="V162" i="2"/>
  <c r="U162" i="2"/>
  <c r="T162" i="2"/>
  <c r="S162" i="2"/>
  <c r="R162" i="2"/>
  <c r="Q162" i="2"/>
  <c r="P162" i="2"/>
  <c r="O162" i="2"/>
  <c r="C162" i="2"/>
  <c r="BE162" i="2" s="1"/>
  <c r="B162" i="2"/>
  <c r="A162" i="2"/>
  <c r="BD162" i="2" s="1"/>
  <c r="BS161" i="2"/>
  <c r="I160" i="3" s="1"/>
  <c r="BO161" i="2"/>
  <c r="BN161" i="2"/>
  <c r="H160" i="3" s="1"/>
  <c r="BM161" i="2"/>
  <c r="G160" i="3" s="1"/>
  <c r="AW161" i="2"/>
  <c r="AV161" i="2"/>
  <c r="AU161" i="2"/>
  <c r="AT161" i="2"/>
  <c r="AS161" i="2"/>
  <c r="AR161" i="2"/>
  <c r="AQ161" i="2"/>
  <c r="AP161" i="2"/>
  <c r="AO161" i="2"/>
  <c r="AN161" i="2"/>
  <c r="AM161" i="2"/>
  <c r="AH161" i="2"/>
  <c r="AG161" i="2"/>
  <c r="AF161" i="2"/>
  <c r="AE161" i="2"/>
  <c r="Y161" i="2"/>
  <c r="X161" i="2"/>
  <c r="W161" i="2"/>
  <c r="V161" i="2"/>
  <c r="U161" i="2"/>
  <c r="T161" i="2"/>
  <c r="S161" i="2"/>
  <c r="R161" i="2"/>
  <c r="Q161" i="2"/>
  <c r="P161" i="2"/>
  <c r="O161" i="2"/>
  <c r="C161" i="2"/>
  <c r="BE161" i="2" s="1"/>
  <c r="B161" i="2"/>
  <c r="A161" i="2"/>
  <c r="BD161" i="2" s="1"/>
  <c r="BS160" i="2"/>
  <c r="I159" i="3" s="1"/>
  <c r="BO160" i="2"/>
  <c r="BN160" i="2"/>
  <c r="H159" i="3" s="1"/>
  <c r="BM160" i="2"/>
  <c r="G159" i="3" s="1"/>
  <c r="AW160" i="2"/>
  <c r="AV160" i="2"/>
  <c r="AU160" i="2"/>
  <c r="AT160" i="2"/>
  <c r="AS160" i="2"/>
  <c r="AR160" i="2"/>
  <c r="AQ160" i="2"/>
  <c r="AP160" i="2"/>
  <c r="AO160" i="2"/>
  <c r="AN160" i="2"/>
  <c r="AM160" i="2"/>
  <c r="AD160" i="2"/>
  <c r="AC160" i="2"/>
  <c r="Y160" i="2"/>
  <c r="X160" i="2"/>
  <c r="W160" i="2"/>
  <c r="V160" i="2"/>
  <c r="U160" i="2"/>
  <c r="T160" i="2"/>
  <c r="S160" i="2"/>
  <c r="R160" i="2"/>
  <c r="Q160" i="2"/>
  <c r="P160" i="2"/>
  <c r="O160" i="2"/>
  <c r="C160" i="2"/>
  <c r="BE160" i="2" s="1"/>
  <c r="B160" i="2"/>
  <c r="A160" i="2"/>
  <c r="BD160" i="2" s="1"/>
  <c r="BS159" i="2"/>
  <c r="I158" i="3" s="1"/>
  <c r="BO159" i="2"/>
  <c r="BN159" i="2"/>
  <c r="H158" i="3" s="1"/>
  <c r="BM159" i="2"/>
  <c r="G158" i="3" s="1"/>
  <c r="AW159" i="2"/>
  <c r="AV159" i="2"/>
  <c r="AU159" i="2"/>
  <c r="AT159" i="2"/>
  <c r="AS159" i="2"/>
  <c r="AR159" i="2"/>
  <c r="AQ159" i="2"/>
  <c r="AP159" i="2"/>
  <c r="AO159" i="2"/>
  <c r="AN159" i="2"/>
  <c r="AM159" i="2"/>
  <c r="AB159" i="2"/>
  <c r="AY159" i="2" s="1"/>
  <c r="BG159" i="2" s="1"/>
  <c r="Y159" i="2"/>
  <c r="X159" i="2"/>
  <c r="W159" i="2"/>
  <c r="V159" i="2"/>
  <c r="U159" i="2"/>
  <c r="T159" i="2"/>
  <c r="S159" i="2"/>
  <c r="R159" i="2"/>
  <c r="Q159" i="2"/>
  <c r="P159" i="2"/>
  <c r="O159" i="2"/>
  <c r="C159" i="2"/>
  <c r="BE159" i="2" s="1"/>
  <c r="B159" i="2"/>
  <c r="A159" i="2"/>
  <c r="BD159" i="2" s="1"/>
  <c r="BS158" i="2"/>
  <c r="I157" i="3" s="1"/>
  <c r="BO158" i="2"/>
  <c r="BN158" i="2"/>
  <c r="H157" i="3" s="1"/>
  <c r="BM158" i="2"/>
  <c r="G157" i="3" s="1"/>
  <c r="AW158" i="2"/>
  <c r="AV158" i="2"/>
  <c r="AU158" i="2"/>
  <c r="AT158" i="2"/>
  <c r="AS158" i="2"/>
  <c r="AR158" i="2"/>
  <c r="AQ158" i="2"/>
  <c r="AP158" i="2"/>
  <c r="AO158" i="2"/>
  <c r="AN158" i="2"/>
  <c r="AM158" i="2"/>
  <c r="Y158" i="2"/>
  <c r="X158" i="2"/>
  <c r="W158" i="2"/>
  <c r="V158" i="2"/>
  <c r="U158" i="2"/>
  <c r="T158" i="2"/>
  <c r="S158" i="2"/>
  <c r="R158" i="2"/>
  <c r="Q158" i="2"/>
  <c r="P158" i="2"/>
  <c r="O158" i="2"/>
  <c r="L158" i="2"/>
  <c r="K158" i="2"/>
  <c r="J158" i="2"/>
  <c r="C158" i="2"/>
  <c r="BE158" i="2" s="1"/>
  <c r="B158" i="2"/>
  <c r="A158" i="2"/>
  <c r="BD158" i="2" s="1"/>
  <c r="BS157" i="2"/>
  <c r="I156" i="3" s="1"/>
  <c r="BO157" i="2"/>
  <c r="BN157" i="2"/>
  <c r="H156" i="3" s="1"/>
  <c r="BM157" i="2"/>
  <c r="G156" i="3" s="1"/>
  <c r="AW157" i="2"/>
  <c r="AV157" i="2"/>
  <c r="AU157" i="2"/>
  <c r="AT157" i="2"/>
  <c r="AS157" i="2"/>
  <c r="AR157" i="2"/>
  <c r="AQ157" i="2"/>
  <c r="AP157" i="2"/>
  <c r="AO157" i="2"/>
  <c r="AN157" i="2"/>
  <c r="AM157" i="2"/>
  <c r="AE157" i="2"/>
  <c r="AD157" i="2"/>
  <c r="AC157" i="2"/>
  <c r="Y157" i="2"/>
  <c r="X157" i="2"/>
  <c r="W157" i="2"/>
  <c r="V157" i="2"/>
  <c r="U157" i="2"/>
  <c r="T157" i="2"/>
  <c r="S157" i="2"/>
  <c r="R157" i="2"/>
  <c r="Q157" i="2"/>
  <c r="P157" i="2"/>
  <c r="O157" i="2"/>
  <c r="C157" i="2"/>
  <c r="BE157" i="2" s="1"/>
  <c r="B157" i="2"/>
  <c r="A157" i="2"/>
  <c r="BD157" i="2" s="1"/>
  <c r="BS156" i="2"/>
  <c r="I155" i="3" s="1"/>
  <c r="BO156" i="2"/>
  <c r="BN156" i="2"/>
  <c r="H155" i="3" s="1"/>
  <c r="BM156" i="2"/>
  <c r="G155" i="3" s="1"/>
  <c r="AW156" i="2"/>
  <c r="AV156" i="2"/>
  <c r="AU156" i="2"/>
  <c r="AT156" i="2"/>
  <c r="AS156" i="2"/>
  <c r="AR156" i="2"/>
  <c r="AQ156" i="2"/>
  <c r="AP156" i="2"/>
  <c r="AO156" i="2"/>
  <c r="AN156" i="2"/>
  <c r="AM156" i="2"/>
  <c r="AC156" i="2"/>
  <c r="AZ156" i="2" s="1"/>
  <c r="Y156" i="2"/>
  <c r="X156" i="2"/>
  <c r="W156" i="2"/>
  <c r="V156" i="2"/>
  <c r="U156" i="2"/>
  <c r="T156" i="2"/>
  <c r="S156" i="2"/>
  <c r="R156" i="2"/>
  <c r="Q156" i="2"/>
  <c r="P156" i="2"/>
  <c r="O156" i="2"/>
  <c r="C156" i="2"/>
  <c r="BE156" i="2" s="1"/>
  <c r="B156" i="2"/>
  <c r="A156" i="2"/>
  <c r="BD156" i="2" s="1"/>
  <c r="BS155" i="2"/>
  <c r="I154" i="3" s="1"/>
  <c r="BO155" i="2"/>
  <c r="BN155" i="2"/>
  <c r="H154" i="3" s="1"/>
  <c r="BM155" i="2"/>
  <c r="G154" i="3" s="1"/>
  <c r="AW155" i="2"/>
  <c r="AV155" i="2"/>
  <c r="AU155" i="2"/>
  <c r="AT155" i="2"/>
  <c r="AS155" i="2"/>
  <c r="AR155" i="2"/>
  <c r="AQ155" i="2"/>
  <c r="AP155" i="2"/>
  <c r="AO155" i="2"/>
  <c r="AN155" i="2"/>
  <c r="AM155" i="2"/>
  <c r="AE155" i="2"/>
  <c r="AD155" i="2"/>
  <c r="AC155" i="2"/>
  <c r="Y155" i="2"/>
  <c r="X155" i="2"/>
  <c r="W155" i="2"/>
  <c r="V155" i="2"/>
  <c r="U155" i="2"/>
  <c r="T155" i="2"/>
  <c r="S155" i="2"/>
  <c r="R155" i="2"/>
  <c r="Q155" i="2"/>
  <c r="P155" i="2"/>
  <c r="O155" i="2"/>
  <c r="C155" i="2"/>
  <c r="BE155" i="2" s="1"/>
  <c r="B155" i="2"/>
  <c r="A155" i="2"/>
  <c r="BD155" i="2" s="1"/>
  <c r="BS154" i="2"/>
  <c r="I153" i="3" s="1"/>
  <c r="BO154" i="2"/>
  <c r="BN154" i="2"/>
  <c r="H153" i="3" s="1"/>
  <c r="BM154" i="2"/>
  <c r="G153" i="3" s="1"/>
  <c r="AW154" i="2"/>
  <c r="AV154" i="2"/>
  <c r="AU154" i="2"/>
  <c r="AT154" i="2"/>
  <c r="AS154" i="2"/>
  <c r="AR154" i="2"/>
  <c r="AQ154" i="2"/>
  <c r="AP154" i="2"/>
  <c r="AO154" i="2"/>
  <c r="AN154" i="2"/>
  <c r="AM154" i="2"/>
  <c r="Y154" i="2"/>
  <c r="X154" i="2"/>
  <c r="W154" i="2"/>
  <c r="V154" i="2"/>
  <c r="U154" i="2"/>
  <c r="T154" i="2"/>
  <c r="S154" i="2"/>
  <c r="R154" i="2"/>
  <c r="Q154" i="2"/>
  <c r="P154" i="2"/>
  <c r="O154" i="2"/>
  <c r="M154" i="2"/>
  <c r="L154" i="2"/>
  <c r="K154" i="2"/>
  <c r="J154" i="2"/>
  <c r="C154" i="2"/>
  <c r="BE154" i="2" s="1"/>
  <c r="B154" i="2"/>
  <c r="A154" i="2"/>
  <c r="BD154" i="2" s="1"/>
  <c r="BS153" i="2"/>
  <c r="I152" i="3" s="1"/>
  <c r="BO153" i="2"/>
  <c r="BN153" i="2"/>
  <c r="H152" i="3" s="1"/>
  <c r="BM153" i="2"/>
  <c r="G152" i="3" s="1"/>
  <c r="AW153" i="2"/>
  <c r="AV153" i="2"/>
  <c r="AU153" i="2"/>
  <c r="AT153" i="2"/>
  <c r="AS153" i="2"/>
  <c r="AR153" i="2"/>
  <c r="AQ153" i="2"/>
  <c r="AP153" i="2"/>
  <c r="AO153" i="2"/>
  <c r="AN153" i="2"/>
  <c r="AM153" i="2"/>
  <c r="AG153" i="2"/>
  <c r="Y153" i="2"/>
  <c r="X153" i="2"/>
  <c r="W153" i="2"/>
  <c r="V153" i="2"/>
  <c r="U153" i="2"/>
  <c r="T153" i="2"/>
  <c r="S153" i="2"/>
  <c r="R153" i="2"/>
  <c r="Q153" i="2"/>
  <c r="P153" i="2"/>
  <c r="O153" i="2"/>
  <c r="I153" i="2"/>
  <c r="H153" i="2"/>
  <c r="G153" i="2"/>
  <c r="C153" i="2"/>
  <c r="BE153" i="2" s="1"/>
  <c r="B153" i="2"/>
  <c r="A153" i="2"/>
  <c r="BD153" i="2" s="1"/>
  <c r="BS152" i="2"/>
  <c r="I151" i="3" s="1"/>
  <c r="BO152" i="2"/>
  <c r="BN152" i="2"/>
  <c r="H151" i="3" s="1"/>
  <c r="BM152" i="2"/>
  <c r="G151" i="3" s="1"/>
  <c r="AW152" i="2"/>
  <c r="AV152" i="2"/>
  <c r="AU152" i="2"/>
  <c r="AT152" i="2"/>
  <c r="AS152" i="2"/>
  <c r="AR152" i="2"/>
  <c r="AQ152" i="2"/>
  <c r="AP152" i="2"/>
  <c r="AO152" i="2"/>
  <c r="AN152" i="2"/>
  <c r="AM152" i="2"/>
  <c r="AC152" i="2"/>
  <c r="Y152" i="2"/>
  <c r="X152" i="2"/>
  <c r="W152" i="2"/>
  <c r="V152" i="2"/>
  <c r="U152" i="2"/>
  <c r="T152" i="2"/>
  <c r="S152" i="2"/>
  <c r="R152" i="2"/>
  <c r="Q152" i="2"/>
  <c r="P152" i="2"/>
  <c r="O152" i="2"/>
  <c r="C152" i="2"/>
  <c r="BE152" i="2" s="1"/>
  <c r="B152" i="2"/>
  <c r="A152" i="2"/>
  <c r="BD152" i="2" s="1"/>
  <c r="BS151" i="2"/>
  <c r="I150" i="3" s="1"/>
  <c r="BO151" i="2"/>
  <c r="BN151" i="2"/>
  <c r="H150" i="3" s="1"/>
  <c r="BM151" i="2"/>
  <c r="G150" i="3" s="1"/>
  <c r="AW151" i="2"/>
  <c r="AV151" i="2"/>
  <c r="AU151" i="2"/>
  <c r="AT151" i="2"/>
  <c r="AS151" i="2"/>
  <c r="AR151" i="2"/>
  <c r="AQ151" i="2"/>
  <c r="AP151" i="2"/>
  <c r="AO151" i="2"/>
  <c r="AN151" i="2"/>
  <c r="AM151" i="2"/>
  <c r="AD151" i="2"/>
  <c r="AZ151" i="2" s="1"/>
  <c r="Y151" i="2"/>
  <c r="X151" i="2"/>
  <c r="W151" i="2"/>
  <c r="V151" i="2"/>
  <c r="U151" i="2"/>
  <c r="T151" i="2"/>
  <c r="S151" i="2"/>
  <c r="R151" i="2"/>
  <c r="Q151" i="2"/>
  <c r="P151" i="2"/>
  <c r="O151" i="2"/>
  <c r="C151" i="2"/>
  <c r="BE151" i="2" s="1"/>
  <c r="B151" i="2"/>
  <c r="A151" i="2"/>
  <c r="BD151" i="2" s="1"/>
  <c r="BS150" i="2"/>
  <c r="I149" i="3" s="1"/>
  <c r="BO150" i="2"/>
  <c r="BN150" i="2"/>
  <c r="H149" i="3" s="1"/>
  <c r="BM150" i="2"/>
  <c r="G149" i="3" s="1"/>
  <c r="AW150" i="2"/>
  <c r="AV150" i="2"/>
  <c r="AU150" i="2"/>
  <c r="AT150" i="2"/>
  <c r="AS150" i="2"/>
  <c r="AR150" i="2"/>
  <c r="AQ150" i="2"/>
  <c r="AP150" i="2"/>
  <c r="AO150" i="2"/>
  <c r="AN150" i="2"/>
  <c r="AM150" i="2"/>
  <c r="AC150" i="2"/>
  <c r="AY150" i="2" s="1"/>
  <c r="BG150" i="2" s="1"/>
  <c r="Y150" i="2"/>
  <c r="X150" i="2"/>
  <c r="W150" i="2"/>
  <c r="V150" i="2"/>
  <c r="U150" i="2"/>
  <c r="T150" i="2"/>
  <c r="S150" i="2"/>
  <c r="R150" i="2"/>
  <c r="Q150" i="2"/>
  <c r="P150" i="2"/>
  <c r="O150" i="2"/>
  <c r="C150" i="2"/>
  <c r="BE150" i="2" s="1"/>
  <c r="B150" i="2"/>
  <c r="A150" i="2"/>
  <c r="BD150" i="2" s="1"/>
  <c r="BS149" i="2"/>
  <c r="I148" i="3" s="1"/>
  <c r="BO149" i="2"/>
  <c r="BN149" i="2"/>
  <c r="H148" i="3" s="1"/>
  <c r="BM149" i="2"/>
  <c r="G148" i="3" s="1"/>
  <c r="AW149" i="2"/>
  <c r="AV149" i="2"/>
  <c r="AU149" i="2"/>
  <c r="AT149" i="2"/>
  <c r="AS149" i="2"/>
  <c r="AR149" i="2"/>
  <c r="AQ149" i="2"/>
  <c r="AP149" i="2"/>
  <c r="AO149" i="2"/>
  <c r="AN149" i="2"/>
  <c r="AM149" i="2"/>
  <c r="AG149" i="2"/>
  <c r="Y149" i="2"/>
  <c r="X149" i="2"/>
  <c r="W149" i="2"/>
  <c r="V149" i="2"/>
  <c r="U149" i="2"/>
  <c r="T149" i="2"/>
  <c r="S149" i="2"/>
  <c r="R149" i="2"/>
  <c r="Q149" i="2"/>
  <c r="P149" i="2"/>
  <c r="O149" i="2"/>
  <c r="I149" i="2"/>
  <c r="H149" i="2"/>
  <c r="G149" i="2"/>
  <c r="F149" i="2"/>
  <c r="C149" i="2"/>
  <c r="BE149" i="2" s="1"/>
  <c r="B149" i="2"/>
  <c r="A149" i="2"/>
  <c r="BD149" i="2" s="1"/>
  <c r="BS148" i="2"/>
  <c r="I147" i="3" s="1"/>
  <c r="BO148" i="2"/>
  <c r="BN148" i="2"/>
  <c r="H147" i="3" s="1"/>
  <c r="BM148" i="2"/>
  <c r="G147" i="3" s="1"/>
  <c r="AW148" i="2"/>
  <c r="AV148" i="2"/>
  <c r="AU148" i="2"/>
  <c r="AT148" i="2"/>
  <c r="AS148" i="2"/>
  <c r="AR148" i="2"/>
  <c r="AQ148" i="2"/>
  <c r="AP148" i="2"/>
  <c r="AO148" i="2"/>
  <c r="AN148" i="2"/>
  <c r="AM148" i="2"/>
  <c r="AI148" i="2"/>
  <c r="AH148" i="2"/>
  <c r="Y148" i="2"/>
  <c r="X148" i="2"/>
  <c r="W148" i="2"/>
  <c r="V148" i="2"/>
  <c r="U148" i="2"/>
  <c r="T148" i="2"/>
  <c r="S148" i="2"/>
  <c r="R148" i="2"/>
  <c r="Q148" i="2"/>
  <c r="P148" i="2"/>
  <c r="O148" i="2"/>
  <c r="J148" i="2"/>
  <c r="I148" i="2"/>
  <c r="C148" i="2"/>
  <c r="BE148" i="2" s="1"/>
  <c r="B148" i="2"/>
  <c r="A148" i="2"/>
  <c r="BD148" i="2" s="1"/>
  <c r="BS147" i="2"/>
  <c r="I146" i="3" s="1"/>
  <c r="BO147" i="2"/>
  <c r="BN147" i="2"/>
  <c r="H146" i="3" s="1"/>
  <c r="BM147" i="2"/>
  <c r="G146" i="3" s="1"/>
  <c r="AW147" i="2"/>
  <c r="AV147" i="2"/>
  <c r="AU147" i="2"/>
  <c r="AT147" i="2"/>
  <c r="AS147" i="2"/>
  <c r="AR147" i="2"/>
  <c r="AQ147" i="2"/>
  <c r="AP147" i="2"/>
  <c r="AO147" i="2"/>
  <c r="AN147" i="2"/>
  <c r="AM147" i="2"/>
  <c r="AD147" i="2"/>
  <c r="AC147" i="2"/>
  <c r="Y147" i="2"/>
  <c r="X147" i="2"/>
  <c r="W147" i="2"/>
  <c r="V147" i="2"/>
  <c r="U147" i="2"/>
  <c r="T147" i="2"/>
  <c r="S147" i="2"/>
  <c r="R147" i="2"/>
  <c r="Q147" i="2"/>
  <c r="P147" i="2"/>
  <c r="O147" i="2"/>
  <c r="C147" i="2"/>
  <c r="BE147" i="2" s="1"/>
  <c r="B147" i="2"/>
  <c r="A147" i="2"/>
  <c r="BD147" i="2" s="1"/>
  <c r="BS146" i="2"/>
  <c r="I145" i="3" s="1"/>
  <c r="BO146" i="2"/>
  <c r="BN146" i="2"/>
  <c r="H145" i="3" s="1"/>
  <c r="BM146" i="2"/>
  <c r="G145" i="3" s="1"/>
  <c r="AW146" i="2"/>
  <c r="AV146" i="2"/>
  <c r="AU146" i="2"/>
  <c r="AT146" i="2"/>
  <c r="AS146" i="2"/>
  <c r="AR146" i="2"/>
  <c r="AQ146" i="2"/>
  <c r="AP146" i="2"/>
  <c r="AO146" i="2"/>
  <c r="AN146" i="2"/>
  <c r="AM146" i="2"/>
  <c r="AD146" i="2"/>
  <c r="AY146" i="2" s="1"/>
  <c r="BG146" i="2" s="1"/>
  <c r="Y146" i="2"/>
  <c r="X146" i="2"/>
  <c r="W146" i="2"/>
  <c r="V146" i="2"/>
  <c r="U146" i="2"/>
  <c r="T146" i="2"/>
  <c r="S146" i="2"/>
  <c r="R146" i="2"/>
  <c r="Q146" i="2"/>
  <c r="P146" i="2"/>
  <c r="O146" i="2"/>
  <c r="C146" i="2"/>
  <c r="BE146" i="2" s="1"/>
  <c r="B146" i="2"/>
  <c r="A146" i="2"/>
  <c r="BD146" i="2" s="1"/>
  <c r="BS145" i="2"/>
  <c r="I144" i="3" s="1"/>
  <c r="BO145" i="2"/>
  <c r="BN145" i="2"/>
  <c r="H144" i="3" s="1"/>
  <c r="BM145" i="2"/>
  <c r="G144" i="3" s="1"/>
  <c r="AW145" i="2"/>
  <c r="AV145" i="2"/>
  <c r="AU145" i="2"/>
  <c r="AT145" i="2"/>
  <c r="AS145" i="2"/>
  <c r="AR145" i="2"/>
  <c r="AQ145" i="2"/>
  <c r="AP145" i="2"/>
  <c r="AO145" i="2"/>
  <c r="AN145" i="2"/>
  <c r="AM145" i="2"/>
  <c r="AC145" i="2"/>
  <c r="AB145" i="2"/>
  <c r="AY145" i="2" s="1"/>
  <c r="BG145" i="2" s="1"/>
  <c r="Y145" i="2"/>
  <c r="X145" i="2"/>
  <c r="W145" i="2"/>
  <c r="V145" i="2"/>
  <c r="U145" i="2"/>
  <c r="T145" i="2"/>
  <c r="S145" i="2"/>
  <c r="R145" i="2"/>
  <c r="Q145" i="2"/>
  <c r="P145" i="2"/>
  <c r="O145" i="2"/>
  <c r="C145" i="2"/>
  <c r="BE145" i="2" s="1"/>
  <c r="B145" i="2"/>
  <c r="A145" i="2"/>
  <c r="BD145" i="2" s="1"/>
  <c r="BS144" i="2"/>
  <c r="I143" i="3" s="1"/>
  <c r="BO144" i="2"/>
  <c r="BN144" i="2"/>
  <c r="H143" i="3" s="1"/>
  <c r="BM144" i="2"/>
  <c r="G143" i="3" s="1"/>
  <c r="AW144" i="2"/>
  <c r="AV144" i="2"/>
  <c r="AU144" i="2"/>
  <c r="AT144" i="2"/>
  <c r="AS144" i="2"/>
  <c r="AR144" i="2"/>
  <c r="AQ144" i="2"/>
  <c r="AP144" i="2"/>
  <c r="AO144" i="2"/>
  <c r="AN144" i="2"/>
  <c r="AM144" i="2"/>
  <c r="AC144" i="2"/>
  <c r="Y144" i="2"/>
  <c r="X144" i="2"/>
  <c r="W144" i="2"/>
  <c r="V144" i="2"/>
  <c r="U144" i="2"/>
  <c r="T144" i="2"/>
  <c r="S144" i="2"/>
  <c r="R144" i="2"/>
  <c r="Q144" i="2"/>
  <c r="P144" i="2"/>
  <c r="O144" i="2"/>
  <c r="C144" i="2"/>
  <c r="BE144" i="2" s="1"/>
  <c r="B144" i="2"/>
  <c r="A144" i="2"/>
  <c r="BD144" i="2" s="1"/>
  <c r="BS143" i="2"/>
  <c r="I142" i="3" s="1"/>
  <c r="BO143" i="2"/>
  <c r="BN143" i="2"/>
  <c r="H142" i="3" s="1"/>
  <c r="BM143" i="2"/>
  <c r="G142" i="3" s="1"/>
  <c r="AZ143" i="2"/>
  <c r="AW143" i="2"/>
  <c r="AV143" i="2"/>
  <c r="AU143" i="2"/>
  <c r="AT143" i="2"/>
  <c r="AS143" i="2"/>
  <c r="AR143" i="2"/>
  <c r="AQ143" i="2"/>
  <c r="AP143" i="2"/>
  <c r="AO143" i="2"/>
  <c r="AN143" i="2"/>
  <c r="AM143" i="2"/>
  <c r="AC143" i="2"/>
  <c r="AY143" i="2" s="1"/>
  <c r="BG143" i="2" s="1"/>
  <c r="Y143" i="2"/>
  <c r="X143" i="2"/>
  <c r="W143" i="2"/>
  <c r="V143" i="2"/>
  <c r="U143" i="2"/>
  <c r="T143" i="2"/>
  <c r="S143" i="2"/>
  <c r="R143" i="2"/>
  <c r="Q143" i="2"/>
  <c r="P143" i="2"/>
  <c r="O143" i="2"/>
  <c r="C143" i="2"/>
  <c r="BE143" i="2" s="1"/>
  <c r="B143" i="2"/>
  <c r="A143" i="2"/>
  <c r="BD143" i="2" s="1"/>
  <c r="BS142" i="2"/>
  <c r="I141" i="3" s="1"/>
  <c r="BO142" i="2"/>
  <c r="BN142" i="2"/>
  <c r="H141" i="3" s="1"/>
  <c r="BM142" i="2"/>
  <c r="G141" i="3" s="1"/>
  <c r="AW142" i="2"/>
  <c r="AV142" i="2"/>
  <c r="AU142" i="2"/>
  <c r="AT142" i="2"/>
  <c r="AS142" i="2"/>
  <c r="AR142" i="2"/>
  <c r="AQ142" i="2"/>
  <c r="AP142" i="2"/>
  <c r="AO142" i="2"/>
  <c r="AN142" i="2"/>
  <c r="AM142" i="2"/>
  <c r="AG142" i="2"/>
  <c r="AZ142" i="2" s="1"/>
  <c r="Y142" i="2"/>
  <c r="X142" i="2"/>
  <c r="W142" i="2"/>
  <c r="V142" i="2"/>
  <c r="U142" i="2"/>
  <c r="T142" i="2"/>
  <c r="S142" i="2"/>
  <c r="R142" i="2"/>
  <c r="Q142" i="2"/>
  <c r="P142" i="2"/>
  <c r="O142" i="2"/>
  <c r="C142" i="2"/>
  <c r="BE142" i="2" s="1"/>
  <c r="B142" i="2"/>
  <c r="A142" i="2"/>
  <c r="BD142" i="2" s="1"/>
  <c r="BS141" i="2"/>
  <c r="I140" i="3" s="1"/>
  <c r="BO141" i="2"/>
  <c r="BN141" i="2"/>
  <c r="H140" i="3" s="1"/>
  <c r="BM141" i="2"/>
  <c r="G140" i="3" s="1"/>
  <c r="AW141" i="2"/>
  <c r="AV141" i="2"/>
  <c r="AU141" i="2"/>
  <c r="AT141" i="2"/>
  <c r="AS141" i="2"/>
  <c r="AR141" i="2"/>
  <c r="AQ141" i="2"/>
  <c r="AP141" i="2"/>
  <c r="AO141" i="2"/>
  <c r="AN141" i="2"/>
  <c r="AM141" i="2"/>
  <c r="AD141" i="2"/>
  <c r="AC141" i="2"/>
  <c r="Y141" i="2"/>
  <c r="X141" i="2"/>
  <c r="W141" i="2"/>
  <c r="V141" i="2"/>
  <c r="U141" i="2"/>
  <c r="T141" i="2"/>
  <c r="S141" i="2"/>
  <c r="R141" i="2"/>
  <c r="Q141" i="2"/>
  <c r="P141" i="2"/>
  <c r="O141" i="2"/>
  <c r="C141" i="2"/>
  <c r="BE141" i="2" s="1"/>
  <c r="B141" i="2"/>
  <c r="A141" i="2"/>
  <c r="BD141" i="2" s="1"/>
  <c r="BS140" i="2"/>
  <c r="I139" i="3" s="1"/>
  <c r="BO140" i="2"/>
  <c r="BN140" i="2"/>
  <c r="H139" i="3" s="1"/>
  <c r="BM140" i="2"/>
  <c r="G139" i="3" s="1"/>
  <c r="AW140" i="2"/>
  <c r="AV140" i="2"/>
  <c r="AU140" i="2"/>
  <c r="AT140" i="2"/>
  <c r="AS140" i="2"/>
  <c r="AR140" i="2"/>
  <c r="AQ140" i="2"/>
  <c r="AP140" i="2"/>
  <c r="AO140" i="2"/>
  <c r="AN140" i="2"/>
  <c r="AM140" i="2"/>
  <c r="AH140" i="2"/>
  <c r="AZ140" i="2" s="1"/>
  <c r="AG140" i="2"/>
  <c r="Y140" i="2"/>
  <c r="X140" i="2"/>
  <c r="W140" i="2"/>
  <c r="V140" i="2"/>
  <c r="U140" i="2"/>
  <c r="T140" i="2"/>
  <c r="S140" i="2"/>
  <c r="R140" i="2"/>
  <c r="Q140" i="2"/>
  <c r="P140" i="2"/>
  <c r="O140" i="2"/>
  <c r="C140" i="2"/>
  <c r="BE140" i="2" s="1"/>
  <c r="B140" i="2"/>
  <c r="A140" i="2"/>
  <c r="BD140" i="2" s="1"/>
  <c r="BS139" i="2"/>
  <c r="I138" i="3" s="1"/>
  <c r="BO139" i="2"/>
  <c r="BN139" i="2"/>
  <c r="H138" i="3" s="1"/>
  <c r="BM139" i="2"/>
  <c r="G138" i="3" s="1"/>
  <c r="AW139" i="2"/>
  <c r="AV139" i="2"/>
  <c r="AU139" i="2"/>
  <c r="AT139" i="2"/>
  <c r="AS139" i="2"/>
  <c r="AR139" i="2"/>
  <c r="AQ139" i="2"/>
  <c r="AP139" i="2"/>
  <c r="AO139" i="2"/>
  <c r="AN139" i="2"/>
  <c r="AM139" i="2"/>
  <c r="AE139" i="2"/>
  <c r="AD139" i="2"/>
  <c r="AC139" i="2"/>
  <c r="Y139" i="2"/>
  <c r="X139" i="2"/>
  <c r="W139" i="2"/>
  <c r="V139" i="2"/>
  <c r="U139" i="2"/>
  <c r="T139" i="2"/>
  <c r="S139" i="2"/>
  <c r="R139" i="2"/>
  <c r="Q139" i="2"/>
  <c r="P139" i="2"/>
  <c r="O139" i="2"/>
  <c r="C139" i="2"/>
  <c r="BE139" i="2" s="1"/>
  <c r="B139" i="2"/>
  <c r="A139" i="2"/>
  <c r="BD139" i="2" s="1"/>
  <c r="BS138" i="2"/>
  <c r="I137" i="3" s="1"/>
  <c r="BO138" i="2"/>
  <c r="BN138" i="2"/>
  <c r="H137" i="3" s="1"/>
  <c r="BM138" i="2"/>
  <c r="G137" i="3" s="1"/>
  <c r="AW138" i="2"/>
  <c r="AV138" i="2"/>
  <c r="AU138" i="2"/>
  <c r="AT138" i="2"/>
  <c r="AS138" i="2"/>
  <c r="AR138" i="2"/>
  <c r="AQ138" i="2"/>
  <c r="AP138" i="2"/>
  <c r="AO138" i="2"/>
  <c r="AN138" i="2"/>
  <c r="AM138" i="2"/>
  <c r="AE138" i="2"/>
  <c r="AD138" i="2"/>
  <c r="AC138" i="2"/>
  <c r="Y138" i="2"/>
  <c r="X138" i="2"/>
  <c r="W138" i="2"/>
  <c r="V138" i="2"/>
  <c r="U138" i="2"/>
  <c r="T138" i="2"/>
  <c r="S138" i="2"/>
  <c r="R138" i="2"/>
  <c r="Q138" i="2"/>
  <c r="P138" i="2"/>
  <c r="O138" i="2"/>
  <c r="C138" i="2"/>
  <c r="BE138" i="2" s="1"/>
  <c r="B138" i="2"/>
  <c r="A138" i="2"/>
  <c r="BD138" i="2" s="1"/>
  <c r="BS137" i="2"/>
  <c r="I136" i="3" s="1"/>
  <c r="BO137" i="2"/>
  <c r="BN137" i="2"/>
  <c r="H136" i="3" s="1"/>
  <c r="BM137" i="2"/>
  <c r="G136" i="3" s="1"/>
  <c r="AW137" i="2"/>
  <c r="AV137" i="2"/>
  <c r="AU137" i="2"/>
  <c r="AT137" i="2"/>
  <c r="AS137" i="2"/>
  <c r="AR137" i="2"/>
  <c r="AQ137" i="2"/>
  <c r="AP137" i="2"/>
  <c r="AO137" i="2"/>
  <c r="AN137" i="2"/>
  <c r="AM137" i="2"/>
  <c r="AI137" i="2"/>
  <c r="AH137" i="2"/>
  <c r="AG137" i="2"/>
  <c r="Y137" i="2"/>
  <c r="X137" i="2"/>
  <c r="W137" i="2"/>
  <c r="V137" i="2"/>
  <c r="U137" i="2"/>
  <c r="T137" i="2"/>
  <c r="S137" i="2"/>
  <c r="R137" i="2"/>
  <c r="Q137" i="2"/>
  <c r="P137" i="2"/>
  <c r="O137" i="2"/>
  <c r="I137" i="2"/>
  <c r="H137" i="2"/>
  <c r="G137" i="2"/>
  <c r="F137" i="2"/>
  <c r="C137" i="2"/>
  <c r="BE137" i="2" s="1"/>
  <c r="B137" i="2"/>
  <c r="A137" i="2"/>
  <c r="BD137" i="2" s="1"/>
  <c r="BS136" i="2"/>
  <c r="I135" i="3" s="1"/>
  <c r="BO136" i="2"/>
  <c r="BN136" i="2"/>
  <c r="H135" i="3" s="1"/>
  <c r="BM136" i="2"/>
  <c r="G135" i="3" s="1"/>
  <c r="AW136" i="2"/>
  <c r="AV136" i="2"/>
  <c r="AU136" i="2"/>
  <c r="AT136" i="2"/>
  <c r="AS136" i="2"/>
  <c r="AR136" i="2"/>
  <c r="AQ136" i="2"/>
  <c r="AP136" i="2"/>
  <c r="AO136" i="2"/>
  <c r="AN136" i="2"/>
  <c r="AM136" i="2"/>
  <c r="AI136" i="2"/>
  <c r="AH136" i="2"/>
  <c r="AG136" i="2"/>
  <c r="AF136" i="2"/>
  <c r="AE136" i="2"/>
  <c r="AD136" i="2"/>
  <c r="Y136" i="2"/>
  <c r="X136" i="2"/>
  <c r="W136" i="2"/>
  <c r="V136" i="2"/>
  <c r="U136" i="2"/>
  <c r="T136" i="2"/>
  <c r="S136" i="2"/>
  <c r="R136" i="2"/>
  <c r="Q136" i="2"/>
  <c r="P136" i="2"/>
  <c r="O136" i="2"/>
  <c r="C136" i="2"/>
  <c r="BE136" i="2" s="1"/>
  <c r="B136" i="2"/>
  <c r="A136" i="2"/>
  <c r="BD136" i="2" s="1"/>
  <c r="BS135" i="2"/>
  <c r="I134" i="3" s="1"/>
  <c r="BO135" i="2"/>
  <c r="BN135" i="2"/>
  <c r="H134" i="3" s="1"/>
  <c r="BM135" i="2"/>
  <c r="G134" i="3" s="1"/>
  <c r="AW135" i="2"/>
  <c r="AV135" i="2"/>
  <c r="AU135" i="2"/>
  <c r="AT135" i="2"/>
  <c r="AS135" i="2"/>
  <c r="AR135" i="2"/>
  <c r="AQ135" i="2"/>
  <c r="AP135" i="2"/>
  <c r="AO135" i="2"/>
  <c r="AN135" i="2"/>
  <c r="AM135" i="2"/>
  <c r="Y135" i="2"/>
  <c r="X135" i="2"/>
  <c r="W135" i="2"/>
  <c r="V135" i="2"/>
  <c r="U135" i="2"/>
  <c r="T135" i="2"/>
  <c r="S135" i="2"/>
  <c r="R135" i="2"/>
  <c r="Q135" i="2"/>
  <c r="P135" i="2"/>
  <c r="O135" i="2"/>
  <c r="J135" i="2"/>
  <c r="I135" i="2"/>
  <c r="H135" i="2"/>
  <c r="G135" i="2"/>
  <c r="C135" i="2"/>
  <c r="BE135" i="2" s="1"/>
  <c r="B135" i="2"/>
  <c r="A135" i="2"/>
  <c r="BD135" i="2" s="1"/>
  <c r="BS134" i="2"/>
  <c r="I133" i="3" s="1"/>
  <c r="BO134" i="2"/>
  <c r="BN134" i="2"/>
  <c r="H133" i="3" s="1"/>
  <c r="BM134" i="2"/>
  <c r="G133" i="3" s="1"/>
  <c r="BD134" i="2"/>
  <c r="AW134" i="2"/>
  <c r="AV134" i="2"/>
  <c r="AU134" i="2"/>
  <c r="AT134" i="2"/>
  <c r="AS134" i="2"/>
  <c r="AR134" i="2"/>
  <c r="AQ134" i="2"/>
  <c r="AP134" i="2"/>
  <c r="AO134" i="2"/>
  <c r="AN134" i="2"/>
  <c r="AM134" i="2"/>
  <c r="Y134" i="2"/>
  <c r="X134" i="2"/>
  <c r="W134" i="2"/>
  <c r="V134" i="2"/>
  <c r="U134" i="2"/>
  <c r="T134" i="2"/>
  <c r="S134" i="2"/>
  <c r="R134" i="2"/>
  <c r="Q134" i="2"/>
  <c r="P134" i="2"/>
  <c r="O134" i="2"/>
  <c r="J134" i="2"/>
  <c r="AY134" i="2" s="1"/>
  <c r="BG134" i="2" s="1"/>
  <c r="C134" i="2"/>
  <c r="BE134" i="2" s="1"/>
  <c r="B134" i="2"/>
  <c r="A134" i="2"/>
  <c r="BS133" i="2"/>
  <c r="I132" i="3" s="1"/>
  <c r="BO133" i="2"/>
  <c r="BN133" i="2"/>
  <c r="H132" i="3" s="1"/>
  <c r="BM133" i="2"/>
  <c r="G132" i="3" s="1"/>
  <c r="AW133" i="2"/>
  <c r="AV133" i="2"/>
  <c r="AU133" i="2"/>
  <c r="AT133" i="2"/>
  <c r="AS133" i="2"/>
  <c r="AR133" i="2"/>
  <c r="AQ133" i="2"/>
  <c r="AP133" i="2"/>
  <c r="AO133" i="2"/>
  <c r="AN133" i="2"/>
  <c r="AM133" i="2"/>
  <c r="AC133" i="2"/>
  <c r="AZ133" i="2" s="1"/>
  <c r="Y133" i="2"/>
  <c r="X133" i="2"/>
  <c r="W133" i="2"/>
  <c r="V133" i="2"/>
  <c r="U133" i="2"/>
  <c r="T133" i="2"/>
  <c r="S133" i="2"/>
  <c r="R133" i="2"/>
  <c r="Q133" i="2"/>
  <c r="P133" i="2"/>
  <c r="O133" i="2"/>
  <c r="C133" i="2"/>
  <c r="BE133" i="2" s="1"/>
  <c r="B133" i="2"/>
  <c r="A133" i="2"/>
  <c r="BD133" i="2" s="1"/>
  <c r="BS132" i="2"/>
  <c r="I131" i="3" s="1"/>
  <c r="BO132" i="2"/>
  <c r="BN132" i="2"/>
  <c r="H131" i="3" s="1"/>
  <c r="BM132" i="2"/>
  <c r="G131" i="3" s="1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Y132" i="2"/>
  <c r="X132" i="2"/>
  <c r="W132" i="2"/>
  <c r="V132" i="2"/>
  <c r="U132" i="2"/>
  <c r="T132" i="2"/>
  <c r="S132" i="2"/>
  <c r="R132" i="2"/>
  <c r="Q132" i="2"/>
  <c r="P132" i="2"/>
  <c r="O132" i="2"/>
  <c r="J132" i="2"/>
  <c r="C132" i="2"/>
  <c r="BE132" i="2" s="1"/>
  <c r="B132" i="2"/>
  <c r="A132" i="2"/>
  <c r="BD132" i="2" s="1"/>
  <c r="BS131" i="2"/>
  <c r="I130" i="3" s="1"/>
  <c r="BO131" i="2"/>
  <c r="BN131" i="2"/>
  <c r="H130" i="3" s="1"/>
  <c r="BM131" i="2"/>
  <c r="G130" i="3" s="1"/>
  <c r="AW131" i="2"/>
  <c r="AV131" i="2"/>
  <c r="AU131" i="2"/>
  <c r="AT131" i="2"/>
  <c r="AS131" i="2"/>
  <c r="AR131" i="2"/>
  <c r="AQ131" i="2"/>
  <c r="AP131" i="2"/>
  <c r="AO131" i="2"/>
  <c r="AN131" i="2"/>
  <c r="AM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C131" i="2"/>
  <c r="BE131" i="2" s="1"/>
  <c r="B131" i="2"/>
  <c r="A131" i="2"/>
  <c r="BD131" i="2" s="1"/>
  <c r="BS130" i="2"/>
  <c r="I129" i="3" s="1"/>
  <c r="BO130" i="2"/>
  <c r="BN130" i="2"/>
  <c r="H129" i="3" s="1"/>
  <c r="BM130" i="2"/>
  <c r="G129" i="3" s="1"/>
  <c r="AW130" i="2"/>
  <c r="AV130" i="2"/>
  <c r="AU130" i="2"/>
  <c r="AT130" i="2"/>
  <c r="AS130" i="2"/>
  <c r="AR130" i="2"/>
  <c r="AQ130" i="2"/>
  <c r="AP130" i="2"/>
  <c r="AO130" i="2"/>
  <c r="AN130" i="2"/>
  <c r="AM130" i="2"/>
  <c r="AF130" i="2"/>
  <c r="AE130" i="2"/>
  <c r="AD130" i="2"/>
  <c r="AC130" i="2"/>
  <c r="Y130" i="2"/>
  <c r="X130" i="2"/>
  <c r="W130" i="2"/>
  <c r="V130" i="2"/>
  <c r="U130" i="2"/>
  <c r="T130" i="2"/>
  <c r="S130" i="2"/>
  <c r="R130" i="2"/>
  <c r="Q130" i="2"/>
  <c r="P130" i="2"/>
  <c r="O130" i="2"/>
  <c r="C130" i="2"/>
  <c r="BE130" i="2" s="1"/>
  <c r="B130" i="2"/>
  <c r="A130" i="2"/>
  <c r="BD130" i="2" s="1"/>
  <c r="BS129" i="2"/>
  <c r="I128" i="3" s="1"/>
  <c r="BO129" i="2"/>
  <c r="BN129" i="2"/>
  <c r="H128" i="3" s="1"/>
  <c r="BM129" i="2"/>
  <c r="G128" i="3" s="1"/>
  <c r="AW129" i="2"/>
  <c r="AV129" i="2"/>
  <c r="AU129" i="2"/>
  <c r="AT129" i="2"/>
  <c r="AS129" i="2"/>
  <c r="AR129" i="2"/>
  <c r="AQ129" i="2"/>
  <c r="AP129" i="2"/>
  <c r="AO129" i="2"/>
  <c r="AN129" i="2"/>
  <c r="AM129" i="2"/>
  <c r="AH129" i="2"/>
  <c r="AG129" i="2"/>
  <c r="Y129" i="2"/>
  <c r="X129" i="2"/>
  <c r="W129" i="2"/>
  <c r="V129" i="2"/>
  <c r="U129" i="2"/>
  <c r="T129" i="2"/>
  <c r="S129" i="2"/>
  <c r="R129" i="2"/>
  <c r="Q129" i="2"/>
  <c r="P129" i="2"/>
  <c r="O129" i="2"/>
  <c r="I129" i="2"/>
  <c r="H129" i="2"/>
  <c r="G129" i="2"/>
  <c r="F129" i="2"/>
  <c r="C129" i="2"/>
  <c r="BE129" i="2" s="1"/>
  <c r="B129" i="2"/>
  <c r="A129" i="2"/>
  <c r="BD129" i="2" s="1"/>
  <c r="BS128" i="2"/>
  <c r="I127" i="3" s="1"/>
  <c r="BO128" i="2"/>
  <c r="BN128" i="2"/>
  <c r="H127" i="3" s="1"/>
  <c r="BM128" i="2"/>
  <c r="G127" i="3" s="1"/>
  <c r="AW128" i="2"/>
  <c r="AV128" i="2"/>
  <c r="AU128" i="2"/>
  <c r="AT128" i="2"/>
  <c r="AS128" i="2"/>
  <c r="AR128" i="2"/>
  <c r="AQ128" i="2"/>
  <c r="AP128" i="2"/>
  <c r="AO128" i="2"/>
  <c r="AN128" i="2"/>
  <c r="AM128" i="2"/>
  <c r="AF128" i="2"/>
  <c r="AE128" i="2"/>
  <c r="AD128" i="2"/>
  <c r="AC128" i="2"/>
  <c r="Y128" i="2"/>
  <c r="X128" i="2"/>
  <c r="W128" i="2"/>
  <c r="V128" i="2"/>
  <c r="U128" i="2"/>
  <c r="T128" i="2"/>
  <c r="S128" i="2"/>
  <c r="R128" i="2"/>
  <c r="Q128" i="2"/>
  <c r="P128" i="2"/>
  <c r="O128" i="2"/>
  <c r="C128" i="2"/>
  <c r="BE128" i="2" s="1"/>
  <c r="B128" i="2"/>
  <c r="A128" i="2"/>
  <c r="BD128" i="2" s="1"/>
  <c r="BS127" i="2"/>
  <c r="I126" i="3" s="1"/>
  <c r="BO127" i="2"/>
  <c r="BN127" i="2"/>
  <c r="H126" i="3" s="1"/>
  <c r="BM127" i="2"/>
  <c r="G126" i="3" s="1"/>
  <c r="AW127" i="2"/>
  <c r="AV127" i="2"/>
  <c r="AU127" i="2"/>
  <c r="AT127" i="2"/>
  <c r="AS127" i="2"/>
  <c r="AR127" i="2"/>
  <c r="AQ127" i="2"/>
  <c r="AP127" i="2"/>
  <c r="AO127" i="2"/>
  <c r="AN127" i="2"/>
  <c r="AM127" i="2"/>
  <c r="AG127" i="2"/>
  <c r="AF127" i="2"/>
  <c r="Y127" i="2"/>
  <c r="X127" i="2"/>
  <c r="W127" i="2"/>
  <c r="V127" i="2"/>
  <c r="U127" i="2"/>
  <c r="T127" i="2"/>
  <c r="S127" i="2"/>
  <c r="R127" i="2"/>
  <c r="Q127" i="2"/>
  <c r="P127" i="2"/>
  <c r="O127" i="2"/>
  <c r="G127" i="2"/>
  <c r="F127" i="2"/>
  <c r="C127" i="2"/>
  <c r="BE127" i="2" s="1"/>
  <c r="B127" i="2"/>
  <c r="A127" i="2"/>
  <c r="BD127" i="2" s="1"/>
  <c r="BS126" i="2"/>
  <c r="I125" i="3" s="1"/>
  <c r="BO126" i="2"/>
  <c r="BN126" i="2"/>
  <c r="H125" i="3" s="1"/>
  <c r="BM126" i="2"/>
  <c r="G125" i="3" s="1"/>
  <c r="AW126" i="2"/>
  <c r="AV126" i="2"/>
  <c r="AU126" i="2"/>
  <c r="AT126" i="2"/>
  <c r="AS126" i="2"/>
  <c r="AR126" i="2"/>
  <c r="AQ126" i="2"/>
  <c r="AP126" i="2"/>
  <c r="AO126" i="2"/>
  <c r="AN126" i="2"/>
  <c r="AM126" i="2"/>
  <c r="AE126" i="2"/>
  <c r="Y126" i="2"/>
  <c r="X126" i="2"/>
  <c r="W126" i="2"/>
  <c r="V126" i="2"/>
  <c r="U126" i="2"/>
  <c r="T126" i="2"/>
  <c r="S126" i="2"/>
  <c r="R126" i="2"/>
  <c r="Q126" i="2"/>
  <c r="P126" i="2"/>
  <c r="O126" i="2"/>
  <c r="G126" i="2"/>
  <c r="C126" i="2"/>
  <c r="BE126" i="2" s="1"/>
  <c r="B126" i="2"/>
  <c r="A126" i="2"/>
  <c r="BD126" i="2" s="1"/>
  <c r="BS125" i="2"/>
  <c r="I124" i="3" s="1"/>
  <c r="BO125" i="2"/>
  <c r="BN125" i="2"/>
  <c r="H124" i="3" s="1"/>
  <c r="BM125" i="2"/>
  <c r="G124" i="3" s="1"/>
  <c r="AW125" i="2"/>
  <c r="AV125" i="2"/>
  <c r="AU125" i="2"/>
  <c r="AT125" i="2"/>
  <c r="AS125" i="2"/>
  <c r="AR125" i="2"/>
  <c r="AQ125" i="2"/>
  <c r="AP125" i="2"/>
  <c r="AO125" i="2"/>
  <c r="AN125" i="2"/>
  <c r="AM125" i="2"/>
  <c r="AD125" i="2"/>
  <c r="AC125" i="2"/>
  <c r="Y125" i="2"/>
  <c r="X125" i="2"/>
  <c r="W125" i="2"/>
  <c r="V125" i="2"/>
  <c r="U125" i="2"/>
  <c r="T125" i="2"/>
  <c r="S125" i="2"/>
  <c r="R125" i="2"/>
  <c r="Q125" i="2"/>
  <c r="P125" i="2"/>
  <c r="O125" i="2"/>
  <c r="C125" i="2"/>
  <c r="BE125" i="2" s="1"/>
  <c r="B125" i="2"/>
  <c r="A125" i="2"/>
  <c r="BD125" i="2" s="1"/>
  <c r="BS124" i="2"/>
  <c r="I123" i="3" s="1"/>
  <c r="BO124" i="2"/>
  <c r="BN124" i="2"/>
  <c r="H123" i="3" s="1"/>
  <c r="BM124" i="2"/>
  <c r="G123" i="3" s="1"/>
  <c r="AW124" i="2"/>
  <c r="AV124" i="2"/>
  <c r="AU124" i="2"/>
  <c r="AT124" i="2"/>
  <c r="AS124" i="2"/>
  <c r="AR124" i="2"/>
  <c r="AQ124" i="2"/>
  <c r="AP124" i="2"/>
  <c r="AO124" i="2"/>
  <c r="AN124" i="2"/>
  <c r="AM124" i="2"/>
  <c r="Y124" i="2"/>
  <c r="X124" i="2"/>
  <c r="W124" i="2"/>
  <c r="V124" i="2"/>
  <c r="U124" i="2"/>
  <c r="T124" i="2"/>
  <c r="S124" i="2"/>
  <c r="R124" i="2"/>
  <c r="Q124" i="2"/>
  <c r="P124" i="2"/>
  <c r="O124" i="2"/>
  <c r="J124" i="2"/>
  <c r="AZ124" i="2" s="1"/>
  <c r="C124" i="2"/>
  <c r="BE124" i="2" s="1"/>
  <c r="B124" i="2"/>
  <c r="A124" i="2"/>
  <c r="BD124" i="2" s="1"/>
  <c r="BS123" i="2"/>
  <c r="I122" i="3" s="1"/>
  <c r="BO123" i="2"/>
  <c r="BN123" i="2"/>
  <c r="H122" i="3" s="1"/>
  <c r="BM123" i="2"/>
  <c r="G122" i="3" s="1"/>
  <c r="AW123" i="2"/>
  <c r="AV123" i="2"/>
  <c r="AU123" i="2"/>
  <c r="AT123" i="2"/>
  <c r="AS123" i="2"/>
  <c r="AR123" i="2"/>
  <c r="AQ123" i="2"/>
  <c r="AP123" i="2"/>
  <c r="AO123" i="2"/>
  <c r="AN123" i="2"/>
  <c r="AM123" i="2"/>
  <c r="AE123" i="2"/>
  <c r="AD123" i="2"/>
  <c r="AC123" i="2"/>
  <c r="Y123" i="2"/>
  <c r="X123" i="2"/>
  <c r="W123" i="2"/>
  <c r="V123" i="2"/>
  <c r="U123" i="2"/>
  <c r="T123" i="2"/>
  <c r="S123" i="2"/>
  <c r="R123" i="2"/>
  <c r="Q123" i="2"/>
  <c r="P123" i="2"/>
  <c r="O123" i="2"/>
  <c r="C123" i="2"/>
  <c r="BE123" i="2" s="1"/>
  <c r="B123" i="2"/>
  <c r="A123" i="2"/>
  <c r="BD123" i="2" s="1"/>
  <c r="BS122" i="2"/>
  <c r="I121" i="3" s="1"/>
  <c r="BO122" i="2"/>
  <c r="BN122" i="2"/>
  <c r="H121" i="3" s="1"/>
  <c r="BM122" i="2"/>
  <c r="G121" i="3" s="1"/>
  <c r="AW122" i="2"/>
  <c r="AV122" i="2"/>
  <c r="AU122" i="2"/>
  <c r="AT122" i="2"/>
  <c r="AS122" i="2"/>
  <c r="AR122" i="2"/>
  <c r="AQ122" i="2"/>
  <c r="AP122" i="2"/>
  <c r="AO122" i="2"/>
  <c r="AN122" i="2"/>
  <c r="AM122" i="2"/>
  <c r="Y122" i="2"/>
  <c r="X122" i="2"/>
  <c r="W122" i="2"/>
  <c r="V122" i="2"/>
  <c r="U122" i="2"/>
  <c r="T122" i="2"/>
  <c r="S122" i="2"/>
  <c r="R122" i="2"/>
  <c r="Q122" i="2"/>
  <c r="P122" i="2"/>
  <c r="O122" i="2"/>
  <c r="L122" i="2"/>
  <c r="AZ122" i="2" s="1"/>
  <c r="K122" i="2"/>
  <c r="J122" i="2"/>
  <c r="C122" i="2"/>
  <c r="BE122" i="2" s="1"/>
  <c r="B122" i="2"/>
  <c r="A122" i="2"/>
  <c r="BD122" i="2" s="1"/>
  <c r="BS121" i="2"/>
  <c r="I120" i="3" s="1"/>
  <c r="BO121" i="2"/>
  <c r="BN121" i="2"/>
  <c r="H120" i="3" s="1"/>
  <c r="BM121" i="2"/>
  <c r="G120" i="3" s="1"/>
  <c r="AW121" i="2"/>
  <c r="AV121" i="2"/>
  <c r="AU121" i="2"/>
  <c r="AT121" i="2"/>
  <c r="AS121" i="2"/>
  <c r="AR121" i="2"/>
  <c r="AQ121" i="2"/>
  <c r="AP121" i="2"/>
  <c r="AO121" i="2"/>
  <c r="AN121" i="2"/>
  <c r="AM121" i="2"/>
  <c r="AD121" i="2"/>
  <c r="Y121" i="2"/>
  <c r="X121" i="2"/>
  <c r="W121" i="2"/>
  <c r="V121" i="2"/>
  <c r="U121" i="2"/>
  <c r="T121" i="2"/>
  <c r="S121" i="2"/>
  <c r="R121" i="2"/>
  <c r="Q121" i="2"/>
  <c r="P121" i="2"/>
  <c r="O121" i="2"/>
  <c r="F121" i="2"/>
  <c r="E121" i="2"/>
  <c r="D121" i="2"/>
  <c r="C121" i="2"/>
  <c r="BE121" i="2" s="1"/>
  <c r="B121" i="2"/>
  <c r="A121" i="2"/>
  <c r="BD121" i="2" s="1"/>
  <c r="BS120" i="2"/>
  <c r="I119" i="3" s="1"/>
  <c r="BO120" i="2"/>
  <c r="BN120" i="2"/>
  <c r="H119" i="3" s="1"/>
  <c r="BM120" i="2"/>
  <c r="G119" i="3" s="1"/>
  <c r="AW120" i="2"/>
  <c r="AV120" i="2"/>
  <c r="AU120" i="2"/>
  <c r="AT120" i="2"/>
  <c r="AS120" i="2"/>
  <c r="AR120" i="2"/>
  <c r="AQ120" i="2"/>
  <c r="AP120" i="2"/>
  <c r="AO120" i="2"/>
  <c r="AN120" i="2"/>
  <c r="AM120" i="2"/>
  <c r="AD120" i="2"/>
  <c r="AC120" i="2"/>
  <c r="AB120" i="2"/>
  <c r="Y120" i="2"/>
  <c r="X120" i="2"/>
  <c r="W120" i="2"/>
  <c r="V120" i="2"/>
  <c r="U120" i="2"/>
  <c r="T120" i="2"/>
  <c r="S120" i="2"/>
  <c r="R120" i="2"/>
  <c r="Q120" i="2"/>
  <c r="P120" i="2"/>
  <c r="O120" i="2"/>
  <c r="C120" i="2"/>
  <c r="BE120" i="2" s="1"/>
  <c r="B120" i="2"/>
  <c r="A120" i="2"/>
  <c r="BD120" i="2" s="1"/>
  <c r="BS119" i="2"/>
  <c r="I118" i="3" s="1"/>
  <c r="BO119" i="2"/>
  <c r="BN119" i="2"/>
  <c r="H118" i="3" s="1"/>
  <c r="BM119" i="2"/>
  <c r="G118" i="3" s="1"/>
  <c r="AW119" i="2"/>
  <c r="AV119" i="2"/>
  <c r="AU119" i="2"/>
  <c r="AT119" i="2"/>
  <c r="AS119" i="2"/>
  <c r="AR119" i="2"/>
  <c r="AQ119" i="2"/>
  <c r="AP119" i="2"/>
  <c r="AO119" i="2"/>
  <c r="AN119" i="2"/>
  <c r="AM119" i="2"/>
  <c r="AH119" i="2"/>
  <c r="AG119" i="2"/>
  <c r="Y119" i="2"/>
  <c r="X119" i="2"/>
  <c r="W119" i="2"/>
  <c r="V119" i="2"/>
  <c r="U119" i="2"/>
  <c r="T119" i="2"/>
  <c r="S119" i="2"/>
  <c r="R119" i="2"/>
  <c r="Q119" i="2"/>
  <c r="P119" i="2"/>
  <c r="O119" i="2"/>
  <c r="C119" i="2"/>
  <c r="BE119" i="2" s="1"/>
  <c r="B119" i="2"/>
  <c r="A119" i="2"/>
  <c r="BD119" i="2" s="1"/>
  <c r="BS118" i="2"/>
  <c r="I117" i="3" s="1"/>
  <c r="BO118" i="2"/>
  <c r="BN118" i="2"/>
  <c r="H117" i="3" s="1"/>
  <c r="BM118" i="2"/>
  <c r="G117" i="3" s="1"/>
  <c r="AW118" i="2"/>
  <c r="AV118" i="2"/>
  <c r="AU118" i="2"/>
  <c r="AT118" i="2"/>
  <c r="AS118" i="2"/>
  <c r="AR118" i="2"/>
  <c r="AQ118" i="2"/>
  <c r="AP118" i="2"/>
  <c r="AO118" i="2"/>
  <c r="AN118" i="2"/>
  <c r="AM118" i="2"/>
  <c r="AH118" i="2"/>
  <c r="AG118" i="2"/>
  <c r="Y118" i="2"/>
  <c r="X118" i="2"/>
  <c r="W118" i="2"/>
  <c r="V118" i="2"/>
  <c r="U118" i="2"/>
  <c r="T118" i="2"/>
  <c r="S118" i="2"/>
  <c r="R118" i="2"/>
  <c r="Q118" i="2"/>
  <c r="P118" i="2"/>
  <c r="O118" i="2"/>
  <c r="C118" i="2"/>
  <c r="BE118" i="2" s="1"/>
  <c r="B118" i="2"/>
  <c r="A118" i="2"/>
  <c r="BD118" i="2" s="1"/>
  <c r="BS117" i="2"/>
  <c r="I116" i="3" s="1"/>
  <c r="BO117" i="2"/>
  <c r="BN117" i="2"/>
  <c r="H116" i="3" s="1"/>
  <c r="BM117" i="2"/>
  <c r="G116" i="3" s="1"/>
  <c r="AW117" i="2"/>
  <c r="AV117" i="2"/>
  <c r="AU117" i="2"/>
  <c r="AT117" i="2"/>
  <c r="AS117" i="2"/>
  <c r="AR117" i="2"/>
  <c r="AQ117" i="2"/>
  <c r="AP117" i="2"/>
  <c r="AO117" i="2"/>
  <c r="AN117" i="2"/>
  <c r="AM117" i="2"/>
  <c r="AF117" i="2"/>
  <c r="AE117" i="2"/>
  <c r="Y117" i="2"/>
  <c r="X117" i="2"/>
  <c r="W117" i="2"/>
  <c r="V117" i="2"/>
  <c r="U117" i="2"/>
  <c r="T117" i="2"/>
  <c r="S117" i="2"/>
  <c r="R117" i="2"/>
  <c r="Q117" i="2"/>
  <c r="P117" i="2"/>
  <c r="O117" i="2"/>
  <c r="G117" i="2"/>
  <c r="F117" i="2"/>
  <c r="C117" i="2"/>
  <c r="BE117" i="2" s="1"/>
  <c r="B117" i="2"/>
  <c r="A117" i="2"/>
  <c r="BD117" i="2" s="1"/>
  <c r="BS116" i="2"/>
  <c r="I115" i="3" s="1"/>
  <c r="BO116" i="2"/>
  <c r="BN116" i="2"/>
  <c r="H115" i="3" s="1"/>
  <c r="BM116" i="2"/>
  <c r="G115" i="3" s="1"/>
  <c r="AW116" i="2"/>
  <c r="AV116" i="2"/>
  <c r="AU116" i="2"/>
  <c r="AT116" i="2"/>
  <c r="AS116" i="2"/>
  <c r="AR116" i="2"/>
  <c r="AQ116" i="2"/>
  <c r="AP116" i="2"/>
  <c r="AO116" i="2"/>
  <c r="AN116" i="2"/>
  <c r="AM116" i="2"/>
  <c r="AG116" i="2"/>
  <c r="AF116" i="2"/>
  <c r="AE116" i="2"/>
  <c r="AD116" i="2"/>
  <c r="AC116" i="2"/>
  <c r="Y116" i="2"/>
  <c r="X116" i="2"/>
  <c r="W116" i="2"/>
  <c r="V116" i="2"/>
  <c r="U116" i="2"/>
  <c r="T116" i="2"/>
  <c r="S116" i="2"/>
  <c r="R116" i="2"/>
  <c r="Q116" i="2"/>
  <c r="P116" i="2"/>
  <c r="O116" i="2"/>
  <c r="C116" i="2"/>
  <c r="BE116" i="2" s="1"/>
  <c r="B116" i="2"/>
  <c r="A116" i="2"/>
  <c r="BD116" i="2" s="1"/>
  <c r="BS115" i="2"/>
  <c r="I114" i="3" s="1"/>
  <c r="BO115" i="2"/>
  <c r="BN115" i="2"/>
  <c r="H114" i="3" s="1"/>
  <c r="BM115" i="2"/>
  <c r="G114" i="3" s="1"/>
  <c r="AW115" i="2"/>
  <c r="AV115" i="2"/>
  <c r="AU115" i="2"/>
  <c r="AT115" i="2"/>
  <c r="AS115" i="2"/>
  <c r="AR115" i="2"/>
  <c r="AQ115" i="2"/>
  <c r="AP115" i="2"/>
  <c r="AO115" i="2"/>
  <c r="AN115" i="2"/>
  <c r="AM115" i="2"/>
  <c r="Y115" i="2"/>
  <c r="X115" i="2"/>
  <c r="W115" i="2"/>
  <c r="V115" i="2"/>
  <c r="U115" i="2"/>
  <c r="T115" i="2"/>
  <c r="S115" i="2"/>
  <c r="R115" i="2"/>
  <c r="Q115" i="2"/>
  <c r="P115" i="2"/>
  <c r="O115" i="2"/>
  <c r="K115" i="2"/>
  <c r="J115" i="2"/>
  <c r="C115" i="2"/>
  <c r="BE115" i="2" s="1"/>
  <c r="B115" i="2"/>
  <c r="A115" i="2"/>
  <c r="BD115" i="2" s="1"/>
  <c r="BS114" i="2"/>
  <c r="I113" i="3" s="1"/>
  <c r="BO114" i="2"/>
  <c r="BN114" i="2"/>
  <c r="H113" i="3" s="1"/>
  <c r="BM114" i="2"/>
  <c r="G113" i="3" s="1"/>
  <c r="AW114" i="2"/>
  <c r="AV114" i="2"/>
  <c r="AU114" i="2"/>
  <c r="AT114" i="2"/>
  <c r="AS114" i="2"/>
  <c r="AR114" i="2"/>
  <c r="AQ114" i="2"/>
  <c r="AP114" i="2"/>
  <c r="AO114" i="2"/>
  <c r="AN114" i="2"/>
  <c r="AM114" i="2"/>
  <c r="AG114" i="2"/>
  <c r="AF114" i="2"/>
  <c r="AE114" i="2"/>
  <c r="Y114" i="2"/>
  <c r="X114" i="2"/>
  <c r="W114" i="2"/>
  <c r="V114" i="2"/>
  <c r="U114" i="2"/>
  <c r="T114" i="2"/>
  <c r="S114" i="2"/>
  <c r="R114" i="2"/>
  <c r="Q114" i="2"/>
  <c r="P114" i="2"/>
  <c r="O114" i="2"/>
  <c r="C114" i="2"/>
  <c r="BE114" i="2" s="1"/>
  <c r="B114" i="2"/>
  <c r="A114" i="2"/>
  <c r="BD114" i="2" s="1"/>
  <c r="BS113" i="2"/>
  <c r="I112" i="3" s="1"/>
  <c r="BO113" i="2"/>
  <c r="BN113" i="2"/>
  <c r="H112" i="3" s="1"/>
  <c r="BM113" i="2"/>
  <c r="G112" i="3" s="1"/>
  <c r="AW113" i="2"/>
  <c r="AV113" i="2"/>
  <c r="AU113" i="2"/>
  <c r="AT113" i="2"/>
  <c r="AS113" i="2"/>
  <c r="AR113" i="2"/>
  <c r="AQ113" i="2"/>
  <c r="AP113" i="2"/>
  <c r="AO113" i="2"/>
  <c r="AN113" i="2"/>
  <c r="AM113" i="2"/>
  <c r="AD113" i="2"/>
  <c r="AC113" i="2"/>
  <c r="Y113" i="2"/>
  <c r="X113" i="2"/>
  <c r="W113" i="2"/>
  <c r="V113" i="2"/>
  <c r="U113" i="2"/>
  <c r="T113" i="2"/>
  <c r="S113" i="2"/>
  <c r="R113" i="2"/>
  <c r="Q113" i="2"/>
  <c r="P113" i="2"/>
  <c r="O113" i="2"/>
  <c r="C113" i="2"/>
  <c r="BE113" i="2" s="1"/>
  <c r="B113" i="2"/>
  <c r="A113" i="2"/>
  <c r="BD113" i="2" s="1"/>
  <c r="BS112" i="2"/>
  <c r="I111" i="3" s="1"/>
  <c r="BO112" i="2"/>
  <c r="BN112" i="2"/>
  <c r="H111" i="3" s="1"/>
  <c r="BM112" i="2"/>
  <c r="G111" i="3" s="1"/>
  <c r="AW112" i="2"/>
  <c r="AV112" i="2"/>
  <c r="AU112" i="2"/>
  <c r="AT112" i="2"/>
  <c r="AS112" i="2"/>
  <c r="AR112" i="2"/>
  <c r="AQ112" i="2"/>
  <c r="AP112" i="2"/>
  <c r="AO112" i="2"/>
  <c r="AN112" i="2"/>
  <c r="AM112" i="2"/>
  <c r="AB112" i="2"/>
  <c r="AZ112" i="2" s="1"/>
  <c r="Y112" i="2"/>
  <c r="X112" i="2"/>
  <c r="W112" i="2"/>
  <c r="V112" i="2"/>
  <c r="U112" i="2"/>
  <c r="T112" i="2"/>
  <c r="S112" i="2"/>
  <c r="R112" i="2"/>
  <c r="Q112" i="2"/>
  <c r="P112" i="2"/>
  <c r="O112" i="2"/>
  <c r="C112" i="2"/>
  <c r="BE112" i="2" s="1"/>
  <c r="B112" i="2"/>
  <c r="A112" i="2"/>
  <c r="BD112" i="2" s="1"/>
  <c r="BS111" i="2"/>
  <c r="I110" i="3" s="1"/>
  <c r="BO111" i="2"/>
  <c r="BN111" i="2"/>
  <c r="H110" i="3" s="1"/>
  <c r="BM111" i="2"/>
  <c r="G110" i="3" s="1"/>
  <c r="AW111" i="2"/>
  <c r="AV111" i="2"/>
  <c r="AU111" i="2"/>
  <c r="AT111" i="2"/>
  <c r="AS111" i="2"/>
  <c r="AR111" i="2"/>
  <c r="AQ111" i="2"/>
  <c r="AP111" i="2"/>
  <c r="AO111" i="2"/>
  <c r="AN111" i="2"/>
  <c r="AM111" i="2"/>
  <c r="AF111" i="2"/>
  <c r="AE111" i="2"/>
  <c r="AD111" i="2"/>
  <c r="Y111" i="2"/>
  <c r="X111" i="2"/>
  <c r="W111" i="2"/>
  <c r="V111" i="2"/>
  <c r="U111" i="2"/>
  <c r="T111" i="2"/>
  <c r="S111" i="2"/>
  <c r="R111" i="2"/>
  <c r="Q111" i="2"/>
  <c r="P111" i="2"/>
  <c r="O111" i="2"/>
  <c r="F111" i="2"/>
  <c r="C111" i="2"/>
  <c r="BE111" i="2" s="1"/>
  <c r="B111" i="2"/>
  <c r="A111" i="2"/>
  <c r="BD111" i="2" s="1"/>
  <c r="I109" i="3"/>
  <c r="BO110" i="2"/>
  <c r="BN110" i="2"/>
  <c r="H109" i="3" s="1"/>
  <c r="BM110" i="2"/>
  <c r="G109" i="3" s="1"/>
  <c r="AW110" i="2"/>
  <c r="AV110" i="2"/>
  <c r="AU110" i="2"/>
  <c r="AT110" i="2"/>
  <c r="AS110" i="2"/>
  <c r="AR110" i="2"/>
  <c r="AQ110" i="2"/>
  <c r="AP110" i="2"/>
  <c r="AO110" i="2"/>
  <c r="AN110" i="2"/>
  <c r="AM110" i="2"/>
  <c r="AD110" i="2"/>
  <c r="AC110" i="2"/>
  <c r="AY110" i="2" s="1"/>
  <c r="BG110" i="2" s="1"/>
  <c r="Y110" i="2"/>
  <c r="X110" i="2"/>
  <c r="W110" i="2"/>
  <c r="V110" i="2"/>
  <c r="U110" i="2"/>
  <c r="T110" i="2"/>
  <c r="S110" i="2"/>
  <c r="R110" i="2"/>
  <c r="Q110" i="2"/>
  <c r="P110" i="2"/>
  <c r="O110" i="2"/>
  <c r="C110" i="2"/>
  <c r="BE110" i="2" s="1"/>
  <c r="B110" i="2"/>
  <c r="A110" i="2"/>
  <c r="BD110" i="2" s="1"/>
  <c r="BS109" i="2"/>
  <c r="I108" i="3" s="1"/>
  <c r="BO109" i="2"/>
  <c r="BN109" i="2"/>
  <c r="H108" i="3" s="1"/>
  <c r="BM109" i="2"/>
  <c r="G108" i="3" s="1"/>
  <c r="AW109" i="2"/>
  <c r="AV109" i="2"/>
  <c r="AU109" i="2"/>
  <c r="AT109" i="2"/>
  <c r="AS109" i="2"/>
  <c r="AR109" i="2"/>
  <c r="AQ109" i="2"/>
  <c r="AP109" i="2"/>
  <c r="AO109" i="2"/>
  <c r="AN109" i="2"/>
  <c r="AM109" i="2"/>
  <c r="AH109" i="2"/>
  <c r="Y109" i="2"/>
  <c r="X109" i="2"/>
  <c r="W109" i="2"/>
  <c r="V109" i="2"/>
  <c r="U109" i="2"/>
  <c r="T109" i="2"/>
  <c r="S109" i="2"/>
  <c r="R109" i="2"/>
  <c r="Q109" i="2"/>
  <c r="P109" i="2"/>
  <c r="O109" i="2"/>
  <c r="J109" i="2"/>
  <c r="I109" i="2"/>
  <c r="C109" i="2"/>
  <c r="BE109" i="2" s="1"/>
  <c r="B109" i="2"/>
  <c r="A109" i="2"/>
  <c r="BD109" i="2" s="1"/>
  <c r="BS108" i="2"/>
  <c r="I107" i="3" s="1"/>
  <c r="BO108" i="2"/>
  <c r="BN108" i="2"/>
  <c r="H107" i="3" s="1"/>
  <c r="BM108" i="2"/>
  <c r="G107" i="3" s="1"/>
  <c r="AW108" i="2"/>
  <c r="AV108" i="2"/>
  <c r="AU108" i="2"/>
  <c r="AT108" i="2"/>
  <c r="AS108" i="2"/>
  <c r="AR108" i="2"/>
  <c r="AQ108" i="2"/>
  <c r="AP108" i="2"/>
  <c r="AO108" i="2"/>
  <c r="AN108" i="2"/>
  <c r="AM108" i="2"/>
  <c r="AD108" i="2"/>
  <c r="Y108" i="2"/>
  <c r="X108" i="2"/>
  <c r="W108" i="2"/>
  <c r="V108" i="2"/>
  <c r="U108" i="2"/>
  <c r="T108" i="2"/>
  <c r="S108" i="2"/>
  <c r="R108" i="2"/>
  <c r="Q108" i="2"/>
  <c r="P108" i="2"/>
  <c r="O108" i="2"/>
  <c r="F108" i="2"/>
  <c r="C108" i="2"/>
  <c r="BE108" i="2" s="1"/>
  <c r="B108" i="2"/>
  <c r="A108" i="2"/>
  <c r="BD108" i="2" s="1"/>
  <c r="BS107" i="2"/>
  <c r="I106" i="3" s="1"/>
  <c r="BO107" i="2"/>
  <c r="BN107" i="2"/>
  <c r="H106" i="3" s="1"/>
  <c r="BM107" i="2"/>
  <c r="G106" i="3" s="1"/>
  <c r="AW107" i="2"/>
  <c r="AV107" i="2"/>
  <c r="AU107" i="2"/>
  <c r="AT107" i="2"/>
  <c r="AS107" i="2"/>
  <c r="AR107" i="2"/>
  <c r="AQ107" i="2"/>
  <c r="AP107" i="2"/>
  <c r="AO107" i="2"/>
  <c r="AN107" i="2"/>
  <c r="AM107" i="2"/>
  <c r="AE107" i="2"/>
  <c r="AD107" i="2"/>
  <c r="Y107" i="2"/>
  <c r="X107" i="2"/>
  <c r="W107" i="2"/>
  <c r="V107" i="2"/>
  <c r="U107" i="2"/>
  <c r="T107" i="2"/>
  <c r="S107" i="2"/>
  <c r="R107" i="2"/>
  <c r="Q107" i="2"/>
  <c r="P107" i="2"/>
  <c r="O107" i="2"/>
  <c r="C107" i="2"/>
  <c r="BE107" i="2" s="1"/>
  <c r="B107" i="2"/>
  <c r="A107" i="2"/>
  <c r="BD107" i="2" s="1"/>
  <c r="BS106" i="2"/>
  <c r="I105" i="3" s="1"/>
  <c r="BO106" i="2"/>
  <c r="BN106" i="2"/>
  <c r="H105" i="3" s="1"/>
  <c r="BM106" i="2"/>
  <c r="G105" i="3" s="1"/>
  <c r="AW106" i="2"/>
  <c r="AV106" i="2"/>
  <c r="AU106" i="2"/>
  <c r="AT106" i="2"/>
  <c r="AS106" i="2"/>
  <c r="AR106" i="2"/>
  <c r="AQ106" i="2"/>
  <c r="AP106" i="2"/>
  <c r="AO106" i="2"/>
  <c r="AN106" i="2"/>
  <c r="AM106" i="2"/>
  <c r="AF106" i="2"/>
  <c r="AE106" i="2"/>
  <c r="Y106" i="2"/>
  <c r="X106" i="2"/>
  <c r="W106" i="2"/>
  <c r="V106" i="2"/>
  <c r="U106" i="2"/>
  <c r="T106" i="2"/>
  <c r="S106" i="2"/>
  <c r="R106" i="2"/>
  <c r="Q106" i="2"/>
  <c r="P106" i="2"/>
  <c r="O106" i="2"/>
  <c r="G106" i="2"/>
  <c r="F106" i="2"/>
  <c r="C106" i="2"/>
  <c r="BE106" i="2" s="1"/>
  <c r="B106" i="2"/>
  <c r="A106" i="2"/>
  <c r="BD106" i="2" s="1"/>
  <c r="BS105" i="2"/>
  <c r="I104" i="3" s="1"/>
  <c r="BO105" i="2"/>
  <c r="BN105" i="2"/>
  <c r="H104" i="3" s="1"/>
  <c r="BM105" i="2"/>
  <c r="G104" i="3" s="1"/>
  <c r="AW105" i="2"/>
  <c r="AV105" i="2"/>
  <c r="AU105" i="2"/>
  <c r="AT105" i="2"/>
  <c r="AS105" i="2"/>
  <c r="AR105" i="2"/>
  <c r="AQ105" i="2"/>
  <c r="AP105" i="2"/>
  <c r="AO105" i="2"/>
  <c r="AN105" i="2"/>
  <c r="AM105" i="2"/>
  <c r="AC105" i="2"/>
  <c r="AY105" i="2" s="1"/>
  <c r="BG105" i="2" s="1"/>
  <c r="Y105" i="2"/>
  <c r="X105" i="2"/>
  <c r="W105" i="2"/>
  <c r="V105" i="2"/>
  <c r="U105" i="2"/>
  <c r="T105" i="2"/>
  <c r="S105" i="2"/>
  <c r="R105" i="2"/>
  <c r="Q105" i="2"/>
  <c r="P105" i="2"/>
  <c r="O105" i="2"/>
  <c r="C105" i="2"/>
  <c r="BE105" i="2" s="1"/>
  <c r="B105" i="2"/>
  <c r="A105" i="2"/>
  <c r="BD105" i="2" s="1"/>
  <c r="BS104" i="2"/>
  <c r="I103" i="3" s="1"/>
  <c r="BO104" i="2"/>
  <c r="BN104" i="2"/>
  <c r="H103" i="3" s="1"/>
  <c r="BM104" i="2"/>
  <c r="G103" i="3" s="1"/>
  <c r="BD104" i="2"/>
  <c r="AW104" i="2"/>
  <c r="AV104" i="2"/>
  <c r="AU104" i="2"/>
  <c r="AT104" i="2"/>
  <c r="AS104" i="2"/>
  <c r="AR104" i="2"/>
  <c r="AQ104" i="2"/>
  <c r="AP104" i="2"/>
  <c r="AO104" i="2"/>
  <c r="AN104" i="2"/>
  <c r="AM104" i="2"/>
  <c r="AC104" i="2"/>
  <c r="AZ104" i="2" s="1"/>
  <c r="Y104" i="2"/>
  <c r="X104" i="2"/>
  <c r="W104" i="2"/>
  <c r="V104" i="2"/>
  <c r="U104" i="2"/>
  <c r="T104" i="2"/>
  <c r="S104" i="2"/>
  <c r="R104" i="2"/>
  <c r="Q104" i="2"/>
  <c r="P104" i="2"/>
  <c r="O104" i="2"/>
  <c r="C104" i="2"/>
  <c r="BE104" i="2" s="1"/>
  <c r="B104" i="2"/>
  <c r="A104" i="2"/>
  <c r="BS103" i="2"/>
  <c r="I102" i="3" s="1"/>
  <c r="BO103" i="2"/>
  <c r="BN103" i="2"/>
  <c r="H102" i="3" s="1"/>
  <c r="BM103" i="2"/>
  <c r="G102" i="3" s="1"/>
  <c r="AW103" i="2"/>
  <c r="AV103" i="2"/>
  <c r="AU103" i="2"/>
  <c r="AT103" i="2"/>
  <c r="AS103" i="2"/>
  <c r="AR103" i="2"/>
  <c r="AQ103" i="2"/>
  <c r="AP103" i="2"/>
  <c r="AO103" i="2"/>
  <c r="AN103" i="2"/>
  <c r="AM103" i="2"/>
  <c r="AD103" i="2"/>
  <c r="AY103" i="2" s="1"/>
  <c r="BG103" i="2" s="1"/>
  <c r="Y103" i="2"/>
  <c r="X103" i="2"/>
  <c r="W103" i="2"/>
  <c r="V103" i="2"/>
  <c r="U103" i="2"/>
  <c r="T103" i="2"/>
  <c r="S103" i="2"/>
  <c r="R103" i="2"/>
  <c r="Q103" i="2"/>
  <c r="P103" i="2"/>
  <c r="O103" i="2"/>
  <c r="C103" i="2"/>
  <c r="BE103" i="2" s="1"/>
  <c r="B103" i="2"/>
  <c r="A103" i="2"/>
  <c r="BD103" i="2" s="1"/>
  <c r="BS102" i="2"/>
  <c r="I101" i="3" s="1"/>
  <c r="BO102" i="2"/>
  <c r="BN102" i="2"/>
  <c r="H101" i="3" s="1"/>
  <c r="BM102" i="2"/>
  <c r="G101" i="3" s="1"/>
  <c r="AW102" i="2"/>
  <c r="AV102" i="2"/>
  <c r="AU102" i="2"/>
  <c r="AT102" i="2"/>
  <c r="AS102" i="2"/>
  <c r="AR102" i="2"/>
  <c r="AQ102" i="2"/>
  <c r="AP102" i="2"/>
  <c r="AO102" i="2"/>
  <c r="AN102" i="2"/>
  <c r="AM102" i="2"/>
  <c r="AD102" i="2"/>
  <c r="AC102" i="2"/>
  <c r="Y102" i="2"/>
  <c r="X102" i="2"/>
  <c r="W102" i="2"/>
  <c r="V102" i="2"/>
  <c r="U102" i="2"/>
  <c r="T102" i="2"/>
  <c r="S102" i="2"/>
  <c r="R102" i="2"/>
  <c r="Q102" i="2"/>
  <c r="P102" i="2"/>
  <c r="O102" i="2"/>
  <c r="C102" i="2"/>
  <c r="BE102" i="2" s="1"/>
  <c r="B102" i="2"/>
  <c r="A102" i="2"/>
  <c r="BD102" i="2" s="1"/>
  <c r="BS101" i="2"/>
  <c r="I100" i="3" s="1"/>
  <c r="BO101" i="2"/>
  <c r="BN101" i="2"/>
  <c r="H100" i="3" s="1"/>
  <c r="BM101" i="2"/>
  <c r="G100" i="3" s="1"/>
  <c r="AW101" i="2"/>
  <c r="AV101" i="2"/>
  <c r="AU101" i="2"/>
  <c r="AT101" i="2"/>
  <c r="AS101" i="2"/>
  <c r="AR101" i="2"/>
  <c r="AQ101" i="2"/>
  <c r="AP101" i="2"/>
  <c r="AO101" i="2"/>
  <c r="AN101" i="2"/>
  <c r="AM101" i="2"/>
  <c r="Y101" i="2"/>
  <c r="X101" i="2"/>
  <c r="W101" i="2"/>
  <c r="V101" i="2"/>
  <c r="U101" i="2"/>
  <c r="T101" i="2"/>
  <c r="S101" i="2"/>
  <c r="R101" i="2"/>
  <c r="Q101" i="2"/>
  <c r="P101" i="2"/>
  <c r="O101" i="2"/>
  <c r="K101" i="2"/>
  <c r="J101" i="2"/>
  <c r="C101" i="2"/>
  <c r="BE101" i="2" s="1"/>
  <c r="B101" i="2"/>
  <c r="A101" i="2"/>
  <c r="BD101" i="2" s="1"/>
  <c r="BS100" i="2"/>
  <c r="I99" i="3" s="1"/>
  <c r="BO100" i="2"/>
  <c r="BN100" i="2"/>
  <c r="H99" i="3" s="1"/>
  <c r="BM100" i="2"/>
  <c r="G99" i="3" s="1"/>
  <c r="AW100" i="2"/>
  <c r="AV100" i="2"/>
  <c r="AU100" i="2"/>
  <c r="AT100" i="2"/>
  <c r="AS100" i="2"/>
  <c r="AR100" i="2"/>
  <c r="AQ100" i="2"/>
  <c r="AP100" i="2"/>
  <c r="AO100" i="2"/>
  <c r="AN100" i="2"/>
  <c r="AM100" i="2"/>
  <c r="AD100" i="2"/>
  <c r="AZ100" i="2" s="1"/>
  <c r="Y100" i="2"/>
  <c r="X100" i="2"/>
  <c r="W100" i="2"/>
  <c r="V100" i="2"/>
  <c r="U100" i="2"/>
  <c r="T100" i="2"/>
  <c r="S100" i="2"/>
  <c r="R100" i="2"/>
  <c r="Q100" i="2"/>
  <c r="P100" i="2"/>
  <c r="O100" i="2"/>
  <c r="C100" i="2"/>
  <c r="BE100" i="2" s="1"/>
  <c r="B100" i="2"/>
  <c r="A100" i="2"/>
  <c r="BD100" i="2" s="1"/>
  <c r="BS99" i="2"/>
  <c r="I98" i="3" s="1"/>
  <c r="BO99" i="2"/>
  <c r="BN99" i="2"/>
  <c r="H98" i="3" s="1"/>
  <c r="BM99" i="2"/>
  <c r="G98" i="3" s="1"/>
  <c r="AW99" i="2"/>
  <c r="AV99" i="2"/>
  <c r="AU99" i="2"/>
  <c r="AT99" i="2"/>
  <c r="AS99" i="2"/>
  <c r="AR99" i="2"/>
  <c r="AQ99" i="2"/>
  <c r="AP99" i="2"/>
  <c r="AO99" i="2"/>
  <c r="AN99" i="2"/>
  <c r="AM99" i="2"/>
  <c r="Y99" i="2"/>
  <c r="X99" i="2"/>
  <c r="W99" i="2"/>
  <c r="V99" i="2"/>
  <c r="U99" i="2"/>
  <c r="T99" i="2"/>
  <c r="S99" i="2"/>
  <c r="R99" i="2"/>
  <c r="Q99" i="2"/>
  <c r="P99" i="2"/>
  <c r="O99" i="2"/>
  <c r="J99" i="2"/>
  <c r="C99" i="2"/>
  <c r="BE99" i="2" s="1"/>
  <c r="B99" i="2"/>
  <c r="A99" i="2"/>
  <c r="BD99" i="2" s="1"/>
  <c r="BS98" i="2"/>
  <c r="I97" i="3" s="1"/>
  <c r="BO98" i="2"/>
  <c r="BN98" i="2"/>
  <c r="H97" i="3" s="1"/>
  <c r="BM98" i="2"/>
  <c r="G97" i="3" s="1"/>
  <c r="AW98" i="2"/>
  <c r="AV98" i="2"/>
  <c r="AU98" i="2"/>
  <c r="AT98" i="2"/>
  <c r="AS98" i="2"/>
  <c r="AR98" i="2"/>
  <c r="AQ98" i="2"/>
  <c r="AP98" i="2"/>
  <c r="AO98" i="2"/>
  <c r="AN98" i="2"/>
  <c r="AM98" i="2"/>
  <c r="AC98" i="2"/>
  <c r="AB98" i="2"/>
  <c r="Y98" i="2"/>
  <c r="X98" i="2"/>
  <c r="W98" i="2"/>
  <c r="V98" i="2"/>
  <c r="U98" i="2"/>
  <c r="T98" i="2"/>
  <c r="S98" i="2"/>
  <c r="R98" i="2"/>
  <c r="Q98" i="2"/>
  <c r="P98" i="2"/>
  <c r="O98" i="2"/>
  <c r="C98" i="2"/>
  <c r="BE98" i="2" s="1"/>
  <c r="B98" i="2"/>
  <c r="A98" i="2"/>
  <c r="BD98" i="2" s="1"/>
  <c r="BS97" i="2"/>
  <c r="I96" i="3" s="1"/>
  <c r="BO97" i="2"/>
  <c r="BN97" i="2"/>
  <c r="H96" i="3" s="1"/>
  <c r="BM97" i="2"/>
  <c r="G96" i="3" s="1"/>
  <c r="AZ97" i="2"/>
  <c r="AW97" i="2"/>
  <c r="AV97" i="2"/>
  <c r="AU97" i="2"/>
  <c r="AT97" i="2"/>
  <c r="AS97" i="2"/>
  <c r="AR97" i="2"/>
  <c r="AQ97" i="2"/>
  <c r="AP97" i="2"/>
  <c r="AO97" i="2"/>
  <c r="AN97" i="2"/>
  <c r="AM97" i="2"/>
  <c r="AC97" i="2"/>
  <c r="AY97" i="2" s="1"/>
  <c r="BG97" i="2" s="1"/>
  <c r="Y97" i="2"/>
  <c r="X97" i="2"/>
  <c r="W97" i="2"/>
  <c r="V97" i="2"/>
  <c r="U97" i="2"/>
  <c r="T97" i="2"/>
  <c r="S97" i="2"/>
  <c r="R97" i="2"/>
  <c r="Q97" i="2"/>
  <c r="P97" i="2"/>
  <c r="O97" i="2"/>
  <c r="C97" i="2"/>
  <c r="BE97" i="2" s="1"/>
  <c r="B97" i="2"/>
  <c r="A97" i="2"/>
  <c r="BD97" i="2" s="1"/>
  <c r="BS96" i="2"/>
  <c r="I95" i="3" s="1"/>
  <c r="BO96" i="2"/>
  <c r="BN96" i="2"/>
  <c r="H95" i="3" s="1"/>
  <c r="BM96" i="2"/>
  <c r="G95" i="3" s="1"/>
  <c r="AY96" i="2"/>
  <c r="BG96" i="2" s="1"/>
  <c r="AW96" i="2"/>
  <c r="AV96" i="2"/>
  <c r="AU96" i="2"/>
  <c r="AT96" i="2"/>
  <c r="AS96" i="2"/>
  <c r="AR96" i="2"/>
  <c r="AQ96" i="2"/>
  <c r="AP96" i="2"/>
  <c r="AO96" i="2"/>
  <c r="AN96" i="2"/>
  <c r="AM96" i="2"/>
  <c r="Y96" i="2"/>
  <c r="X96" i="2"/>
  <c r="W96" i="2"/>
  <c r="V96" i="2"/>
  <c r="U96" i="2"/>
  <c r="T96" i="2"/>
  <c r="S96" i="2"/>
  <c r="R96" i="2"/>
  <c r="Q96" i="2"/>
  <c r="P96" i="2"/>
  <c r="O96" i="2"/>
  <c r="J96" i="2"/>
  <c r="AZ96" i="2" s="1"/>
  <c r="C96" i="2"/>
  <c r="BE96" i="2" s="1"/>
  <c r="B96" i="2"/>
  <c r="A96" i="2"/>
  <c r="BD96" i="2" s="1"/>
  <c r="BS95" i="2"/>
  <c r="I94" i="3" s="1"/>
  <c r="BO95" i="2"/>
  <c r="BN95" i="2"/>
  <c r="H94" i="3" s="1"/>
  <c r="BM95" i="2"/>
  <c r="G94" i="3" s="1"/>
  <c r="AW95" i="2"/>
  <c r="AV95" i="2"/>
  <c r="AU95" i="2"/>
  <c r="AT95" i="2"/>
  <c r="AS95" i="2"/>
  <c r="AR95" i="2"/>
  <c r="AQ95" i="2"/>
  <c r="AP95" i="2"/>
  <c r="AO95" i="2"/>
  <c r="AN95" i="2"/>
  <c r="AM95" i="2"/>
  <c r="AD95" i="2"/>
  <c r="Y95" i="2"/>
  <c r="X95" i="2"/>
  <c r="W95" i="2"/>
  <c r="V95" i="2"/>
  <c r="U95" i="2"/>
  <c r="T95" i="2"/>
  <c r="S95" i="2"/>
  <c r="R95" i="2"/>
  <c r="Q95" i="2"/>
  <c r="P95" i="2"/>
  <c r="O95" i="2"/>
  <c r="D95" i="2"/>
  <c r="C95" i="2"/>
  <c r="BE95" i="2" s="1"/>
  <c r="B95" i="2"/>
  <c r="A95" i="2"/>
  <c r="BD95" i="2" s="1"/>
  <c r="BS94" i="2"/>
  <c r="I93" i="3" s="1"/>
  <c r="BO94" i="2"/>
  <c r="BN94" i="2"/>
  <c r="H93" i="3" s="1"/>
  <c r="BM94" i="2"/>
  <c r="G93" i="3" s="1"/>
  <c r="AW94" i="2"/>
  <c r="AV94" i="2"/>
  <c r="AU94" i="2"/>
  <c r="AT94" i="2"/>
  <c r="AS94" i="2"/>
  <c r="AR94" i="2"/>
  <c r="AQ94" i="2"/>
  <c r="AP94" i="2"/>
  <c r="AO94" i="2"/>
  <c r="AN94" i="2"/>
  <c r="AM94" i="2"/>
  <c r="AC94" i="2"/>
  <c r="Y94" i="2"/>
  <c r="X94" i="2"/>
  <c r="W94" i="2"/>
  <c r="V94" i="2"/>
  <c r="U94" i="2"/>
  <c r="T94" i="2"/>
  <c r="S94" i="2"/>
  <c r="R94" i="2"/>
  <c r="Q94" i="2"/>
  <c r="P94" i="2"/>
  <c r="O94" i="2"/>
  <c r="C94" i="2"/>
  <c r="BE94" i="2" s="1"/>
  <c r="B94" i="2"/>
  <c r="A94" i="2"/>
  <c r="BD94" i="2" s="1"/>
  <c r="BS93" i="2"/>
  <c r="I92" i="3" s="1"/>
  <c r="BO93" i="2"/>
  <c r="BN93" i="2"/>
  <c r="H92" i="3" s="1"/>
  <c r="BM93" i="2"/>
  <c r="G92" i="3" s="1"/>
  <c r="AW93" i="2"/>
  <c r="AV93" i="2"/>
  <c r="AU93" i="2"/>
  <c r="AT93" i="2"/>
  <c r="AS93" i="2"/>
  <c r="AR93" i="2"/>
  <c r="AQ93" i="2"/>
  <c r="AP93" i="2"/>
  <c r="AO93" i="2"/>
  <c r="AN93" i="2"/>
  <c r="AM93" i="2"/>
  <c r="AD93" i="2"/>
  <c r="AY93" i="2" s="1"/>
  <c r="BG93" i="2" s="1"/>
  <c r="Y93" i="2"/>
  <c r="X93" i="2"/>
  <c r="W93" i="2"/>
  <c r="V93" i="2"/>
  <c r="U93" i="2"/>
  <c r="T93" i="2"/>
  <c r="S93" i="2"/>
  <c r="R93" i="2"/>
  <c r="Q93" i="2"/>
  <c r="P93" i="2"/>
  <c r="O93" i="2"/>
  <c r="C93" i="2"/>
  <c r="BE93" i="2" s="1"/>
  <c r="B93" i="2"/>
  <c r="A93" i="2"/>
  <c r="BD93" i="2" s="1"/>
  <c r="BS92" i="2"/>
  <c r="I91" i="3" s="1"/>
  <c r="BO92" i="2"/>
  <c r="BN92" i="2"/>
  <c r="H91" i="3" s="1"/>
  <c r="BM92" i="2"/>
  <c r="G91" i="3" s="1"/>
  <c r="AW92" i="2"/>
  <c r="AV92" i="2"/>
  <c r="AU92" i="2"/>
  <c r="AT92" i="2"/>
  <c r="AS92" i="2"/>
  <c r="AR92" i="2"/>
  <c r="AQ92" i="2"/>
  <c r="AP92" i="2"/>
  <c r="AO92" i="2"/>
  <c r="AN92" i="2"/>
  <c r="AM92" i="2"/>
  <c r="AD92" i="2"/>
  <c r="AC92" i="2"/>
  <c r="Y92" i="2"/>
  <c r="X92" i="2"/>
  <c r="W92" i="2"/>
  <c r="V92" i="2"/>
  <c r="U92" i="2"/>
  <c r="T92" i="2"/>
  <c r="S92" i="2"/>
  <c r="R92" i="2"/>
  <c r="Q92" i="2"/>
  <c r="P92" i="2"/>
  <c r="O92" i="2"/>
  <c r="C92" i="2"/>
  <c r="BE92" i="2" s="1"/>
  <c r="B92" i="2"/>
  <c r="A92" i="2"/>
  <c r="BD92" i="2" s="1"/>
  <c r="BS91" i="2"/>
  <c r="I90" i="3" s="1"/>
  <c r="BO91" i="2"/>
  <c r="BN91" i="2"/>
  <c r="H90" i="3" s="1"/>
  <c r="BM91" i="2"/>
  <c r="G90" i="3" s="1"/>
  <c r="AW91" i="2"/>
  <c r="AV91" i="2"/>
  <c r="AU91" i="2"/>
  <c r="AT91" i="2"/>
  <c r="AS91" i="2"/>
  <c r="AR91" i="2"/>
  <c r="AQ91" i="2"/>
  <c r="AP91" i="2"/>
  <c r="AO91" i="2"/>
  <c r="AN91" i="2"/>
  <c r="AM91" i="2"/>
  <c r="AC91" i="2"/>
  <c r="Y91" i="2"/>
  <c r="X91" i="2"/>
  <c r="W91" i="2"/>
  <c r="V91" i="2"/>
  <c r="U91" i="2"/>
  <c r="T91" i="2"/>
  <c r="S91" i="2"/>
  <c r="R91" i="2"/>
  <c r="Q91" i="2"/>
  <c r="P91" i="2"/>
  <c r="O91" i="2"/>
  <c r="C91" i="2"/>
  <c r="BE91" i="2" s="1"/>
  <c r="B91" i="2"/>
  <c r="A91" i="2"/>
  <c r="BD91" i="2" s="1"/>
  <c r="BS90" i="2"/>
  <c r="I89" i="3" s="1"/>
  <c r="BO90" i="2"/>
  <c r="BN90" i="2"/>
  <c r="H89" i="3" s="1"/>
  <c r="BM90" i="2"/>
  <c r="G89" i="3" s="1"/>
  <c r="AW90" i="2"/>
  <c r="AV90" i="2"/>
  <c r="AU90" i="2"/>
  <c r="AT90" i="2"/>
  <c r="AS90" i="2"/>
  <c r="AR90" i="2"/>
  <c r="AQ90" i="2"/>
  <c r="AP90" i="2"/>
  <c r="AO90" i="2"/>
  <c r="AN90" i="2"/>
  <c r="AM90" i="2"/>
  <c r="AD90" i="2"/>
  <c r="AC90" i="2"/>
  <c r="Y90" i="2"/>
  <c r="X90" i="2"/>
  <c r="W90" i="2"/>
  <c r="V90" i="2"/>
  <c r="U90" i="2"/>
  <c r="T90" i="2"/>
  <c r="S90" i="2"/>
  <c r="R90" i="2"/>
  <c r="Q90" i="2"/>
  <c r="P90" i="2"/>
  <c r="O90" i="2"/>
  <c r="C90" i="2"/>
  <c r="BE90" i="2" s="1"/>
  <c r="B90" i="2"/>
  <c r="A90" i="2"/>
  <c r="BD90" i="2" s="1"/>
  <c r="BS89" i="2"/>
  <c r="I88" i="3" s="1"/>
  <c r="BO89" i="2"/>
  <c r="BN89" i="2"/>
  <c r="H88" i="3" s="1"/>
  <c r="BM89" i="2"/>
  <c r="G88" i="3" s="1"/>
  <c r="AW89" i="2"/>
  <c r="AV89" i="2"/>
  <c r="AU89" i="2"/>
  <c r="AT89" i="2"/>
  <c r="AS89" i="2"/>
  <c r="AR89" i="2"/>
  <c r="AQ89" i="2"/>
  <c r="AP89" i="2"/>
  <c r="AO89" i="2"/>
  <c r="AN89" i="2"/>
  <c r="AM89" i="2"/>
  <c r="AB89" i="2"/>
  <c r="AY89" i="2" s="1"/>
  <c r="BG89" i="2" s="1"/>
  <c r="Y89" i="2"/>
  <c r="X89" i="2"/>
  <c r="W89" i="2"/>
  <c r="V89" i="2"/>
  <c r="U89" i="2"/>
  <c r="T89" i="2"/>
  <c r="S89" i="2"/>
  <c r="R89" i="2"/>
  <c r="Q89" i="2"/>
  <c r="P89" i="2"/>
  <c r="O89" i="2"/>
  <c r="C89" i="2"/>
  <c r="BE89" i="2" s="1"/>
  <c r="B89" i="2"/>
  <c r="A89" i="2"/>
  <c r="BD89" i="2" s="1"/>
  <c r="BS88" i="2"/>
  <c r="I87" i="3" s="1"/>
  <c r="BO88" i="2"/>
  <c r="BN88" i="2"/>
  <c r="H87" i="3" s="1"/>
  <c r="BM88" i="2"/>
  <c r="G87" i="3" s="1"/>
  <c r="AW88" i="2"/>
  <c r="AV88" i="2"/>
  <c r="AU88" i="2"/>
  <c r="AT88" i="2"/>
  <c r="AS88" i="2"/>
  <c r="AR88" i="2"/>
  <c r="AQ88" i="2"/>
  <c r="AP88" i="2"/>
  <c r="AO88" i="2"/>
  <c r="AN88" i="2"/>
  <c r="AM88" i="2"/>
  <c r="AD88" i="2"/>
  <c r="AZ88" i="2" s="1"/>
  <c r="Y88" i="2"/>
  <c r="X88" i="2"/>
  <c r="W88" i="2"/>
  <c r="V88" i="2"/>
  <c r="U88" i="2"/>
  <c r="T88" i="2"/>
  <c r="S88" i="2"/>
  <c r="R88" i="2"/>
  <c r="Q88" i="2"/>
  <c r="P88" i="2"/>
  <c r="O88" i="2"/>
  <c r="C88" i="2"/>
  <c r="BE88" i="2" s="1"/>
  <c r="B88" i="2"/>
  <c r="A88" i="2"/>
  <c r="BD88" i="2" s="1"/>
  <c r="BS87" i="2"/>
  <c r="I86" i="3" s="1"/>
  <c r="BO87" i="2"/>
  <c r="BN87" i="2"/>
  <c r="H86" i="3" s="1"/>
  <c r="BM87" i="2"/>
  <c r="G86" i="3" s="1"/>
  <c r="AW87" i="2"/>
  <c r="AV87" i="2"/>
  <c r="AU87" i="2"/>
  <c r="AT87" i="2"/>
  <c r="AS87" i="2"/>
  <c r="AR87" i="2"/>
  <c r="AQ87" i="2"/>
  <c r="AP87" i="2"/>
  <c r="AO87" i="2"/>
  <c r="AN87" i="2"/>
  <c r="AM87" i="2"/>
  <c r="AG87" i="2"/>
  <c r="AF87" i="2"/>
  <c r="AE87" i="2"/>
  <c r="AD87" i="2"/>
  <c r="AC87" i="2"/>
  <c r="Y87" i="2"/>
  <c r="X87" i="2"/>
  <c r="W87" i="2"/>
  <c r="V87" i="2"/>
  <c r="U87" i="2"/>
  <c r="T87" i="2"/>
  <c r="S87" i="2"/>
  <c r="R87" i="2"/>
  <c r="Q87" i="2"/>
  <c r="P87" i="2"/>
  <c r="O87" i="2"/>
  <c r="C87" i="2"/>
  <c r="BE87" i="2" s="1"/>
  <c r="B87" i="2"/>
  <c r="A87" i="2"/>
  <c r="BD87" i="2" s="1"/>
  <c r="BS86" i="2"/>
  <c r="I85" i="3" s="1"/>
  <c r="BO86" i="2"/>
  <c r="BN86" i="2"/>
  <c r="H85" i="3" s="1"/>
  <c r="BM86" i="2"/>
  <c r="G85" i="3" s="1"/>
  <c r="AW86" i="2"/>
  <c r="AV86" i="2"/>
  <c r="AU86" i="2"/>
  <c r="AT86" i="2"/>
  <c r="AS86" i="2"/>
  <c r="AR86" i="2"/>
  <c r="AQ86" i="2"/>
  <c r="AP86" i="2"/>
  <c r="AO86" i="2"/>
  <c r="AN86" i="2"/>
  <c r="AM86" i="2"/>
  <c r="AD86" i="2"/>
  <c r="AC86" i="2"/>
  <c r="Y86" i="2"/>
  <c r="X86" i="2"/>
  <c r="W86" i="2"/>
  <c r="V86" i="2"/>
  <c r="U86" i="2"/>
  <c r="T86" i="2"/>
  <c r="S86" i="2"/>
  <c r="R86" i="2"/>
  <c r="Q86" i="2"/>
  <c r="P86" i="2"/>
  <c r="O86" i="2"/>
  <c r="C86" i="2"/>
  <c r="BE86" i="2" s="1"/>
  <c r="B86" i="2"/>
  <c r="A86" i="2"/>
  <c r="BD86" i="2" s="1"/>
  <c r="BS85" i="2"/>
  <c r="I84" i="3" s="1"/>
  <c r="BO85" i="2"/>
  <c r="BN85" i="2"/>
  <c r="H84" i="3" s="1"/>
  <c r="BM85" i="2"/>
  <c r="G84" i="3" s="1"/>
  <c r="AW85" i="2"/>
  <c r="AV85" i="2"/>
  <c r="AU85" i="2"/>
  <c r="AT85" i="2"/>
  <c r="AS85" i="2"/>
  <c r="AR85" i="2"/>
  <c r="AQ85" i="2"/>
  <c r="AP85" i="2"/>
  <c r="AO85" i="2"/>
  <c r="AN85" i="2"/>
  <c r="AM85" i="2"/>
  <c r="AE85" i="2"/>
  <c r="AD85" i="2"/>
  <c r="Y85" i="2"/>
  <c r="X85" i="2"/>
  <c r="W85" i="2"/>
  <c r="V85" i="2"/>
  <c r="U85" i="2"/>
  <c r="T85" i="2"/>
  <c r="S85" i="2"/>
  <c r="R85" i="2"/>
  <c r="Q85" i="2"/>
  <c r="P85" i="2"/>
  <c r="O85" i="2"/>
  <c r="C85" i="2"/>
  <c r="BE85" i="2" s="1"/>
  <c r="B85" i="2"/>
  <c r="A85" i="2"/>
  <c r="BD85" i="2" s="1"/>
  <c r="BS84" i="2"/>
  <c r="I83" i="3" s="1"/>
  <c r="BO84" i="2"/>
  <c r="BN84" i="2"/>
  <c r="H83" i="3" s="1"/>
  <c r="BM84" i="2"/>
  <c r="G83" i="3" s="1"/>
  <c r="AW84" i="2"/>
  <c r="AV84" i="2"/>
  <c r="AU84" i="2"/>
  <c r="AT84" i="2"/>
  <c r="AS84" i="2"/>
  <c r="AR84" i="2"/>
  <c r="AQ84" i="2"/>
  <c r="AP84" i="2"/>
  <c r="AO84" i="2"/>
  <c r="AN84" i="2"/>
  <c r="AM84" i="2"/>
  <c r="AJ84" i="2"/>
  <c r="AI84" i="2"/>
  <c r="AH84" i="2"/>
  <c r="AG84" i="2"/>
  <c r="AF84" i="2"/>
  <c r="AE84" i="2"/>
  <c r="AD84" i="2"/>
  <c r="Y84" i="2"/>
  <c r="X84" i="2"/>
  <c r="W84" i="2"/>
  <c r="V84" i="2"/>
  <c r="U84" i="2"/>
  <c r="T84" i="2"/>
  <c r="S84" i="2"/>
  <c r="R84" i="2"/>
  <c r="Q84" i="2"/>
  <c r="P84" i="2"/>
  <c r="O84" i="2"/>
  <c r="C84" i="2"/>
  <c r="BE84" i="2" s="1"/>
  <c r="B84" i="2"/>
  <c r="A84" i="2"/>
  <c r="BD84" i="2" s="1"/>
  <c r="BS83" i="2"/>
  <c r="I82" i="3" s="1"/>
  <c r="BO83" i="2"/>
  <c r="BN83" i="2"/>
  <c r="H82" i="3" s="1"/>
  <c r="BM83" i="2"/>
  <c r="G82" i="3" s="1"/>
  <c r="AW83" i="2"/>
  <c r="AV83" i="2"/>
  <c r="AU83" i="2"/>
  <c r="AT83" i="2"/>
  <c r="AS83" i="2"/>
  <c r="AR83" i="2"/>
  <c r="AQ83" i="2"/>
  <c r="AP83" i="2"/>
  <c r="AO83" i="2"/>
  <c r="AN83" i="2"/>
  <c r="AM83" i="2"/>
  <c r="AC83" i="2"/>
  <c r="AB83" i="2"/>
  <c r="Y83" i="2"/>
  <c r="X83" i="2"/>
  <c r="W83" i="2"/>
  <c r="V83" i="2"/>
  <c r="U83" i="2"/>
  <c r="T83" i="2"/>
  <c r="S83" i="2"/>
  <c r="R83" i="2"/>
  <c r="Q83" i="2"/>
  <c r="P83" i="2"/>
  <c r="O83" i="2"/>
  <c r="C83" i="2"/>
  <c r="BE83" i="2" s="1"/>
  <c r="B83" i="2"/>
  <c r="A83" i="2"/>
  <c r="BD83" i="2" s="1"/>
  <c r="BS82" i="2"/>
  <c r="I81" i="3" s="1"/>
  <c r="BO82" i="2"/>
  <c r="BN82" i="2"/>
  <c r="H81" i="3" s="1"/>
  <c r="BM82" i="2"/>
  <c r="G81" i="3" s="1"/>
  <c r="AW82" i="2"/>
  <c r="AV82" i="2"/>
  <c r="AU82" i="2"/>
  <c r="AT82" i="2"/>
  <c r="AS82" i="2"/>
  <c r="AR82" i="2"/>
  <c r="AQ82" i="2"/>
  <c r="AP82" i="2"/>
  <c r="AO82" i="2"/>
  <c r="AN82" i="2"/>
  <c r="AM82" i="2"/>
  <c r="AC82" i="2"/>
  <c r="AB82" i="2"/>
  <c r="AY82" i="2" s="1"/>
  <c r="BG82" i="2" s="1"/>
  <c r="Y82" i="2"/>
  <c r="X82" i="2"/>
  <c r="W82" i="2"/>
  <c r="V82" i="2"/>
  <c r="U82" i="2"/>
  <c r="T82" i="2"/>
  <c r="S82" i="2"/>
  <c r="R82" i="2"/>
  <c r="Q82" i="2"/>
  <c r="P82" i="2"/>
  <c r="O82" i="2"/>
  <c r="C82" i="2"/>
  <c r="BE82" i="2" s="1"/>
  <c r="B82" i="2"/>
  <c r="A82" i="2"/>
  <c r="BD82" i="2" s="1"/>
  <c r="BS81" i="2"/>
  <c r="I80" i="3" s="1"/>
  <c r="BO81" i="2"/>
  <c r="BN81" i="2"/>
  <c r="H80" i="3" s="1"/>
  <c r="BM81" i="2"/>
  <c r="G80" i="3" s="1"/>
  <c r="AW81" i="2"/>
  <c r="AV81" i="2"/>
  <c r="AU81" i="2"/>
  <c r="AT81" i="2"/>
  <c r="AS81" i="2"/>
  <c r="AR81" i="2"/>
  <c r="AQ81" i="2"/>
  <c r="AP81" i="2"/>
  <c r="AO81" i="2"/>
  <c r="AN81" i="2"/>
  <c r="AM81" i="2"/>
  <c r="AG81" i="2"/>
  <c r="Y81" i="2"/>
  <c r="X81" i="2"/>
  <c r="W81" i="2"/>
  <c r="V81" i="2"/>
  <c r="U81" i="2"/>
  <c r="T81" i="2"/>
  <c r="S81" i="2"/>
  <c r="R81" i="2"/>
  <c r="Q81" i="2"/>
  <c r="P81" i="2"/>
  <c r="O81" i="2"/>
  <c r="I81" i="2"/>
  <c r="H81" i="2"/>
  <c r="C81" i="2"/>
  <c r="BE81" i="2" s="1"/>
  <c r="B81" i="2"/>
  <c r="A81" i="2"/>
  <c r="BD81" i="2" s="1"/>
  <c r="BS80" i="2"/>
  <c r="I79" i="3" s="1"/>
  <c r="BO80" i="2"/>
  <c r="BN80" i="2"/>
  <c r="H79" i="3" s="1"/>
  <c r="BM80" i="2"/>
  <c r="G79" i="3" s="1"/>
  <c r="AW80" i="2"/>
  <c r="AV80" i="2"/>
  <c r="AU80" i="2"/>
  <c r="AT80" i="2"/>
  <c r="AS80" i="2"/>
  <c r="AR80" i="2"/>
  <c r="AQ80" i="2"/>
  <c r="AP80" i="2"/>
  <c r="AO80" i="2"/>
  <c r="AN80" i="2"/>
  <c r="AM80" i="2"/>
  <c r="AF80" i="2"/>
  <c r="AE80" i="2"/>
  <c r="AD80" i="2"/>
  <c r="Y80" i="2"/>
  <c r="X80" i="2"/>
  <c r="W80" i="2"/>
  <c r="V80" i="2"/>
  <c r="U80" i="2"/>
  <c r="T80" i="2"/>
  <c r="S80" i="2"/>
  <c r="R80" i="2"/>
  <c r="Q80" i="2"/>
  <c r="P80" i="2"/>
  <c r="O80" i="2"/>
  <c r="C80" i="2"/>
  <c r="BE80" i="2" s="1"/>
  <c r="B80" i="2"/>
  <c r="A80" i="2"/>
  <c r="BD80" i="2" s="1"/>
  <c r="BS79" i="2"/>
  <c r="I78" i="3" s="1"/>
  <c r="BO79" i="2"/>
  <c r="BN79" i="2"/>
  <c r="H78" i="3" s="1"/>
  <c r="BM79" i="2"/>
  <c r="G78" i="3" s="1"/>
  <c r="AW79" i="2"/>
  <c r="AV79" i="2"/>
  <c r="AU79" i="2"/>
  <c r="AT79" i="2"/>
  <c r="AS79" i="2"/>
  <c r="AR79" i="2"/>
  <c r="AQ79" i="2"/>
  <c r="AP79" i="2"/>
  <c r="AO79" i="2"/>
  <c r="AN79" i="2"/>
  <c r="AM79" i="2"/>
  <c r="AD79" i="2"/>
  <c r="Y79" i="2"/>
  <c r="X79" i="2"/>
  <c r="W79" i="2"/>
  <c r="V79" i="2"/>
  <c r="U79" i="2"/>
  <c r="T79" i="2"/>
  <c r="S79" i="2"/>
  <c r="R79" i="2"/>
  <c r="Q79" i="2"/>
  <c r="P79" i="2"/>
  <c r="O79" i="2"/>
  <c r="F79" i="2"/>
  <c r="C79" i="2"/>
  <c r="BE79" i="2" s="1"/>
  <c r="B79" i="2"/>
  <c r="A79" i="2"/>
  <c r="BD79" i="2" s="1"/>
  <c r="BS78" i="2"/>
  <c r="I77" i="3" s="1"/>
  <c r="BO78" i="2"/>
  <c r="BN78" i="2"/>
  <c r="H77" i="3" s="1"/>
  <c r="BM78" i="2"/>
  <c r="G77" i="3" s="1"/>
  <c r="AW78" i="2"/>
  <c r="AV78" i="2"/>
  <c r="AU78" i="2"/>
  <c r="AT78" i="2"/>
  <c r="AS78" i="2"/>
  <c r="AR78" i="2"/>
  <c r="AQ78" i="2"/>
  <c r="AP78" i="2"/>
  <c r="AO78" i="2"/>
  <c r="AN78" i="2"/>
  <c r="AM78" i="2"/>
  <c r="AE78" i="2"/>
  <c r="AD78" i="2"/>
  <c r="Y78" i="2"/>
  <c r="X78" i="2"/>
  <c r="W78" i="2"/>
  <c r="V78" i="2"/>
  <c r="U78" i="2"/>
  <c r="T78" i="2"/>
  <c r="S78" i="2"/>
  <c r="R78" i="2"/>
  <c r="Q78" i="2"/>
  <c r="P78" i="2"/>
  <c r="O78" i="2"/>
  <c r="F78" i="2"/>
  <c r="C78" i="2"/>
  <c r="BE78" i="2" s="1"/>
  <c r="B78" i="2"/>
  <c r="A78" i="2"/>
  <c r="BD78" i="2" s="1"/>
  <c r="BS77" i="2"/>
  <c r="I76" i="3" s="1"/>
  <c r="BO77" i="2"/>
  <c r="BN77" i="2"/>
  <c r="H76" i="3" s="1"/>
  <c r="BM77" i="2"/>
  <c r="G76" i="3" s="1"/>
  <c r="AW77" i="2"/>
  <c r="AV77" i="2"/>
  <c r="AU77" i="2"/>
  <c r="AT77" i="2"/>
  <c r="AS77" i="2"/>
  <c r="AR77" i="2"/>
  <c r="AQ77" i="2"/>
  <c r="AP77" i="2"/>
  <c r="AO77" i="2"/>
  <c r="AN77" i="2"/>
  <c r="AM77" i="2"/>
  <c r="AF77" i="2"/>
  <c r="AE77" i="2"/>
  <c r="AD77" i="2"/>
  <c r="Y77" i="2"/>
  <c r="X77" i="2"/>
  <c r="W77" i="2"/>
  <c r="V77" i="2"/>
  <c r="U77" i="2"/>
  <c r="T77" i="2"/>
  <c r="S77" i="2"/>
  <c r="R77" i="2"/>
  <c r="Q77" i="2"/>
  <c r="P77" i="2"/>
  <c r="O77" i="2"/>
  <c r="F77" i="2"/>
  <c r="C77" i="2"/>
  <c r="BE77" i="2" s="1"/>
  <c r="B77" i="2"/>
  <c r="A77" i="2"/>
  <c r="BD77" i="2" s="1"/>
  <c r="BS76" i="2"/>
  <c r="I75" i="3" s="1"/>
  <c r="BO76" i="2"/>
  <c r="BN76" i="2"/>
  <c r="H75" i="3" s="1"/>
  <c r="BM76" i="2"/>
  <c r="G75" i="3" s="1"/>
  <c r="AW76" i="2"/>
  <c r="AV76" i="2"/>
  <c r="AU76" i="2"/>
  <c r="AT76" i="2"/>
  <c r="AS76" i="2"/>
  <c r="AR76" i="2"/>
  <c r="AQ76" i="2"/>
  <c r="AP76" i="2"/>
  <c r="AO76" i="2"/>
  <c r="AN76" i="2"/>
  <c r="AM76" i="2"/>
  <c r="AC76" i="2"/>
  <c r="Y76" i="2"/>
  <c r="X76" i="2"/>
  <c r="W76" i="2"/>
  <c r="V76" i="2"/>
  <c r="U76" i="2"/>
  <c r="T76" i="2"/>
  <c r="S76" i="2"/>
  <c r="R76" i="2"/>
  <c r="Q76" i="2"/>
  <c r="P76" i="2"/>
  <c r="O76" i="2"/>
  <c r="C76" i="2"/>
  <c r="BE76" i="2" s="1"/>
  <c r="B76" i="2"/>
  <c r="A76" i="2"/>
  <c r="BD76" i="2" s="1"/>
  <c r="BS75" i="2"/>
  <c r="I74" i="3" s="1"/>
  <c r="BO75" i="2"/>
  <c r="BN75" i="2"/>
  <c r="H74" i="3" s="1"/>
  <c r="BM75" i="2"/>
  <c r="G74" i="3" s="1"/>
  <c r="AW75" i="2"/>
  <c r="AV75" i="2"/>
  <c r="AU75" i="2"/>
  <c r="AT75" i="2"/>
  <c r="AS75" i="2"/>
  <c r="AR75" i="2"/>
  <c r="AQ75" i="2"/>
  <c r="AP75" i="2"/>
  <c r="AO75" i="2"/>
  <c r="AN75" i="2"/>
  <c r="AM75" i="2"/>
  <c r="AG75" i="2"/>
  <c r="AY75" i="2" s="1"/>
  <c r="BG75" i="2" s="1"/>
  <c r="Y75" i="2"/>
  <c r="X75" i="2"/>
  <c r="W75" i="2"/>
  <c r="V75" i="2"/>
  <c r="U75" i="2"/>
  <c r="T75" i="2"/>
  <c r="S75" i="2"/>
  <c r="R75" i="2"/>
  <c r="Q75" i="2"/>
  <c r="P75" i="2"/>
  <c r="O75" i="2"/>
  <c r="C75" i="2"/>
  <c r="BE75" i="2" s="1"/>
  <c r="B75" i="2"/>
  <c r="A75" i="2"/>
  <c r="BD75" i="2" s="1"/>
  <c r="BS74" i="2"/>
  <c r="I73" i="3" s="1"/>
  <c r="BO74" i="2"/>
  <c r="BN74" i="2"/>
  <c r="H73" i="3" s="1"/>
  <c r="BM74" i="2"/>
  <c r="G73" i="3" s="1"/>
  <c r="AW74" i="2"/>
  <c r="AV74" i="2"/>
  <c r="AU74" i="2"/>
  <c r="AT74" i="2"/>
  <c r="AS74" i="2"/>
  <c r="AR74" i="2"/>
  <c r="AQ74" i="2"/>
  <c r="AP74" i="2"/>
  <c r="AO74" i="2"/>
  <c r="AN74" i="2"/>
  <c r="AM74" i="2"/>
  <c r="Y74" i="2"/>
  <c r="X74" i="2"/>
  <c r="W74" i="2"/>
  <c r="V74" i="2"/>
  <c r="U74" i="2"/>
  <c r="T74" i="2"/>
  <c r="S74" i="2"/>
  <c r="R74" i="2"/>
  <c r="Q74" i="2"/>
  <c r="P74" i="2"/>
  <c r="O74" i="2"/>
  <c r="J74" i="2"/>
  <c r="I74" i="2"/>
  <c r="H74" i="2"/>
  <c r="G74" i="2"/>
  <c r="F74" i="2"/>
  <c r="C74" i="2"/>
  <c r="BE74" i="2" s="1"/>
  <c r="B74" i="2"/>
  <c r="A74" i="2"/>
  <c r="BD74" i="2" s="1"/>
  <c r="BS73" i="2"/>
  <c r="I72" i="3" s="1"/>
  <c r="BO73" i="2"/>
  <c r="BN73" i="2"/>
  <c r="H72" i="3" s="1"/>
  <c r="BM73" i="2"/>
  <c r="G72" i="3" s="1"/>
  <c r="AW73" i="2"/>
  <c r="AV73" i="2"/>
  <c r="AU73" i="2"/>
  <c r="AT73" i="2"/>
  <c r="AS73" i="2"/>
  <c r="AR73" i="2"/>
  <c r="AQ73" i="2"/>
  <c r="AP73" i="2"/>
  <c r="AO73" i="2"/>
  <c r="AN73" i="2"/>
  <c r="AM73" i="2"/>
  <c r="AF73" i="2"/>
  <c r="AE73" i="2"/>
  <c r="AZ73" i="2" s="1"/>
  <c r="AD73" i="2"/>
  <c r="AC73" i="2"/>
  <c r="Y73" i="2"/>
  <c r="X73" i="2"/>
  <c r="W73" i="2"/>
  <c r="V73" i="2"/>
  <c r="U73" i="2"/>
  <c r="T73" i="2"/>
  <c r="S73" i="2"/>
  <c r="R73" i="2"/>
  <c r="Q73" i="2"/>
  <c r="P73" i="2"/>
  <c r="O73" i="2"/>
  <c r="C73" i="2"/>
  <c r="BE73" i="2" s="1"/>
  <c r="B73" i="2"/>
  <c r="A73" i="2"/>
  <c r="BD73" i="2" s="1"/>
  <c r="BS72" i="2"/>
  <c r="I71" i="3" s="1"/>
  <c r="BO72" i="2"/>
  <c r="BN72" i="2"/>
  <c r="H71" i="3" s="1"/>
  <c r="BM72" i="2"/>
  <c r="G71" i="3" s="1"/>
  <c r="AW72" i="2"/>
  <c r="AV72" i="2"/>
  <c r="AU72" i="2"/>
  <c r="AT72" i="2"/>
  <c r="AS72" i="2"/>
  <c r="AR72" i="2"/>
  <c r="AQ72" i="2"/>
  <c r="AP72" i="2"/>
  <c r="AO72" i="2"/>
  <c r="AN72" i="2"/>
  <c r="AM72" i="2"/>
  <c r="AE72" i="2"/>
  <c r="AD72" i="2"/>
  <c r="AC72" i="2"/>
  <c r="Y72" i="2"/>
  <c r="X72" i="2"/>
  <c r="W72" i="2"/>
  <c r="V72" i="2"/>
  <c r="U72" i="2"/>
  <c r="T72" i="2"/>
  <c r="S72" i="2"/>
  <c r="R72" i="2"/>
  <c r="Q72" i="2"/>
  <c r="P72" i="2"/>
  <c r="O72" i="2"/>
  <c r="C72" i="2"/>
  <c r="BE72" i="2" s="1"/>
  <c r="B72" i="2"/>
  <c r="A72" i="2"/>
  <c r="BD72" i="2" s="1"/>
  <c r="BS71" i="2"/>
  <c r="I70" i="3" s="1"/>
  <c r="BO71" i="2"/>
  <c r="BN71" i="2"/>
  <c r="H70" i="3" s="1"/>
  <c r="BM71" i="2"/>
  <c r="G70" i="3" s="1"/>
  <c r="AW71" i="2"/>
  <c r="AV71" i="2"/>
  <c r="AU71" i="2"/>
  <c r="AT71" i="2"/>
  <c r="AS71" i="2"/>
  <c r="AR71" i="2"/>
  <c r="AQ71" i="2"/>
  <c r="AP71" i="2"/>
  <c r="AO71" i="2"/>
  <c r="AN71" i="2"/>
  <c r="AM71" i="2"/>
  <c r="AC71" i="2"/>
  <c r="AZ71" i="2" s="1"/>
  <c r="Y71" i="2"/>
  <c r="X71" i="2"/>
  <c r="W71" i="2"/>
  <c r="V71" i="2"/>
  <c r="U71" i="2"/>
  <c r="T71" i="2"/>
  <c r="S71" i="2"/>
  <c r="R71" i="2"/>
  <c r="Q71" i="2"/>
  <c r="P71" i="2"/>
  <c r="O71" i="2"/>
  <c r="C71" i="2"/>
  <c r="BE71" i="2" s="1"/>
  <c r="B71" i="2"/>
  <c r="A71" i="2"/>
  <c r="BD71" i="2" s="1"/>
  <c r="BS70" i="2"/>
  <c r="I69" i="3" s="1"/>
  <c r="BO70" i="2"/>
  <c r="BN70" i="2"/>
  <c r="H69" i="3" s="1"/>
  <c r="BM70" i="2"/>
  <c r="G69" i="3" s="1"/>
  <c r="AW70" i="2"/>
  <c r="AV70" i="2"/>
  <c r="AU70" i="2"/>
  <c r="AT70" i="2"/>
  <c r="AS70" i="2"/>
  <c r="AR70" i="2"/>
  <c r="AQ70" i="2"/>
  <c r="AP70" i="2"/>
  <c r="AO70" i="2"/>
  <c r="AN70" i="2"/>
  <c r="AM70" i="2"/>
  <c r="AB70" i="2"/>
  <c r="AY70" i="2" s="1"/>
  <c r="BG70" i="2" s="1"/>
  <c r="Y70" i="2"/>
  <c r="X70" i="2"/>
  <c r="W70" i="2"/>
  <c r="V70" i="2"/>
  <c r="U70" i="2"/>
  <c r="T70" i="2"/>
  <c r="S70" i="2"/>
  <c r="R70" i="2"/>
  <c r="Q70" i="2"/>
  <c r="P70" i="2"/>
  <c r="O70" i="2"/>
  <c r="C70" i="2"/>
  <c r="BE70" i="2" s="1"/>
  <c r="B70" i="2"/>
  <c r="A70" i="2"/>
  <c r="BD70" i="2" s="1"/>
  <c r="BS69" i="2"/>
  <c r="I68" i="3" s="1"/>
  <c r="BO69" i="2"/>
  <c r="BN69" i="2"/>
  <c r="H68" i="3" s="1"/>
  <c r="BM69" i="2"/>
  <c r="G68" i="3" s="1"/>
  <c r="AW69" i="2"/>
  <c r="AV69" i="2"/>
  <c r="AU69" i="2"/>
  <c r="AT69" i="2"/>
  <c r="AS69" i="2"/>
  <c r="AR69" i="2"/>
  <c r="AQ69" i="2"/>
  <c r="AP69" i="2"/>
  <c r="AO69" i="2"/>
  <c r="AN69" i="2"/>
  <c r="AM69" i="2"/>
  <c r="AD69" i="2"/>
  <c r="Y69" i="2"/>
  <c r="X69" i="2"/>
  <c r="W69" i="2"/>
  <c r="V69" i="2"/>
  <c r="U69" i="2"/>
  <c r="T69" i="2"/>
  <c r="S69" i="2"/>
  <c r="R69" i="2"/>
  <c r="Q69" i="2"/>
  <c r="P69" i="2"/>
  <c r="O69" i="2"/>
  <c r="F69" i="2"/>
  <c r="C69" i="2"/>
  <c r="BE69" i="2" s="1"/>
  <c r="B69" i="2"/>
  <c r="A69" i="2"/>
  <c r="BD69" i="2" s="1"/>
  <c r="BS68" i="2"/>
  <c r="I67" i="3" s="1"/>
  <c r="BO68" i="2"/>
  <c r="BN68" i="2"/>
  <c r="H67" i="3" s="1"/>
  <c r="BM68" i="2"/>
  <c r="G67" i="3" s="1"/>
  <c r="AW68" i="2"/>
  <c r="AV68" i="2"/>
  <c r="AU68" i="2"/>
  <c r="AT68" i="2"/>
  <c r="AS68" i="2"/>
  <c r="AR68" i="2"/>
  <c r="AQ68" i="2"/>
  <c r="AP68" i="2"/>
  <c r="AO68" i="2"/>
  <c r="AN68" i="2"/>
  <c r="AM68" i="2"/>
  <c r="AB68" i="2"/>
  <c r="AY68" i="2" s="1"/>
  <c r="BG68" i="2" s="1"/>
  <c r="Y68" i="2"/>
  <c r="X68" i="2"/>
  <c r="W68" i="2"/>
  <c r="V68" i="2"/>
  <c r="U68" i="2"/>
  <c r="T68" i="2"/>
  <c r="S68" i="2"/>
  <c r="R68" i="2"/>
  <c r="Q68" i="2"/>
  <c r="P68" i="2"/>
  <c r="O68" i="2"/>
  <c r="C68" i="2"/>
  <c r="BE68" i="2" s="1"/>
  <c r="B68" i="2"/>
  <c r="A68" i="2"/>
  <c r="BD68" i="2" s="1"/>
  <c r="BS67" i="2"/>
  <c r="I66" i="3" s="1"/>
  <c r="BO67" i="2"/>
  <c r="BN67" i="2"/>
  <c r="H66" i="3" s="1"/>
  <c r="BM67" i="2"/>
  <c r="G66" i="3" s="1"/>
  <c r="AW67" i="2"/>
  <c r="AV67" i="2"/>
  <c r="AU67" i="2"/>
  <c r="AT67" i="2"/>
  <c r="AS67" i="2"/>
  <c r="AR67" i="2"/>
  <c r="AQ67" i="2"/>
  <c r="AP67" i="2"/>
  <c r="AO67" i="2"/>
  <c r="AN67" i="2"/>
  <c r="AM67" i="2"/>
  <c r="AD67" i="2"/>
  <c r="AZ67" i="2" s="1"/>
  <c r="Y67" i="2"/>
  <c r="X67" i="2"/>
  <c r="W67" i="2"/>
  <c r="V67" i="2"/>
  <c r="U67" i="2"/>
  <c r="T67" i="2"/>
  <c r="S67" i="2"/>
  <c r="R67" i="2"/>
  <c r="Q67" i="2"/>
  <c r="P67" i="2"/>
  <c r="O67" i="2"/>
  <c r="C67" i="2"/>
  <c r="BE67" i="2" s="1"/>
  <c r="B67" i="2"/>
  <c r="A67" i="2"/>
  <c r="BD67" i="2" s="1"/>
  <c r="BS66" i="2"/>
  <c r="I65" i="3" s="1"/>
  <c r="BO66" i="2"/>
  <c r="BN66" i="2"/>
  <c r="H65" i="3" s="1"/>
  <c r="BM66" i="2"/>
  <c r="G65" i="3" s="1"/>
  <c r="AW66" i="2"/>
  <c r="AV66" i="2"/>
  <c r="AU66" i="2"/>
  <c r="AT66" i="2"/>
  <c r="AS66" i="2"/>
  <c r="AR66" i="2"/>
  <c r="AQ66" i="2"/>
  <c r="AP66" i="2"/>
  <c r="AO66" i="2"/>
  <c r="AN66" i="2"/>
  <c r="AM66" i="2"/>
  <c r="AI66" i="2"/>
  <c r="AH66" i="2"/>
  <c r="Y66" i="2"/>
  <c r="X66" i="2"/>
  <c r="W66" i="2"/>
  <c r="V66" i="2"/>
  <c r="U66" i="2"/>
  <c r="T66" i="2"/>
  <c r="S66" i="2"/>
  <c r="R66" i="2"/>
  <c r="Q66" i="2"/>
  <c r="P66" i="2"/>
  <c r="O66" i="2"/>
  <c r="J66" i="2"/>
  <c r="I66" i="2"/>
  <c r="H66" i="2"/>
  <c r="C66" i="2"/>
  <c r="BE66" i="2" s="1"/>
  <c r="B66" i="2"/>
  <c r="A66" i="2"/>
  <c r="BD66" i="2" s="1"/>
  <c r="BS65" i="2"/>
  <c r="I64" i="3" s="1"/>
  <c r="BO65" i="2"/>
  <c r="BN65" i="2"/>
  <c r="H64" i="3" s="1"/>
  <c r="BM65" i="2"/>
  <c r="G64" i="3" s="1"/>
  <c r="BE65" i="2"/>
  <c r="AW65" i="2"/>
  <c r="AV65" i="2"/>
  <c r="AU65" i="2"/>
  <c r="AT65" i="2"/>
  <c r="AS65" i="2"/>
  <c r="AR65" i="2"/>
  <c r="AQ65" i="2"/>
  <c r="AP65" i="2"/>
  <c r="AO65" i="2"/>
  <c r="AN65" i="2"/>
  <c r="AM65" i="2"/>
  <c r="AF65" i="2"/>
  <c r="Y65" i="2"/>
  <c r="X65" i="2"/>
  <c r="W65" i="2"/>
  <c r="V65" i="2"/>
  <c r="U65" i="2"/>
  <c r="T65" i="2"/>
  <c r="S65" i="2"/>
  <c r="R65" i="2"/>
  <c r="Q65" i="2"/>
  <c r="P65" i="2"/>
  <c r="O65" i="2"/>
  <c r="H65" i="2"/>
  <c r="G65" i="2"/>
  <c r="F65" i="2"/>
  <c r="C65" i="2"/>
  <c r="B65" i="2"/>
  <c r="A65" i="2"/>
  <c r="BD65" i="2" s="1"/>
  <c r="BS64" i="2"/>
  <c r="I63" i="3" s="1"/>
  <c r="BO64" i="2"/>
  <c r="BN64" i="2"/>
  <c r="H63" i="3" s="1"/>
  <c r="BM64" i="2"/>
  <c r="G63" i="3" s="1"/>
  <c r="AW64" i="2"/>
  <c r="AV64" i="2"/>
  <c r="AU64" i="2"/>
  <c r="AT64" i="2"/>
  <c r="AS64" i="2"/>
  <c r="AR64" i="2"/>
  <c r="AQ64" i="2"/>
  <c r="AP64" i="2"/>
  <c r="AO64" i="2"/>
  <c r="AN64" i="2"/>
  <c r="AM64" i="2"/>
  <c r="AG64" i="2"/>
  <c r="AF64" i="2"/>
  <c r="AE64" i="2"/>
  <c r="AD64" i="2"/>
  <c r="Y64" i="2"/>
  <c r="X64" i="2"/>
  <c r="W64" i="2"/>
  <c r="V64" i="2"/>
  <c r="U64" i="2"/>
  <c r="T64" i="2"/>
  <c r="S64" i="2"/>
  <c r="R64" i="2"/>
  <c r="Q64" i="2"/>
  <c r="P64" i="2"/>
  <c r="O64" i="2"/>
  <c r="F64" i="2"/>
  <c r="C64" i="2"/>
  <c r="BE64" i="2" s="1"/>
  <c r="B64" i="2"/>
  <c r="A64" i="2"/>
  <c r="BD64" i="2" s="1"/>
  <c r="BS63" i="2"/>
  <c r="I62" i="3" s="1"/>
  <c r="BO63" i="2"/>
  <c r="BN63" i="2"/>
  <c r="H62" i="3" s="1"/>
  <c r="BM63" i="2"/>
  <c r="G62" i="3" s="1"/>
  <c r="AW63" i="2"/>
  <c r="AV63" i="2"/>
  <c r="AU63" i="2"/>
  <c r="AT63" i="2"/>
  <c r="AS63" i="2"/>
  <c r="AR63" i="2"/>
  <c r="AQ63" i="2"/>
  <c r="AP63" i="2"/>
  <c r="AO63" i="2"/>
  <c r="AN63" i="2"/>
  <c r="AM63" i="2"/>
  <c r="AE63" i="2"/>
  <c r="AD63" i="2"/>
  <c r="Y63" i="2"/>
  <c r="X63" i="2"/>
  <c r="W63" i="2"/>
  <c r="V63" i="2"/>
  <c r="U63" i="2"/>
  <c r="T63" i="2"/>
  <c r="S63" i="2"/>
  <c r="R63" i="2"/>
  <c r="Q63" i="2"/>
  <c r="P63" i="2"/>
  <c r="O63" i="2"/>
  <c r="E63" i="2"/>
  <c r="D63" i="2"/>
  <c r="C63" i="2"/>
  <c r="BE63" i="2" s="1"/>
  <c r="B63" i="2"/>
  <c r="A63" i="2"/>
  <c r="BD63" i="2" s="1"/>
  <c r="BS62" i="2"/>
  <c r="I61" i="3" s="1"/>
  <c r="BO62" i="2"/>
  <c r="BN62" i="2"/>
  <c r="H61" i="3" s="1"/>
  <c r="BM62" i="2"/>
  <c r="G61" i="3" s="1"/>
  <c r="AW62" i="2"/>
  <c r="AV62" i="2"/>
  <c r="AU62" i="2"/>
  <c r="AT62" i="2"/>
  <c r="AS62" i="2"/>
  <c r="AR62" i="2"/>
  <c r="AQ62" i="2"/>
  <c r="AP62" i="2"/>
  <c r="AO62" i="2"/>
  <c r="AN62" i="2"/>
  <c r="AM62" i="2"/>
  <c r="AE62" i="2"/>
  <c r="AD62" i="2"/>
  <c r="Y62" i="2"/>
  <c r="X62" i="2"/>
  <c r="W62" i="2"/>
  <c r="V62" i="2"/>
  <c r="U62" i="2"/>
  <c r="T62" i="2"/>
  <c r="S62" i="2"/>
  <c r="R62" i="2"/>
  <c r="Q62" i="2"/>
  <c r="P62" i="2"/>
  <c r="O62" i="2"/>
  <c r="F62" i="2"/>
  <c r="C62" i="2"/>
  <c r="BE62" i="2" s="1"/>
  <c r="B62" i="2"/>
  <c r="A62" i="2"/>
  <c r="BD62" i="2" s="1"/>
  <c r="BS61" i="2"/>
  <c r="I60" i="3" s="1"/>
  <c r="BO61" i="2"/>
  <c r="BN61" i="2"/>
  <c r="H60" i="3" s="1"/>
  <c r="BM61" i="2"/>
  <c r="G60" i="3" s="1"/>
  <c r="AW61" i="2"/>
  <c r="AV61" i="2"/>
  <c r="AU61" i="2"/>
  <c r="AT61" i="2"/>
  <c r="AS61" i="2"/>
  <c r="AR61" i="2"/>
  <c r="AQ61" i="2"/>
  <c r="AP61" i="2"/>
  <c r="AO61" i="2"/>
  <c r="AN61" i="2"/>
  <c r="AM61" i="2"/>
  <c r="AC61" i="2"/>
  <c r="AY61" i="2" s="1"/>
  <c r="BG61" i="2" s="1"/>
  <c r="Y61" i="2"/>
  <c r="X61" i="2"/>
  <c r="W61" i="2"/>
  <c r="V61" i="2"/>
  <c r="U61" i="2"/>
  <c r="T61" i="2"/>
  <c r="S61" i="2"/>
  <c r="R61" i="2"/>
  <c r="Q61" i="2"/>
  <c r="P61" i="2"/>
  <c r="O61" i="2"/>
  <c r="C61" i="2"/>
  <c r="BE61" i="2" s="1"/>
  <c r="B61" i="2"/>
  <c r="A61" i="2"/>
  <c r="BD61" i="2" s="1"/>
  <c r="BS60" i="2"/>
  <c r="I59" i="3" s="1"/>
  <c r="BO60" i="2"/>
  <c r="BN60" i="2"/>
  <c r="H59" i="3" s="1"/>
  <c r="BM60" i="2"/>
  <c r="G59" i="3" s="1"/>
  <c r="AW60" i="2"/>
  <c r="AV60" i="2"/>
  <c r="AU60" i="2"/>
  <c r="AT60" i="2"/>
  <c r="AS60" i="2"/>
  <c r="AR60" i="2"/>
  <c r="AQ60" i="2"/>
  <c r="AP60" i="2"/>
  <c r="AO60" i="2"/>
  <c r="AN60" i="2"/>
  <c r="AM60" i="2"/>
  <c r="AJ60" i="2"/>
  <c r="AI60" i="2"/>
  <c r="AH60" i="2"/>
  <c r="AG60" i="2"/>
  <c r="AF60" i="2"/>
  <c r="Y60" i="2"/>
  <c r="X60" i="2"/>
  <c r="W60" i="2"/>
  <c r="V60" i="2"/>
  <c r="U60" i="2"/>
  <c r="T60" i="2"/>
  <c r="S60" i="2"/>
  <c r="R60" i="2"/>
  <c r="Q60" i="2"/>
  <c r="P60" i="2"/>
  <c r="O60" i="2"/>
  <c r="H60" i="2"/>
  <c r="G60" i="2"/>
  <c r="C60" i="2"/>
  <c r="BE60" i="2" s="1"/>
  <c r="B60" i="2"/>
  <c r="A60" i="2"/>
  <c r="BD60" i="2" s="1"/>
  <c r="BS59" i="2"/>
  <c r="I58" i="3" s="1"/>
  <c r="BO59" i="2"/>
  <c r="BN59" i="2"/>
  <c r="H58" i="3" s="1"/>
  <c r="BM59" i="2"/>
  <c r="G58" i="3" s="1"/>
  <c r="AW59" i="2"/>
  <c r="AV59" i="2"/>
  <c r="AU59" i="2"/>
  <c r="AT59" i="2"/>
  <c r="AS59" i="2"/>
  <c r="AR59" i="2"/>
  <c r="AQ59" i="2"/>
  <c r="AP59" i="2"/>
  <c r="AO59" i="2"/>
  <c r="AN59" i="2"/>
  <c r="AM59" i="2"/>
  <c r="AE59" i="2"/>
  <c r="AD59" i="2"/>
  <c r="Y59" i="2"/>
  <c r="X59" i="2"/>
  <c r="W59" i="2"/>
  <c r="V59" i="2"/>
  <c r="U59" i="2"/>
  <c r="T59" i="2"/>
  <c r="S59" i="2"/>
  <c r="R59" i="2"/>
  <c r="Q59" i="2"/>
  <c r="P59" i="2"/>
  <c r="O59" i="2"/>
  <c r="F59" i="2"/>
  <c r="C59" i="2"/>
  <c r="BE59" i="2" s="1"/>
  <c r="B59" i="2"/>
  <c r="A59" i="2"/>
  <c r="BD59" i="2" s="1"/>
  <c r="BS58" i="2"/>
  <c r="I57" i="3" s="1"/>
  <c r="BO58" i="2"/>
  <c r="BN58" i="2"/>
  <c r="H57" i="3" s="1"/>
  <c r="BM58" i="2"/>
  <c r="G57" i="3" s="1"/>
  <c r="AW58" i="2"/>
  <c r="AV58" i="2"/>
  <c r="AU58" i="2"/>
  <c r="AT58" i="2"/>
  <c r="AS58" i="2"/>
  <c r="AR58" i="2"/>
  <c r="AQ58" i="2"/>
  <c r="AP58" i="2"/>
  <c r="AO58" i="2"/>
  <c r="AN58" i="2"/>
  <c r="AM58" i="2"/>
  <c r="AC58" i="2"/>
  <c r="AY58" i="2" s="1"/>
  <c r="BG58" i="2" s="1"/>
  <c r="Y58" i="2"/>
  <c r="X58" i="2"/>
  <c r="W58" i="2"/>
  <c r="V58" i="2"/>
  <c r="U58" i="2"/>
  <c r="T58" i="2"/>
  <c r="S58" i="2"/>
  <c r="R58" i="2"/>
  <c r="Q58" i="2"/>
  <c r="P58" i="2"/>
  <c r="O58" i="2"/>
  <c r="C58" i="2"/>
  <c r="BE58" i="2" s="1"/>
  <c r="B58" i="2"/>
  <c r="A58" i="2"/>
  <c r="BD58" i="2" s="1"/>
  <c r="BS57" i="2"/>
  <c r="I56" i="3" s="1"/>
  <c r="BO57" i="2"/>
  <c r="BN57" i="2"/>
  <c r="H56" i="3" s="1"/>
  <c r="BM57" i="2"/>
  <c r="G56" i="3" s="1"/>
  <c r="AW57" i="2"/>
  <c r="AV57" i="2"/>
  <c r="AU57" i="2"/>
  <c r="AT57" i="2"/>
  <c r="AS57" i="2"/>
  <c r="AR57" i="2"/>
  <c r="AQ57" i="2"/>
  <c r="AP57" i="2"/>
  <c r="AO57" i="2"/>
  <c r="AN57" i="2"/>
  <c r="AM57" i="2"/>
  <c r="AC57" i="2"/>
  <c r="AZ57" i="2" s="1"/>
  <c r="Y57" i="2"/>
  <c r="X57" i="2"/>
  <c r="W57" i="2"/>
  <c r="V57" i="2"/>
  <c r="U57" i="2"/>
  <c r="T57" i="2"/>
  <c r="S57" i="2"/>
  <c r="R57" i="2"/>
  <c r="Q57" i="2"/>
  <c r="P57" i="2"/>
  <c r="O57" i="2"/>
  <c r="C57" i="2"/>
  <c r="BE57" i="2" s="1"/>
  <c r="B57" i="2"/>
  <c r="A57" i="2"/>
  <c r="BD57" i="2" s="1"/>
  <c r="BS56" i="2"/>
  <c r="I55" i="3" s="1"/>
  <c r="BO56" i="2"/>
  <c r="BN56" i="2"/>
  <c r="H55" i="3" s="1"/>
  <c r="BM56" i="2"/>
  <c r="G55" i="3" s="1"/>
  <c r="BD56" i="2"/>
  <c r="AW56" i="2"/>
  <c r="AV56" i="2"/>
  <c r="AU56" i="2"/>
  <c r="AT56" i="2"/>
  <c r="AS56" i="2"/>
  <c r="AR56" i="2"/>
  <c r="AQ56" i="2"/>
  <c r="AP56" i="2"/>
  <c r="AO56" i="2"/>
  <c r="AN56" i="2"/>
  <c r="AM56" i="2"/>
  <c r="AC56" i="2"/>
  <c r="Y56" i="2"/>
  <c r="X56" i="2"/>
  <c r="W56" i="2"/>
  <c r="V56" i="2"/>
  <c r="U56" i="2"/>
  <c r="T56" i="2"/>
  <c r="S56" i="2"/>
  <c r="R56" i="2"/>
  <c r="Q56" i="2"/>
  <c r="P56" i="2"/>
  <c r="O56" i="2"/>
  <c r="C56" i="2"/>
  <c r="BE56" i="2" s="1"/>
  <c r="B56" i="2"/>
  <c r="A56" i="2"/>
  <c r="BS55" i="2"/>
  <c r="I54" i="3" s="1"/>
  <c r="BO55" i="2"/>
  <c r="BN55" i="2"/>
  <c r="H54" i="3" s="1"/>
  <c r="BM55" i="2"/>
  <c r="G54" i="3" s="1"/>
  <c r="AW55" i="2"/>
  <c r="AV55" i="2"/>
  <c r="AU55" i="2"/>
  <c r="AT55" i="2"/>
  <c r="AS55" i="2"/>
  <c r="AR55" i="2"/>
  <c r="AQ55" i="2"/>
  <c r="AP55" i="2"/>
  <c r="AO55" i="2"/>
  <c r="AN55" i="2"/>
  <c r="AM55" i="2"/>
  <c r="AE55" i="2"/>
  <c r="AZ55" i="2" s="1"/>
  <c r="Y55" i="2"/>
  <c r="X55" i="2"/>
  <c r="W55" i="2"/>
  <c r="V55" i="2"/>
  <c r="U55" i="2"/>
  <c r="T55" i="2"/>
  <c r="S55" i="2"/>
  <c r="R55" i="2"/>
  <c r="Q55" i="2"/>
  <c r="P55" i="2"/>
  <c r="O55" i="2"/>
  <c r="C55" i="2"/>
  <c r="BE55" i="2" s="1"/>
  <c r="B55" i="2"/>
  <c r="A55" i="2"/>
  <c r="BD55" i="2" s="1"/>
  <c r="BS54" i="2"/>
  <c r="I53" i="3" s="1"/>
  <c r="BO54" i="2"/>
  <c r="BN54" i="2"/>
  <c r="H53" i="3" s="1"/>
  <c r="BM54" i="2"/>
  <c r="G53" i="3" s="1"/>
  <c r="AW54" i="2"/>
  <c r="AV54" i="2"/>
  <c r="AU54" i="2"/>
  <c r="AT54" i="2"/>
  <c r="AS54" i="2"/>
  <c r="AR54" i="2"/>
  <c r="AQ54" i="2"/>
  <c r="AP54" i="2"/>
  <c r="AO54" i="2"/>
  <c r="AN54" i="2"/>
  <c r="AM54" i="2"/>
  <c r="AC54" i="2"/>
  <c r="AZ54" i="2" s="1"/>
  <c r="Y54" i="2"/>
  <c r="X54" i="2"/>
  <c r="W54" i="2"/>
  <c r="V54" i="2"/>
  <c r="U54" i="2"/>
  <c r="T54" i="2"/>
  <c r="S54" i="2"/>
  <c r="R54" i="2"/>
  <c r="Q54" i="2"/>
  <c r="P54" i="2"/>
  <c r="O54" i="2"/>
  <c r="C54" i="2"/>
  <c r="BE54" i="2" s="1"/>
  <c r="B54" i="2"/>
  <c r="A54" i="2"/>
  <c r="BD54" i="2" s="1"/>
  <c r="BS53" i="2"/>
  <c r="I52" i="3" s="1"/>
  <c r="BO53" i="2"/>
  <c r="BN53" i="2"/>
  <c r="H52" i="3" s="1"/>
  <c r="BM53" i="2"/>
  <c r="G52" i="3" s="1"/>
  <c r="AW53" i="2"/>
  <c r="AV53" i="2"/>
  <c r="AU53" i="2"/>
  <c r="AT53" i="2"/>
  <c r="AS53" i="2"/>
  <c r="AR53" i="2"/>
  <c r="AQ53" i="2"/>
  <c r="AP53" i="2"/>
  <c r="AO53" i="2"/>
  <c r="AN53" i="2"/>
  <c r="AM53" i="2"/>
  <c r="AE53" i="2"/>
  <c r="AD53" i="2"/>
  <c r="AY53" i="2" s="1"/>
  <c r="BG53" i="2" s="1"/>
  <c r="AC53" i="2"/>
  <c r="Y53" i="2"/>
  <c r="X53" i="2"/>
  <c r="W53" i="2"/>
  <c r="V53" i="2"/>
  <c r="U53" i="2"/>
  <c r="T53" i="2"/>
  <c r="S53" i="2"/>
  <c r="R53" i="2"/>
  <c r="Q53" i="2"/>
  <c r="P53" i="2"/>
  <c r="O53" i="2"/>
  <c r="C53" i="2"/>
  <c r="BE53" i="2" s="1"/>
  <c r="B53" i="2"/>
  <c r="A53" i="2"/>
  <c r="BD53" i="2" s="1"/>
  <c r="BS52" i="2"/>
  <c r="I51" i="3" s="1"/>
  <c r="BO52" i="2"/>
  <c r="BN52" i="2"/>
  <c r="H51" i="3" s="1"/>
  <c r="BM52" i="2"/>
  <c r="G51" i="3" s="1"/>
  <c r="AW52" i="2"/>
  <c r="AV52" i="2"/>
  <c r="AU52" i="2"/>
  <c r="AT52" i="2"/>
  <c r="AS52" i="2"/>
  <c r="AR52" i="2"/>
  <c r="AQ52" i="2"/>
  <c r="AP52" i="2"/>
  <c r="AO52" i="2"/>
  <c r="AN52" i="2"/>
  <c r="AM52" i="2"/>
  <c r="AG52" i="2"/>
  <c r="AF52" i="2"/>
  <c r="AE52" i="2"/>
  <c r="AD52" i="2"/>
  <c r="AC52" i="2"/>
  <c r="Y52" i="2"/>
  <c r="X52" i="2"/>
  <c r="W52" i="2"/>
  <c r="V52" i="2"/>
  <c r="U52" i="2"/>
  <c r="T52" i="2"/>
  <c r="S52" i="2"/>
  <c r="R52" i="2"/>
  <c r="Q52" i="2"/>
  <c r="P52" i="2"/>
  <c r="O52" i="2"/>
  <c r="C52" i="2"/>
  <c r="BE52" i="2" s="1"/>
  <c r="B52" i="2"/>
  <c r="A52" i="2"/>
  <c r="BD52" i="2" s="1"/>
  <c r="BS51" i="2"/>
  <c r="I50" i="3" s="1"/>
  <c r="BO51" i="2"/>
  <c r="BN51" i="2"/>
  <c r="H50" i="3" s="1"/>
  <c r="BM51" i="2"/>
  <c r="G50" i="3" s="1"/>
  <c r="AW51" i="2"/>
  <c r="AV51" i="2"/>
  <c r="AU51" i="2"/>
  <c r="AT51" i="2"/>
  <c r="AS51" i="2"/>
  <c r="AR51" i="2"/>
  <c r="AQ51" i="2"/>
  <c r="AP51" i="2"/>
  <c r="AO51" i="2"/>
  <c r="AN51" i="2"/>
  <c r="AM51" i="2"/>
  <c r="AG51" i="2"/>
  <c r="AZ51" i="2" s="1"/>
  <c r="Y51" i="2"/>
  <c r="X51" i="2"/>
  <c r="W51" i="2"/>
  <c r="V51" i="2"/>
  <c r="U51" i="2"/>
  <c r="T51" i="2"/>
  <c r="S51" i="2"/>
  <c r="R51" i="2"/>
  <c r="Q51" i="2"/>
  <c r="P51" i="2"/>
  <c r="O51" i="2"/>
  <c r="C51" i="2"/>
  <c r="BE51" i="2" s="1"/>
  <c r="B51" i="2"/>
  <c r="A51" i="2"/>
  <c r="BD51" i="2" s="1"/>
  <c r="BS50" i="2"/>
  <c r="I49" i="3" s="1"/>
  <c r="BO50" i="2"/>
  <c r="BN50" i="2"/>
  <c r="H49" i="3" s="1"/>
  <c r="BM50" i="2"/>
  <c r="G49" i="3" s="1"/>
  <c r="AW50" i="2"/>
  <c r="AV50" i="2"/>
  <c r="AU50" i="2"/>
  <c r="AT50" i="2"/>
  <c r="AS50" i="2"/>
  <c r="AR50" i="2"/>
  <c r="AQ50" i="2"/>
  <c r="AP50" i="2"/>
  <c r="AO50" i="2"/>
  <c r="AN50" i="2"/>
  <c r="AM50" i="2"/>
  <c r="AC50" i="2"/>
  <c r="Y50" i="2"/>
  <c r="X50" i="2"/>
  <c r="W50" i="2"/>
  <c r="V50" i="2"/>
  <c r="U50" i="2"/>
  <c r="T50" i="2"/>
  <c r="S50" i="2"/>
  <c r="R50" i="2"/>
  <c r="Q50" i="2"/>
  <c r="P50" i="2"/>
  <c r="O50" i="2"/>
  <c r="C50" i="2"/>
  <c r="BE50" i="2" s="1"/>
  <c r="B50" i="2"/>
  <c r="A50" i="2"/>
  <c r="BD50" i="2" s="1"/>
  <c r="BS49" i="2"/>
  <c r="I48" i="3" s="1"/>
  <c r="BO49" i="2"/>
  <c r="BN49" i="2"/>
  <c r="H48" i="3" s="1"/>
  <c r="BM49" i="2"/>
  <c r="G48" i="3" s="1"/>
  <c r="AW49" i="2"/>
  <c r="AV49" i="2"/>
  <c r="AU49" i="2"/>
  <c r="AT49" i="2"/>
  <c r="AS49" i="2"/>
  <c r="AR49" i="2"/>
  <c r="AQ49" i="2"/>
  <c r="AP49" i="2"/>
  <c r="AO49" i="2"/>
  <c r="AN49" i="2"/>
  <c r="AM49" i="2"/>
  <c r="AF49" i="2"/>
  <c r="AE49" i="2"/>
  <c r="AD49" i="2"/>
  <c r="Y49" i="2"/>
  <c r="X49" i="2"/>
  <c r="W49" i="2"/>
  <c r="V49" i="2"/>
  <c r="U49" i="2"/>
  <c r="T49" i="2"/>
  <c r="S49" i="2"/>
  <c r="R49" i="2"/>
  <c r="Q49" i="2"/>
  <c r="P49" i="2"/>
  <c r="O49" i="2"/>
  <c r="C49" i="2"/>
  <c r="BE49" i="2" s="1"/>
  <c r="B49" i="2"/>
  <c r="A49" i="2"/>
  <c r="BD49" i="2" s="1"/>
  <c r="BS48" i="2"/>
  <c r="I47" i="3" s="1"/>
  <c r="BO48" i="2"/>
  <c r="BN48" i="2"/>
  <c r="H47" i="3" s="1"/>
  <c r="BM48" i="2"/>
  <c r="G47" i="3" s="1"/>
  <c r="AW48" i="2"/>
  <c r="AV48" i="2"/>
  <c r="AU48" i="2"/>
  <c r="AT48" i="2"/>
  <c r="AS48" i="2"/>
  <c r="AR48" i="2"/>
  <c r="AQ48" i="2"/>
  <c r="AP48" i="2"/>
  <c r="AO48" i="2"/>
  <c r="AN48" i="2"/>
  <c r="AM48" i="2"/>
  <c r="AD48" i="2"/>
  <c r="Y48" i="2"/>
  <c r="X48" i="2"/>
  <c r="W48" i="2"/>
  <c r="V48" i="2"/>
  <c r="U48" i="2"/>
  <c r="T48" i="2"/>
  <c r="S48" i="2"/>
  <c r="R48" i="2"/>
  <c r="Q48" i="2"/>
  <c r="P48" i="2"/>
  <c r="O48" i="2"/>
  <c r="F48" i="2"/>
  <c r="C48" i="2"/>
  <c r="BE48" i="2" s="1"/>
  <c r="B48" i="2"/>
  <c r="A48" i="2"/>
  <c r="BD48" i="2" s="1"/>
  <c r="BS47" i="2"/>
  <c r="I46" i="3" s="1"/>
  <c r="BO47" i="2"/>
  <c r="BN47" i="2"/>
  <c r="H46" i="3" s="1"/>
  <c r="BM47" i="2"/>
  <c r="G46" i="3" s="1"/>
  <c r="AW47" i="2"/>
  <c r="AV47" i="2"/>
  <c r="AU47" i="2"/>
  <c r="AT47" i="2"/>
  <c r="AS47" i="2"/>
  <c r="AR47" i="2"/>
  <c r="AQ47" i="2"/>
  <c r="AP47" i="2"/>
  <c r="AO47" i="2"/>
  <c r="AN47" i="2"/>
  <c r="AM47" i="2"/>
  <c r="AD47" i="2"/>
  <c r="AC47" i="2"/>
  <c r="AB47" i="2"/>
  <c r="Y47" i="2"/>
  <c r="X47" i="2"/>
  <c r="W47" i="2"/>
  <c r="V47" i="2"/>
  <c r="U47" i="2"/>
  <c r="T47" i="2"/>
  <c r="S47" i="2"/>
  <c r="R47" i="2"/>
  <c r="Q47" i="2"/>
  <c r="P47" i="2"/>
  <c r="O47" i="2"/>
  <c r="C47" i="2"/>
  <c r="BE47" i="2" s="1"/>
  <c r="B47" i="2"/>
  <c r="A47" i="2"/>
  <c r="BD47" i="2" s="1"/>
  <c r="BS46" i="2"/>
  <c r="I45" i="3" s="1"/>
  <c r="BO46" i="2"/>
  <c r="BN46" i="2"/>
  <c r="H45" i="3" s="1"/>
  <c r="BM46" i="2"/>
  <c r="G45" i="3" s="1"/>
  <c r="AW46" i="2"/>
  <c r="AV46" i="2"/>
  <c r="AU46" i="2"/>
  <c r="AT46" i="2"/>
  <c r="AS46" i="2"/>
  <c r="AR46" i="2"/>
  <c r="AQ46" i="2"/>
  <c r="AP46" i="2"/>
  <c r="AO46" i="2"/>
  <c r="AN46" i="2"/>
  <c r="AM46" i="2"/>
  <c r="AH46" i="2"/>
  <c r="Y46" i="2"/>
  <c r="X46" i="2"/>
  <c r="W46" i="2"/>
  <c r="V46" i="2"/>
  <c r="U46" i="2"/>
  <c r="T46" i="2"/>
  <c r="S46" i="2"/>
  <c r="R46" i="2"/>
  <c r="Q46" i="2"/>
  <c r="P46" i="2"/>
  <c r="O46" i="2"/>
  <c r="J46" i="2"/>
  <c r="C46" i="2"/>
  <c r="BE46" i="2" s="1"/>
  <c r="B46" i="2"/>
  <c r="A46" i="2"/>
  <c r="BD46" i="2" s="1"/>
  <c r="BS45" i="2"/>
  <c r="I44" i="3" s="1"/>
  <c r="BO45" i="2"/>
  <c r="BN45" i="2"/>
  <c r="H44" i="3" s="1"/>
  <c r="BM45" i="2"/>
  <c r="G44" i="3" s="1"/>
  <c r="AW45" i="2"/>
  <c r="AV45" i="2"/>
  <c r="AU45" i="2"/>
  <c r="AT45" i="2"/>
  <c r="AS45" i="2"/>
  <c r="AR45" i="2"/>
  <c r="AQ45" i="2"/>
  <c r="AP45" i="2"/>
  <c r="AO45" i="2"/>
  <c r="AN45" i="2"/>
  <c r="AM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C45" i="2"/>
  <c r="BE45" i="2" s="1"/>
  <c r="B45" i="2"/>
  <c r="A45" i="2"/>
  <c r="BD45" i="2" s="1"/>
  <c r="BS44" i="2"/>
  <c r="I43" i="3" s="1"/>
  <c r="BO44" i="2"/>
  <c r="BN44" i="2"/>
  <c r="H43" i="3" s="1"/>
  <c r="BM44" i="2"/>
  <c r="G43" i="3" s="1"/>
  <c r="AW44" i="2"/>
  <c r="AV44" i="2"/>
  <c r="AU44" i="2"/>
  <c r="AT44" i="2"/>
  <c r="AS44" i="2"/>
  <c r="AR44" i="2"/>
  <c r="AQ44" i="2"/>
  <c r="AP44" i="2"/>
  <c r="AO44" i="2"/>
  <c r="AN44" i="2"/>
  <c r="AM44" i="2"/>
  <c r="AF44" i="2"/>
  <c r="AE44" i="2"/>
  <c r="Y44" i="2"/>
  <c r="X44" i="2"/>
  <c r="W44" i="2"/>
  <c r="V44" i="2"/>
  <c r="U44" i="2"/>
  <c r="T44" i="2"/>
  <c r="S44" i="2"/>
  <c r="R44" i="2"/>
  <c r="Q44" i="2"/>
  <c r="P44" i="2"/>
  <c r="O44" i="2"/>
  <c r="C44" i="2"/>
  <c r="BE44" i="2" s="1"/>
  <c r="B44" i="2"/>
  <c r="A44" i="2"/>
  <c r="BD44" i="2" s="1"/>
  <c r="BS43" i="2"/>
  <c r="I42" i="3" s="1"/>
  <c r="BO43" i="2"/>
  <c r="BN43" i="2"/>
  <c r="H42" i="3" s="1"/>
  <c r="BM43" i="2"/>
  <c r="G42" i="3" s="1"/>
  <c r="AW43" i="2"/>
  <c r="AV43" i="2"/>
  <c r="AU43" i="2"/>
  <c r="AT43" i="2"/>
  <c r="AS43" i="2"/>
  <c r="AR43" i="2"/>
  <c r="AQ43" i="2"/>
  <c r="AP43" i="2"/>
  <c r="AO43" i="2"/>
  <c r="AN43" i="2"/>
  <c r="AM43" i="2"/>
  <c r="AG43" i="2"/>
  <c r="AF43" i="2"/>
  <c r="AE43" i="2"/>
  <c r="Y43" i="2"/>
  <c r="X43" i="2"/>
  <c r="W43" i="2"/>
  <c r="V43" i="2"/>
  <c r="U43" i="2"/>
  <c r="T43" i="2"/>
  <c r="S43" i="2"/>
  <c r="R43" i="2"/>
  <c r="Q43" i="2"/>
  <c r="P43" i="2"/>
  <c r="O43" i="2"/>
  <c r="G43" i="2"/>
  <c r="F43" i="2"/>
  <c r="C43" i="2"/>
  <c r="BE43" i="2" s="1"/>
  <c r="B43" i="2"/>
  <c r="A43" i="2"/>
  <c r="BD43" i="2" s="1"/>
  <c r="BS42" i="2"/>
  <c r="I41" i="3" s="1"/>
  <c r="BO42" i="2"/>
  <c r="BN42" i="2"/>
  <c r="H41" i="3" s="1"/>
  <c r="BM42" i="2"/>
  <c r="G41" i="3" s="1"/>
  <c r="AW42" i="2"/>
  <c r="AV42" i="2"/>
  <c r="AU42" i="2"/>
  <c r="AT42" i="2"/>
  <c r="AS42" i="2"/>
  <c r="AR42" i="2"/>
  <c r="AQ42" i="2"/>
  <c r="AP42" i="2"/>
  <c r="AO42" i="2"/>
  <c r="AN42" i="2"/>
  <c r="AM42" i="2"/>
  <c r="AG42" i="2"/>
  <c r="AF42" i="2"/>
  <c r="AE42" i="2"/>
  <c r="Y42" i="2"/>
  <c r="X42" i="2"/>
  <c r="W42" i="2"/>
  <c r="V42" i="2"/>
  <c r="U42" i="2"/>
  <c r="T42" i="2"/>
  <c r="S42" i="2"/>
  <c r="R42" i="2"/>
  <c r="Q42" i="2"/>
  <c r="P42" i="2"/>
  <c r="O42" i="2"/>
  <c r="G42" i="2"/>
  <c r="F42" i="2"/>
  <c r="C42" i="2"/>
  <c r="BE42" i="2" s="1"/>
  <c r="B42" i="2"/>
  <c r="A42" i="2"/>
  <c r="BD42" i="2" s="1"/>
  <c r="BS41" i="2"/>
  <c r="I40" i="3" s="1"/>
  <c r="BO41" i="2"/>
  <c r="BN41" i="2"/>
  <c r="H40" i="3" s="1"/>
  <c r="BM41" i="2"/>
  <c r="G40" i="3" s="1"/>
  <c r="AW41" i="2"/>
  <c r="AV41" i="2"/>
  <c r="AU41" i="2"/>
  <c r="AT41" i="2"/>
  <c r="AS41" i="2"/>
  <c r="AR41" i="2"/>
  <c r="AQ41" i="2"/>
  <c r="AP41" i="2"/>
  <c r="AO41" i="2"/>
  <c r="AN41" i="2"/>
  <c r="AM41" i="2"/>
  <c r="AE41" i="2"/>
  <c r="Y41" i="2"/>
  <c r="X41" i="2"/>
  <c r="W41" i="2"/>
  <c r="V41" i="2"/>
  <c r="U41" i="2"/>
  <c r="T41" i="2"/>
  <c r="S41" i="2"/>
  <c r="R41" i="2"/>
  <c r="Q41" i="2"/>
  <c r="P41" i="2"/>
  <c r="O41" i="2"/>
  <c r="G41" i="2"/>
  <c r="F41" i="2"/>
  <c r="C41" i="2"/>
  <c r="BE41" i="2" s="1"/>
  <c r="B41" i="2"/>
  <c r="A41" i="2"/>
  <c r="BD41" i="2" s="1"/>
  <c r="BS40" i="2"/>
  <c r="I39" i="3" s="1"/>
  <c r="BO40" i="2"/>
  <c r="BN40" i="2"/>
  <c r="H39" i="3" s="1"/>
  <c r="BM40" i="2"/>
  <c r="G39" i="3" s="1"/>
  <c r="AW40" i="2"/>
  <c r="AV40" i="2"/>
  <c r="AU40" i="2"/>
  <c r="AT40" i="2"/>
  <c r="AS40" i="2"/>
  <c r="AR40" i="2"/>
  <c r="AQ40" i="2"/>
  <c r="AP40" i="2"/>
  <c r="AO40" i="2"/>
  <c r="AN40" i="2"/>
  <c r="AM40" i="2"/>
  <c r="AE40" i="2"/>
  <c r="AD40" i="2"/>
  <c r="Y40" i="2"/>
  <c r="X40" i="2"/>
  <c r="W40" i="2"/>
  <c r="V40" i="2"/>
  <c r="U40" i="2"/>
  <c r="T40" i="2"/>
  <c r="S40" i="2"/>
  <c r="R40" i="2"/>
  <c r="Q40" i="2"/>
  <c r="P40" i="2"/>
  <c r="O40" i="2"/>
  <c r="F40" i="2"/>
  <c r="C40" i="2"/>
  <c r="BE40" i="2" s="1"/>
  <c r="B40" i="2"/>
  <c r="A40" i="2"/>
  <c r="BD40" i="2" s="1"/>
  <c r="BS39" i="2"/>
  <c r="I38" i="3" s="1"/>
  <c r="BO39" i="2"/>
  <c r="BN39" i="2"/>
  <c r="H38" i="3" s="1"/>
  <c r="BM39" i="2"/>
  <c r="G38" i="3" s="1"/>
  <c r="AW39" i="2"/>
  <c r="AV39" i="2"/>
  <c r="AU39" i="2"/>
  <c r="AT39" i="2"/>
  <c r="AS39" i="2"/>
  <c r="AR39" i="2"/>
  <c r="AQ39" i="2"/>
  <c r="AP39" i="2"/>
  <c r="AO39" i="2"/>
  <c r="AN39" i="2"/>
  <c r="AM39" i="2"/>
  <c r="AC39" i="2"/>
  <c r="AZ39" i="2" s="1"/>
  <c r="Y39" i="2"/>
  <c r="X39" i="2"/>
  <c r="W39" i="2"/>
  <c r="V39" i="2"/>
  <c r="U39" i="2"/>
  <c r="T39" i="2"/>
  <c r="S39" i="2"/>
  <c r="R39" i="2"/>
  <c r="Q39" i="2"/>
  <c r="P39" i="2"/>
  <c r="O39" i="2"/>
  <c r="C39" i="2"/>
  <c r="BE39" i="2" s="1"/>
  <c r="B39" i="2"/>
  <c r="A39" i="2"/>
  <c r="BD39" i="2" s="1"/>
  <c r="BS38" i="2"/>
  <c r="I37" i="3" s="1"/>
  <c r="BO38" i="2"/>
  <c r="BN38" i="2"/>
  <c r="H37" i="3" s="1"/>
  <c r="BM38" i="2"/>
  <c r="G37" i="3" s="1"/>
  <c r="AW38" i="2"/>
  <c r="AV38" i="2"/>
  <c r="AU38" i="2"/>
  <c r="AT38" i="2"/>
  <c r="AS38" i="2"/>
  <c r="AR38" i="2"/>
  <c r="AQ38" i="2"/>
  <c r="AP38" i="2"/>
  <c r="AO38" i="2"/>
  <c r="AN38" i="2"/>
  <c r="AM38" i="2"/>
  <c r="AH38" i="2"/>
  <c r="AG38" i="2"/>
  <c r="Y38" i="2"/>
  <c r="X38" i="2"/>
  <c r="W38" i="2"/>
  <c r="V38" i="2"/>
  <c r="U38" i="2"/>
  <c r="T38" i="2"/>
  <c r="S38" i="2"/>
  <c r="R38" i="2"/>
  <c r="Q38" i="2"/>
  <c r="P38" i="2"/>
  <c r="O38" i="2"/>
  <c r="C38" i="2"/>
  <c r="BE38" i="2" s="1"/>
  <c r="B38" i="2"/>
  <c r="A38" i="2"/>
  <c r="BD38" i="2" s="1"/>
  <c r="BS37" i="2"/>
  <c r="I36" i="3" s="1"/>
  <c r="BO37" i="2"/>
  <c r="BN37" i="2"/>
  <c r="H36" i="3" s="1"/>
  <c r="BM37" i="2"/>
  <c r="G36" i="3" s="1"/>
  <c r="AW37" i="2"/>
  <c r="AV37" i="2"/>
  <c r="AU37" i="2"/>
  <c r="AT37" i="2"/>
  <c r="AS37" i="2"/>
  <c r="AR37" i="2"/>
  <c r="AQ37" i="2"/>
  <c r="AP37" i="2"/>
  <c r="AO37" i="2"/>
  <c r="AN37" i="2"/>
  <c r="AM37" i="2"/>
  <c r="AD37" i="2"/>
  <c r="AC37" i="2"/>
  <c r="Y37" i="2"/>
  <c r="X37" i="2"/>
  <c r="W37" i="2"/>
  <c r="V37" i="2"/>
  <c r="U37" i="2"/>
  <c r="T37" i="2"/>
  <c r="S37" i="2"/>
  <c r="R37" i="2"/>
  <c r="Q37" i="2"/>
  <c r="P37" i="2"/>
  <c r="O37" i="2"/>
  <c r="C37" i="2"/>
  <c r="BE37" i="2" s="1"/>
  <c r="B37" i="2"/>
  <c r="A37" i="2"/>
  <c r="BD37" i="2" s="1"/>
  <c r="BS36" i="2"/>
  <c r="I35" i="3" s="1"/>
  <c r="BO36" i="2"/>
  <c r="BN36" i="2"/>
  <c r="H35" i="3" s="1"/>
  <c r="BM36" i="2"/>
  <c r="G35" i="3" s="1"/>
  <c r="AW36" i="2"/>
  <c r="AV36" i="2"/>
  <c r="AU36" i="2"/>
  <c r="AT36" i="2"/>
  <c r="AS36" i="2"/>
  <c r="AR36" i="2"/>
  <c r="AQ36" i="2"/>
  <c r="AP36" i="2"/>
  <c r="AO36" i="2"/>
  <c r="AN36" i="2"/>
  <c r="AM36" i="2"/>
  <c r="Y36" i="2"/>
  <c r="X36" i="2"/>
  <c r="W36" i="2"/>
  <c r="V36" i="2"/>
  <c r="U36" i="2"/>
  <c r="T36" i="2"/>
  <c r="S36" i="2"/>
  <c r="R36" i="2"/>
  <c r="Q36" i="2"/>
  <c r="P36" i="2"/>
  <c r="O36" i="2"/>
  <c r="K36" i="2"/>
  <c r="J36" i="2"/>
  <c r="C36" i="2"/>
  <c r="BE36" i="2" s="1"/>
  <c r="B36" i="2"/>
  <c r="A36" i="2"/>
  <c r="BD36" i="2" s="1"/>
  <c r="BS35" i="2"/>
  <c r="I34" i="3" s="1"/>
  <c r="BO35" i="2"/>
  <c r="BN35" i="2"/>
  <c r="H34" i="3" s="1"/>
  <c r="BM35" i="2"/>
  <c r="G34" i="3" s="1"/>
  <c r="AW35" i="2"/>
  <c r="AV35" i="2"/>
  <c r="AU35" i="2"/>
  <c r="AT35" i="2"/>
  <c r="AS35" i="2"/>
  <c r="AR35" i="2"/>
  <c r="AQ35" i="2"/>
  <c r="AP35" i="2"/>
  <c r="AO35" i="2"/>
  <c r="AN35" i="2"/>
  <c r="AM35" i="2"/>
  <c r="Y35" i="2"/>
  <c r="X35" i="2"/>
  <c r="W35" i="2"/>
  <c r="V35" i="2"/>
  <c r="U35" i="2"/>
  <c r="T35" i="2"/>
  <c r="S35" i="2"/>
  <c r="R35" i="2"/>
  <c r="Q35" i="2"/>
  <c r="P35" i="2"/>
  <c r="O35" i="2"/>
  <c r="L35" i="2"/>
  <c r="K35" i="2"/>
  <c r="J35" i="2"/>
  <c r="C35" i="2"/>
  <c r="BE35" i="2" s="1"/>
  <c r="B35" i="2"/>
  <c r="A35" i="2"/>
  <c r="BD35" i="2" s="1"/>
  <c r="BS34" i="2"/>
  <c r="I33" i="3" s="1"/>
  <c r="BO34" i="2"/>
  <c r="BN34" i="2"/>
  <c r="H33" i="3" s="1"/>
  <c r="BM34" i="2"/>
  <c r="G33" i="3" s="1"/>
  <c r="AW34" i="2"/>
  <c r="AV34" i="2"/>
  <c r="AU34" i="2"/>
  <c r="AT34" i="2"/>
  <c r="AS34" i="2"/>
  <c r="AR34" i="2"/>
  <c r="AQ34" i="2"/>
  <c r="AP34" i="2"/>
  <c r="AO34" i="2"/>
  <c r="AN34" i="2"/>
  <c r="AM34" i="2"/>
  <c r="AD34" i="2"/>
  <c r="AC34" i="2"/>
  <c r="Y34" i="2"/>
  <c r="X34" i="2"/>
  <c r="W34" i="2"/>
  <c r="V34" i="2"/>
  <c r="U34" i="2"/>
  <c r="T34" i="2"/>
  <c r="S34" i="2"/>
  <c r="R34" i="2"/>
  <c r="Q34" i="2"/>
  <c r="P34" i="2"/>
  <c r="O34" i="2"/>
  <c r="C34" i="2"/>
  <c r="BE34" i="2" s="1"/>
  <c r="B34" i="2"/>
  <c r="A34" i="2"/>
  <c r="BD34" i="2" s="1"/>
  <c r="BS33" i="2"/>
  <c r="I32" i="3" s="1"/>
  <c r="BO33" i="2"/>
  <c r="BN33" i="2"/>
  <c r="H32" i="3" s="1"/>
  <c r="BM33" i="2"/>
  <c r="G32" i="3" s="1"/>
  <c r="AW33" i="2"/>
  <c r="AV33" i="2"/>
  <c r="AU33" i="2"/>
  <c r="AT33" i="2"/>
  <c r="AS33" i="2"/>
  <c r="AR33" i="2"/>
  <c r="AQ33" i="2"/>
  <c r="AP33" i="2"/>
  <c r="AO33" i="2"/>
  <c r="AN33" i="2"/>
  <c r="AM33" i="2"/>
  <c r="AC33" i="2"/>
  <c r="AZ33" i="2" s="1"/>
  <c r="Y33" i="2"/>
  <c r="X33" i="2"/>
  <c r="W33" i="2"/>
  <c r="V33" i="2"/>
  <c r="U33" i="2"/>
  <c r="T33" i="2"/>
  <c r="S33" i="2"/>
  <c r="R33" i="2"/>
  <c r="Q33" i="2"/>
  <c r="P33" i="2"/>
  <c r="O33" i="2"/>
  <c r="C33" i="2"/>
  <c r="BE33" i="2" s="1"/>
  <c r="B33" i="2"/>
  <c r="A33" i="2"/>
  <c r="BD33" i="2" s="1"/>
  <c r="BS32" i="2"/>
  <c r="I31" i="3" s="1"/>
  <c r="BO32" i="2"/>
  <c r="BN32" i="2"/>
  <c r="H31" i="3" s="1"/>
  <c r="BM32" i="2"/>
  <c r="G31" i="3" s="1"/>
  <c r="AW32" i="2"/>
  <c r="AV32" i="2"/>
  <c r="AU32" i="2"/>
  <c r="AT32" i="2"/>
  <c r="AS32" i="2"/>
  <c r="AR32" i="2"/>
  <c r="AQ32" i="2"/>
  <c r="AP32" i="2"/>
  <c r="AO32" i="2"/>
  <c r="AN32" i="2"/>
  <c r="AM32" i="2"/>
  <c r="AE32" i="2"/>
  <c r="AD32" i="2"/>
  <c r="AC32" i="2"/>
  <c r="Y32" i="2"/>
  <c r="X32" i="2"/>
  <c r="W32" i="2"/>
  <c r="V32" i="2"/>
  <c r="U32" i="2"/>
  <c r="T32" i="2"/>
  <c r="S32" i="2"/>
  <c r="R32" i="2"/>
  <c r="Q32" i="2"/>
  <c r="P32" i="2"/>
  <c r="O32" i="2"/>
  <c r="C32" i="2"/>
  <c r="BE32" i="2" s="1"/>
  <c r="B32" i="2"/>
  <c r="A32" i="2"/>
  <c r="BD32" i="2" s="1"/>
  <c r="BS31" i="2"/>
  <c r="I30" i="3" s="1"/>
  <c r="BO31" i="2"/>
  <c r="BN31" i="2"/>
  <c r="H30" i="3" s="1"/>
  <c r="BM31" i="2"/>
  <c r="G30" i="3" s="1"/>
  <c r="AW31" i="2"/>
  <c r="AV31" i="2"/>
  <c r="AU31" i="2"/>
  <c r="AT31" i="2"/>
  <c r="AS31" i="2"/>
  <c r="AR31" i="2"/>
  <c r="AQ31" i="2"/>
  <c r="AP31" i="2"/>
  <c r="AO31" i="2"/>
  <c r="AN31" i="2"/>
  <c r="AM31" i="2"/>
  <c r="AE31" i="2"/>
  <c r="Y31" i="2"/>
  <c r="X31" i="2"/>
  <c r="W31" i="2"/>
  <c r="V31" i="2"/>
  <c r="U31" i="2"/>
  <c r="T31" i="2"/>
  <c r="S31" i="2"/>
  <c r="R31" i="2"/>
  <c r="Q31" i="2"/>
  <c r="P31" i="2"/>
  <c r="O31" i="2"/>
  <c r="G31" i="2"/>
  <c r="C31" i="2"/>
  <c r="BE31" i="2" s="1"/>
  <c r="B31" i="2"/>
  <c r="A31" i="2"/>
  <c r="BD31" i="2" s="1"/>
  <c r="BS30" i="2"/>
  <c r="I29" i="3" s="1"/>
  <c r="BO30" i="2"/>
  <c r="BN30" i="2"/>
  <c r="H29" i="3" s="1"/>
  <c r="BM30" i="2"/>
  <c r="G29" i="3" s="1"/>
  <c r="AW30" i="2"/>
  <c r="AV30" i="2"/>
  <c r="AU30" i="2"/>
  <c r="AT30" i="2"/>
  <c r="AS30" i="2"/>
  <c r="AR30" i="2"/>
  <c r="AQ30" i="2"/>
  <c r="AP30" i="2"/>
  <c r="AO30" i="2"/>
  <c r="AN30" i="2"/>
  <c r="AM30" i="2"/>
  <c r="AH30" i="2"/>
  <c r="AG30" i="2"/>
  <c r="Y30" i="2"/>
  <c r="X30" i="2"/>
  <c r="W30" i="2"/>
  <c r="V30" i="2"/>
  <c r="U30" i="2"/>
  <c r="T30" i="2"/>
  <c r="S30" i="2"/>
  <c r="R30" i="2"/>
  <c r="Q30" i="2"/>
  <c r="P30" i="2"/>
  <c r="O30" i="2"/>
  <c r="H30" i="2"/>
  <c r="C30" i="2"/>
  <c r="BE30" i="2" s="1"/>
  <c r="B30" i="2"/>
  <c r="A30" i="2"/>
  <c r="BD30" i="2" s="1"/>
  <c r="BS29" i="2"/>
  <c r="I28" i="3" s="1"/>
  <c r="BO29" i="2"/>
  <c r="BN29" i="2"/>
  <c r="H28" i="3" s="1"/>
  <c r="BM29" i="2"/>
  <c r="G28" i="3" s="1"/>
  <c r="AW29" i="2"/>
  <c r="AV29" i="2"/>
  <c r="AU29" i="2"/>
  <c r="AT29" i="2"/>
  <c r="AS29" i="2"/>
  <c r="AR29" i="2"/>
  <c r="AQ29" i="2"/>
  <c r="AP29" i="2"/>
  <c r="AO29" i="2"/>
  <c r="AN29" i="2"/>
  <c r="AM29" i="2"/>
  <c r="AC29" i="2"/>
  <c r="AZ29" i="2" s="1"/>
  <c r="Y29" i="2"/>
  <c r="X29" i="2"/>
  <c r="W29" i="2"/>
  <c r="V29" i="2"/>
  <c r="U29" i="2"/>
  <c r="T29" i="2"/>
  <c r="S29" i="2"/>
  <c r="R29" i="2"/>
  <c r="Q29" i="2"/>
  <c r="P29" i="2"/>
  <c r="O29" i="2"/>
  <c r="C29" i="2"/>
  <c r="BE29" i="2" s="1"/>
  <c r="B29" i="2"/>
  <c r="A29" i="2"/>
  <c r="BD29" i="2" s="1"/>
  <c r="BS28" i="2"/>
  <c r="I27" i="3" s="1"/>
  <c r="BO28" i="2"/>
  <c r="BN28" i="2"/>
  <c r="H27" i="3" s="1"/>
  <c r="BM28" i="2"/>
  <c r="G27" i="3" s="1"/>
  <c r="AW28" i="2"/>
  <c r="AV28" i="2"/>
  <c r="AU28" i="2"/>
  <c r="AT28" i="2"/>
  <c r="AS28" i="2"/>
  <c r="AR28" i="2"/>
  <c r="AQ28" i="2"/>
  <c r="AP28" i="2"/>
  <c r="AO28" i="2"/>
  <c r="AN28" i="2"/>
  <c r="AM28" i="2"/>
  <c r="Y28" i="2"/>
  <c r="X28" i="2"/>
  <c r="W28" i="2"/>
  <c r="V28" i="2"/>
  <c r="U28" i="2"/>
  <c r="T28" i="2"/>
  <c r="S28" i="2"/>
  <c r="R28" i="2"/>
  <c r="Q28" i="2"/>
  <c r="P28" i="2"/>
  <c r="O28" i="2"/>
  <c r="L28" i="2"/>
  <c r="K28" i="2"/>
  <c r="J28" i="2"/>
  <c r="C28" i="2"/>
  <c r="BE28" i="2" s="1"/>
  <c r="B28" i="2"/>
  <c r="A28" i="2"/>
  <c r="BD28" i="2" s="1"/>
  <c r="BS27" i="2"/>
  <c r="I26" i="3" s="1"/>
  <c r="BO27" i="2"/>
  <c r="BN27" i="2"/>
  <c r="H26" i="3" s="1"/>
  <c r="BM27" i="2"/>
  <c r="G26" i="3" s="1"/>
  <c r="BD27" i="2"/>
  <c r="AW27" i="2"/>
  <c r="AV27" i="2"/>
  <c r="AU27" i="2"/>
  <c r="AT27" i="2"/>
  <c r="AS27" i="2"/>
  <c r="AR27" i="2"/>
  <c r="AQ27" i="2"/>
  <c r="AP27" i="2"/>
  <c r="AO27" i="2"/>
  <c r="AN27" i="2"/>
  <c r="AM27" i="2"/>
  <c r="AH27" i="2"/>
  <c r="AG27" i="2"/>
  <c r="Y27" i="2"/>
  <c r="X27" i="2"/>
  <c r="W27" i="2"/>
  <c r="V27" i="2"/>
  <c r="U27" i="2"/>
  <c r="T27" i="2"/>
  <c r="S27" i="2"/>
  <c r="R27" i="2"/>
  <c r="Q27" i="2"/>
  <c r="P27" i="2"/>
  <c r="O27" i="2"/>
  <c r="C27" i="2"/>
  <c r="BE27" i="2" s="1"/>
  <c r="B27" i="2"/>
  <c r="A27" i="2"/>
  <c r="BS26" i="2"/>
  <c r="I25" i="3" s="1"/>
  <c r="BO26" i="2"/>
  <c r="BN26" i="2"/>
  <c r="H25" i="3" s="1"/>
  <c r="BM26" i="2"/>
  <c r="G25" i="3" s="1"/>
  <c r="AW26" i="2"/>
  <c r="AV26" i="2"/>
  <c r="AU26" i="2"/>
  <c r="AT26" i="2"/>
  <c r="AS26" i="2"/>
  <c r="AR26" i="2"/>
  <c r="AQ26" i="2"/>
  <c r="AP26" i="2"/>
  <c r="AO26" i="2"/>
  <c r="AN26" i="2"/>
  <c r="AM26" i="2"/>
  <c r="AD26" i="2"/>
  <c r="AZ26" i="2" s="1"/>
  <c r="Y26" i="2"/>
  <c r="X26" i="2"/>
  <c r="W26" i="2"/>
  <c r="V26" i="2"/>
  <c r="U26" i="2"/>
  <c r="T26" i="2"/>
  <c r="S26" i="2"/>
  <c r="R26" i="2"/>
  <c r="Q26" i="2"/>
  <c r="P26" i="2"/>
  <c r="O26" i="2"/>
  <c r="C26" i="2"/>
  <c r="BE26" i="2" s="1"/>
  <c r="B26" i="2"/>
  <c r="A26" i="2"/>
  <c r="BD26" i="2" s="1"/>
  <c r="BS25" i="2"/>
  <c r="I24" i="3" s="1"/>
  <c r="BO25" i="2"/>
  <c r="BN25" i="2"/>
  <c r="H24" i="3" s="1"/>
  <c r="BM25" i="2"/>
  <c r="G24" i="3" s="1"/>
  <c r="AW25" i="2"/>
  <c r="AV25" i="2"/>
  <c r="AU25" i="2"/>
  <c r="AT25" i="2"/>
  <c r="AS25" i="2"/>
  <c r="AR25" i="2"/>
  <c r="AQ25" i="2"/>
  <c r="AP25" i="2"/>
  <c r="AO25" i="2"/>
  <c r="AN25" i="2"/>
  <c r="AM25" i="2"/>
  <c r="AF25" i="2"/>
  <c r="AE25" i="2"/>
  <c r="AD25" i="2"/>
  <c r="Y25" i="2"/>
  <c r="X25" i="2"/>
  <c r="W25" i="2"/>
  <c r="V25" i="2"/>
  <c r="U25" i="2"/>
  <c r="T25" i="2"/>
  <c r="S25" i="2"/>
  <c r="R25" i="2"/>
  <c r="Q25" i="2"/>
  <c r="P25" i="2"/>
  <c r="O25" i="2"/>
  <c r="C25" i="2"/>
  <c r="BE25" i="2" s="1"/>
  <c r="B25" i="2"/>
  <c r="A25" i="2"/>
  <c r="BD25" i="2" s="1"/>
  <c r="BS24" i="2"/>
  <c r="I23" i="3" s="1"/>
  <c r="BO24" i="2"/>
  <c r="BN24" i="2"/>
  <c r="H23" i="3" s="1"/>
  <c r="BM24" i="2"/>
  <c r="G23" i="3" s="1"/>
  <c r="AW24" i="2"/>
  <c r="AV24" i="2"/>
  <c r="AU24" i="2"/>
  <c r="AT24" i="2"/>
  <c r="AS24" i="2"/>
  <c r="AR24" i="2"/>
  <c r="AQ24" i="2"/>
  <c r="AP24" i="2"/>
  <c r="AO24" i="2"/>
  <c r="AN24" i="2"/>
  <c r="AM24" i="2"/>
  <c r="AB24" i="2"/>
  <c r="AY24" i="2" s="1"/>
  <c r="BG24" i="2" s="1"/>
  <c r="Y24" i="2"/>
  <c r="X24" i="2"/>
  <c r="W24" i="2"/>
  <c r="V24" i="2"/>
  <c r="U24" i="2"/>
  <c r="T24" i="2"/>
  <c r="S24" i="2"/>
  <c r="R24" i="2"/>
  <c r="Q24" i="2"/>
  <c r="P24" i="2"/>
  <c r="O24" i="2"/>
  <c r="C24" i="2"/>
  <c r="BE24" i="2" s="1"/>
  <c r="B24" i="2"/>
  <c r="A24" i="2"/>
  <c r="BD24" i="2" s="1"/>
  <c r="BS23" i="2"/>
  <c r="I22" i="3" s="1"/>
  <c r="BO23" i="2"/>
  <c r="BN23" i="2"/>
  <c r="H22" i="3" s="1"/>
  <c r="BM23" i="2"/>
  <c r="G22" i="3" s="1"/>
  <c r="AW23" i="2"/>
  <c r="AV23" i="2"/>
  <c r="AU23" i="2"/>
  <c r="AT23" i="2"/>
  <c r="AS23" i="2"/>
  <c r="AR23" i="2"/>
  <c r="AQ23" i="2"/>
  <c r="AP23" i="2"/>
  <c r="AO23" i="2"/>
  <c r="AN23" i="2"/>
  <c r="AM23" i="2"/>
  <c r="Y23" i="2"/>
  <c r="X23" i="2"/>
  <c r="W23" i="2"/>
  <c r="V23" i="2"/>
  <c r="U23" i="2"/>
  <c r="T23" i="2"/>
  <c r="S23" i="2"/>
  <c r="R23" i="2"/>
  <c r="Q23" i="2"/>
  <c r="P23" i="2"/>
  <c r="O23" i="2"/>
  <c r="K23" i="2"/>
  <c r="J23" i="2"/>
  <c r="C23" i="2"/>
  <c r="BE23" i="2" s="1"/>
  <c r="B23" i="2"/>
  <c r="A23" i="2"/>
  <c r="BD23" i="2" s="1"/>
  <c r="BS22" i="2"/>
  <c r="I21" i="3" s="1"/>
  <c r="BO22" i="2"/>
  <c r="BN22" i="2"/>
  <c r="H21" i="3" s="1"/>
  <c r="BM22" i="2"/>
  <c r="G21" i="3" s="1"/>
  <c r="AW22" i="2"/>
  <c r="AV22" i="2"/>
  <c r="AU22" i="2"/>
  <c r="AT22" i="2"/>
  <c r="AS22" i="2"/>
  <c r="AR22" i="2"/>
  <c r="AQ22" i="2"/>
  <c r="AP22" i="2"/>
  <c r="AO22" i="2"/>
  <c r="AN22" i="2"/>
  <c r="AM22" i="2"/>
  <c r="AD22" i="2"/>
  <c r="AC22" i="2"/>
  <c r="Y22" i="2"/>
  <c r="X22" i="2"/>
  <c r="W22" i="2"/>
  <c r="V22" i="2"/>
  <c r="U22" i="2"/>
  <c r="T22" i="2"/>
  <c r="S22" i="2"/>
  <c r="R22" i="2"/>
  <c r="Q22" i="2"/>
  <c r="P22" i="2"/>
  <c r="O22" i="2"/>
  <c r="C22" i="2"/>
  <c r="BE22" i="2" s="1"/>
  <c r="B22" i="2"/>
  <c r="A22" i="2"/>
  <c r="BD22" i="2" s="1"/>
  <c r="BS21" i="2"/>
  <c r="I20" i="3" s="1"/>
  <c r="BO21" i="2"/>
  <c r="BN21" i="2"/>
  <c r="H20" i="3" s="1"/>
  <c r="BM21" i="2"/>
  <c r="G20" i="3" s="1"/>
  <c r="BD21" i="2"/>
  <c r="AW21" i="2"/>
  <c r="AV21" i="2"/>
  <c r="AU21" i="2"/>
  <c r="AT21" i="2"/>
  <c r="AS21" i="2"/>
  <c r="AR21" i="2"/>
  <c r="AQ21" i="2"/>
  <c r="AP21" i="2"/>
  <c r="AO21" i="2"/>
  <c r="AN21" i="2"/>
  <c r="AM21" i="2"/>
  <c r="AE21" i="2"/>
  <c r="AD21" i="2"/>
  <c r="AC21" i="2"/>
  <c r="AB21" i="2"/>
  <c r="Y21" i="2"/>
  <c r="X21" i="2"/>
  <c r="W21" i="2"/>
  <c r="V21" i="2"/>
  <c r="U21" i="2"/>
  <c r="T21" i="2"/>
  <c r="S21" i="2"/>
  <c r="R21" i="2"/>
  <c r="Q21" i="2"/>
  <c r="P21" i="2"/>
  <c r="O21" i="2"/>
  <c r="C21" i="2"/>
  <c r="BE21" i="2" s="1"/>
  <c r="B21" i="2"/>
  <c r="A21" i="2"/>
  <c r="BS20" i="2"/>
  <c r="I19" i="3" s="1"/>
  <c r="BO20" i="2"/>
  <c r="BN20" i="2"/>
  <c r="H19" i="3" s="1"/>
  <c r="BM20" i="2"/>
  <c r="G19" i="3" s="1"/>
  <c r="AW20" i="2"/>
  <c r="AV20" i="2"/>
  <c r="AU20" i="2"/>
  <c r="AT20" i="2"/>
  <c r="AS20" i="2"/>
  <c r="AR20" i="2"/>
  <c r="AQ20" i="2"/>
  <c r="AP20" i="2"/>
  <c r="AO20" i="2"/>
  <c r="AN20" i="2"/>
  <c r="AM20" i="2"/>
  <c r="AG20" i="2"/>
  <c r="Y20" i="2"/>
  <c r="X20" i="2"/>
  <c r="W20" i="2"/>
  <c r="V20" i="2"/>
  <c r="U20" i="2"/>
  <c r="T20" i="2"/>
  <c r="S20" i="2"/>
  <c r="R20" i="2"/>
  <c r="Q20" i="2"/>
  <c r="P20" i="2"/>
  <c r="O20" i="2"/>
  <c r="H20" i="2"/>
  <c r="G20" i="2"/>
  <c r="C20" i="2"/>
  <c r="BE20" i="2" s="1"/>
  <c r="B20" i="2"/>
  <c r="A20" i="2"/>
  <c r="BD20" i="2" s="1"/>
  <c r="BS19" i="2"/>
  <c r="I18" i="3" s="1"/>
  <c r="BO19" i="2"/>
  <c r="BN19" i="2"/>
  <c r="H18" i="3" s="1"/>
  <c r="BM19" i="2"/>
  <c r="G18" i="3" s="1"/>
  <c r="AW19" i="2"/>
  <c r="AV19" i="2"/>
  <c r="AU19" i="2"/>
  <c r="AT19" i="2"/>
  <c r="AS19" i="2"/>
  <c r="AR19" i="2"/>
  <c r="AQ19" i="2"/>
  <c r="AP19" i="2"/>
  <c r="AO19" i="2"/>
  <c r="AN19" i="2"/>
  <c r="AM19" i="2"/>
  <c r="Y19" i="2"/>
  <c r="X19" i="2"/>
  <c r="W19" i="2"/>
  <c r="V19" i="2"/>
  <c r="U19" i="2"/>
  <c r="T19" i="2"/>
  <c r="S19" i="2"/>
  <c r="R19" i="2"/>
  <c r="Q19" i="2"/>
  <c r="P19" i="2"/>
  <c r="O19" i="2"/>
  <c r="K19" i="2"/>
  <c r="J19" i="2"/>
  <c r="C19" i="2"/>
  <c r="BE19" i="2" s="1"/>
  <c r="B19" i="2"/>
  <c r="A19" i="2"/>
  <c r="BD19" i="2" s="1"/>
  <c r="BS18" i="2"/>
  <c r="I17" i="3" s="1"/>
  <c r="BO18" i="2"/>
  <c r="BN18" i="2"/>
  <c r="H17" i="3" s="1"/>
  <c r="BM18" i="2"/>
  <c r="G17" i="3" s="1"/>
  <c r="AW18" i="2"/>
  <c r="AV18" i="2"/>
  <c r="AU18" i="2"/>
  <c r="AT18" i="2"/>
  <c r="AS18" i="2"/>
  <c r="AR18" i="2"/>
  <c r="AQ18" i="2"/>
  <c r="AP18" i="2"/>
  <c r="AO18" i="2"/>
  <c r="AN18" i="2"/>
  <c r="AM18" i="2"/>
  <c r="Y18" i="2"/>
  <c r="X18" i="2"/>
  <c r="W18" i="2"/>
  <c r="V18" i="2"/>
  <c r="U18" i="2"/>
  <c r="T18" i="2"/>
  <c r="S18" i="2"/>
  <c r="R18" i="2"/>
  <c r="Q18" i="2"/>
  <c r="P18" i="2"/>
  <c r="O18" i="2"/>
  <c r="K18" i="2"/>
  <c r="J18" i="2"/>
  <c r="C18" i="2"/>
  <c r="BE18" i="2" s="1"/>
  <c r="B18" i="2"/>
  <c r="A18" i="2"/>
  <c r="BD18" i="2" s="1"/>
  <c r="BS17" i="2"/>
  <c r="I16" i="3" s="1"/>
  <c r="BO17" i="2"/>
  <c r="BN17" i="2"/>
  <c r="H16" i="3" s="1"/>
  <c r="BM17" i="2"/>
  <c r="G16" i="3" s="1"/>
  <c r="AW17" i="2"/>
  <c r="AV17" i="2"/>
  <c r="AU17" i="2"/>
  <c r="AT17" i="2"/>
  <c r="AS17" i="2"/>
  <c r="AR17" i="2"/>
  <c r="AQ17" i="2"/>
  <c r="AP17" i="2"/>
  <c r="AO17" i="2"/>
  <c r="AN17" i="2"/>
  <c r="AM17" i="2"/>
  <c r="AD17" i="2"/>
  <c r="Y17" i="2"/>
  <c r="X17" i="2"/>
  <c r="W17" i="2"/>
  <c r="V17" i="2"/>
  <c r="U17" i="2"/>
  <c r="T17" i="2"/>
  <c r="S17" i="2"/>
  <c r="R17" i="2"/>
  <c r="Q17" i="2"/>
  <c r="P17" i="2"/>
  <c r="O17" i="2"/>
  <c r="F17" i="2"/>
  <c r="C17" i="2"/>
  <c r="BE17" i="2" s="1"/>
  <c r="B17" i="2"/>
  <c r="A17" i="2"/>
  <c r="BD17" i="2" s="1"/>
  <c r="BS16" i="2"/>
  <c r="I15" i="3" s="1"/>
  <c r="BO16" i="2"/>
  <c r="BN16" i="2"/>
  <c r="H15" i="3" s="1"/>
  <c r="BM16" i="2"/>
  <c r="G15" i="3" s="1"/>
  <c r="AW16" i="2"/>
  <c r="AV16" i="2"/>
  <c r="AU16" i="2"/>
  <c r="AT16" i="2"/>
  <c r="AS16" i="2"/>
  <c r="AR16" i="2"/>
  <c r="AQ16" i="2"/>
  <c r="AP16" i="2"/>
  <c r="AO16" i="2"/>
  <c r="AN16" i="2"/>
  <c r="AM16" i="2"/>
  <c r="AK16" i="2"/>
  <c r="AJ16" i="2"/>
  <c r="AI16" i="2"/>
  <c r="AH16" i="2"/>
  <c r="AG16" i="2"/>
  <c r="Y16" i="2"/>
  <c r="X16" i="2"/>
  <c r="W16" i="2"/>
  <c r="V16" i="2"/>
  <c r="U16" i="2"/>
  <c r="T16" i="2"/>
  <c r="S16" i="2"/>
  <c r="R16" i="2"/>
  <c r="Q16" i="2"/>
  <c r="P16" i="2"/>
  <c r="O16" i="2"/>
  <c r="C16" i="2"/>
  <c r="BE16" i="2" s="1"/>
  <c r="B16" i="2"/>
  <c r="A16" i="2"/>
  <c r="BD16" i="2" s="1"/>
  <c r="BS15" i="2"/>
  <c r="I14" i="3" s="1"/>
  <c r="BO15" i="2"/>
  <c r="BN15" i="2"/>
  <c r="H14" i="3" s="1"/>
  <c r="BM15" i="2"/>
  <c r="G14" i="3" s="1"/>
  <c r="AW15" i="2"/>
  <c r="AV15" i="2"/>
  <c r="AU15" i="2"/>
  <c r="AT15" i="2"/>
  <c r="AS15" i="2"/>
  <c r="AR15" i="2"/>
  <c r="AQ15" i="2"/>
  <c r="AP15" i="2"/>
  <c r="AO15" i="2"/>
  <c r="AN15" i="2"/>
  <c r="AM15" i="2"/>
  <c r="AD15" i="2"/>
  <c r="AY15" i="2" s="1"/>
  <c r="BG15" i="2" s="1"/>
  <c r="Y15" i="2"/>
  <c r="X15" i="2"/>
  <c r="W15" i="2"/>
  <c r="V15" i="2"/>
  <c r="U15" i="2"/>
  <c r="T15" i="2"/>
  <c r="S15" i="2"/>
  <c r="R15" i="2"/>
  <c r="Q15" i="2"/>
  <c r="P15" i="2"/>
  <c r="O15" i="2"/>
  <c r="C15" i="2"/>
  <c r="BE15" i="2" s="1"/>
  <c r="B15" i="2"/>
  <c r="A15" i="2"/>
  <c r="BD15" i="2" s="1"/>
  <c r="BS14" i="2"/>
  <c r="I13" i="3" s="1"/>
  <c r="BO14" i="2"/>
  <c r="BN14" i="2"/>
  <c r="H13" i="3" s="1"/>
  <c r="BM14" i="2"/>
  <c r="G13" i="3" s="1"/>
  <c r="AW14" i="2"/>
  <c r="AV14" i="2"/>
  <c r="AU14" i="2"/>
  <c r="AT14" i="2"/>
  <c r="AS14" i="2"/>
  <c r="AR14" i="2"/>
  <c r="AQ14" i="2"/>
  <c r="AP14" i="2"/>
  <c r="AO14" i="2"/>
  <c r="AN14" i="2"/>
  <c r="AM14" i="2"/>
  <c r="AF14" i="2"/>
  <c r="AE14" i="2"/>
  <c r="AD14" i="2"/>
  <c r="Y14" i="2"/>
  <c r="X14" i="2"/>
  <c r="W14" i="2"/>
  <c r="V14" i="2"/>
  <c r="U14" i="2"/>
  <c r="T14" i="2"/>
  <c r="S14" i="2"/>
  <c r="R14" i="2"/>
  <c r="Q14" i="2"/>
  <c r="P14" i="2"/>
  <c r="O14" i="2"/>
  <c r="F14" i="2"/>
  <c r="C14" i="2"/>
  <c r="BE14" i="2" s="1"/>
  <c r="B14" i="2"/>
  <c r="A14" i="2"/>
  <c r="BD14" i="2" s="1"/>
  <c r="BS13" i="2"/>
  <c r="I12" i="3" s="1"/>
  <c r="BO13" i="2"/>
  <c r="BN13" i="2"/>
  <c r="H12" i="3" s="1"/>
  <c r="BM13" i="2"/>
  <c r="G12" i="3" s="1"/>
  <c r="AW13" i="2"/>
  <c r="AV13" i="2"/>
  <c r="AU13" i="2"/>
  <c r="AT13" i="2"/>
  <c r="AS13" i="2"/>
  <c r="AR13" i="2"/>
  <c r="AQ13" i="2"/>
  <c r="AP13" i="2"/>
  <c r="AO13" i="2"/>
  <c r="AN13" i="2"/>
  <c r="AM13" i="2"/>
  <c r="AE13" i="2"/>
  <c r="AD13" i="2"/>
  <c r="AC13" i="2"/>
  <c r="Y13" i="2"/>
  <c r="X13" i="2"/>
  <c r="W13" i="2"/>
  <c r="V13" i="2"/>
  <c r="U13" i="2"/>
  <c r="T13" i="2"/>
  <c r="S13" i="2"/>
  <c r="R13" i="2"/>
  <c r="Q13" i="2"/>
  <c r="P13" i="2"/>
  <c r="O13" i="2"/>
  <c r="C13" i="2"/>
  <c r="BE13" i="2" s="1"/>
  <c r="B13" i="2"/>
  <c r="A13" i="2"/>
  <c r="BD13" i="2" s="1"/>
  <c r="BS12" i="2"/>
  <c r="I11" i="3" s="1"/>
  <c r="BO12" i="2"/>
  <c r="BN12" i="2"/>
  <c r="H11" i="3" s="1"/>
  <c r="BM12" i="2"/>
  <c r="G11" i="3" s="1"/>
  <c r="AW12" i="2"/>
  <c r="AV12" i="2"/>
  <c r="AU12" i="2"/>
  <c r="AT12" i="2"/>
  <c r="AS12" i="2"/>
  <c r="AR12" i="2"/>
  <c r="AQ12" i="2"/>
  <c r="AP12" i="2"/>
  <c r="AO12" i="2"/>
  <c r="AN12" i="2"/>
  <c r="AM12" i="2"/>
  <c r="AF12" i="2"/>
  <c r="AE12" i="2"/>
  <c r="AD12" i="2"/>
  <c r="AC12" i="2"/>
  <c r="Y12" i="2"/>
  <c r="X12" i="2"/>
  <c r="W12" i="2"/>
  <c r="V12" i="2"/>
  <c r="U12" i="2"/>
  <c r="T12" i="2"/>
  <c r="S12" i="2"/>
  <c r="R12" i="2"/>
  <c r="Q12" i="2"/>
  <c r="P12" i="2"/>
  <c r="O12" i="2"/>
  <c r="C12" i="2"/>
  <c r="BE12" i="2" s="1"/>
  <c r="B12" i="2"/>
  <c r="A12" i="2"/>
  <c r="BD12" i="2" s="1"/>
  <c r="BS11" i="2"/>
  <c r="I10" i="3" s="1"/>
  <c r="BO11" i="2"/>
  <c r="BN11" i="2"/>
  <c r="H10" i="3" s="1"/>
  <c r="BM11" i="2"/>
  <c r="G10" i="3" s="1"/>
  <c r="AW11" i="2"/>
  <c r="AV11" i="2"/>
  <c r="AU11" i="2"/>
  <c r="AT11" i="2"/>
  <c r="AS11" i="2"/>
  <c r="AR11" i="2"/>
  <c r="AQ11" i="2"/>
  <c r="AP11" i="2"/>
  <c r="AO11" i="2"/>
  <c r="AN11" i="2"/>
  <c r="AM11" i="2"/>
  <c r="AH11" i="2"/>
  <c r="AG11" i="2"/>
  <c r="Y11" i="2"/>
  <c r="X11" i="2"/>
  <c r="W11" i="2"/>
  <c r="V11" i="2"/>
  <c r="U11" i="2"/>
  <c r="T11" i="2"/>
  <c r="S11" i="2"/>
  <c r="R11" i="2"/>
  <c r="Q11" i="2"/>
  <c r="P11" i="2"/>
  <c r="O11" i="2"/>
  <c r="C11" i="2"/>
  <c r="BE11" i="2" s="1"/>
  <c r="B11" i="2"/>
  <c r="A11" i="2"/>
  <c r="BD11" i="2" s="1"/>
  <c r="BS10" i="2"/>
  <c r="I9" i="3" s="1"/>
  <c r="BO10" i="2"/>
  <c r="BN10" i="2"/>
  <c r="H9" i="3" s="1"/>
  <c r="BM10" i="2"/>
  <c r="G9" i="3" s="1"/>
  <c r="AW10" i="2"/>
  <c r="AV10" i="2"/>
  <c r="AU10" i="2"/>
  <c r="AT10" i="2"/>
  <c r="AS10" i="2"/>
  <c r="AR10" i="2"/>
  <c r="AQ10" i="2"/>
  <c r="AP10" i="2"/>
  <c r="AO10" i="2"/>
  <c r="AN10" i="2"/>
  <c r="AM10" i="2"/>
  <c r="AE10" i="2"/>
  <c r="AZ10" i="2" s="1"/>
  <c r="Y10" i="2"/>
  <c r="X10" i="2"/>
  <c r="W10" i="2"/>
  <c r="V10" i="2"/>
  <c r="U10" i="2"/>
  <c r="T10" i="2"/>
  <c r="S10" i="2"/>
  <c r="R10" i="2"/>
  <c r="Q10" i="2"/>
  <c r="P10" i="2"/>
  <c r="O10" i="2"/>
  <c r="C10" i="2"/>
  <c r="BE10" i="2" s="1"/>
  <c r="B10" i="2"/>
  <c r="A10" i="2"/>
  <c r="BD10" i="2" s="1"/>
  <c r="BS9" i="2"/>
  <c r="I8" i="3" s="1"/>
  <c r="BO9" i="2"/>
  <c r="BN9" i="2"/>
  <c r="H8" i="3" s="1"/>
  <c r="BM9" i="2"/>
  <c r="G8" i="3" s="1"/>
  <c r="AW9" i="2"/>
  <c r="AV9" i="2"/>
  <c r="AU9" i="2"/>
  <c r="AT9" i="2"/>
  <c r="AS9" i="2"/>
  <c r="AR9" i="2"/>
  <c r="AQ9" i="2"/>
  <c r="AP9" i="2"/>
  <c r="AO9" i="2"/>
  <c r="AN9" i="2"/>
  <c r="AM9" i="2"/>
  <c r="AC9" i="2"/>
  <c r="Y9" i="2"/>
  <c r="X9" i="2"/>
  <c r="W9" i="2"/>
  <c r="V9" i="2"/>
  <c r="U9" i="2"/>
  <c r="T9" i="2"/>
  <c r="S9" i="2"/>
  <c r="R9" i="2"/>
  <c r="Q9" i="2"/>
  <c r="P9" i="2"/>
  <c r="O9" i="2"/>
  <c r="C9" i="2"/>
  <c r="BE9" i="2" s="1"/>
  <c r="B9" i="2"/>
  <c r="A9" i="2"/>
  <c r="BD9" i="2" s="1"/>
  <c r="BS8" i="2"/>
  <c r="I7" i="3" s="1"/>
  <c r="BO8" i="2"/>
  <c r="BN8" i="2"/>
  <c r="H7" i="3" s="1"/>
  <c r="BM8" i="2"/>
  <c r="G7" i="3" s="1"/>
  <c r="AW8" i="2"/>
  <c r="AV8" i="2"/>
  <c r="AU8" i="2"/>
  <c r="AT8" i="2"/>
  <c r="AS8" i="2"/>
  <c r="AR8" i="2"/>
  <c r="AQ8" i="2"/>
  <c r="AP8" i="2"/>
  <c r="AO8" i="2"/>
  <c r="AN8" i="2"/>
  <c r="AM8" i="2"/>
  <c r="AE8" i="2"/>
  <c r="AY8" i="2" s="1"/>
  <c r="BG8" i="2" s="1"/>
  <c r="Y8" i="2"/>
  <c r="X8" i="2"/>
  <c r="W8" i="2"/>
  <c r="V8" i="2"/>
  <c r="U8" i="2"/>
  <c r="T8" i="2"/>
  <c r="S8" i="2"/>
  <c r="R8" i="2"/>
  <c r="Q8" i="2"/>
  <c r="P8" i="2"/>
  <c r="O8" i="2"/>
  <c r="C8" i="2"/>
  <c r="BE8" i="2" s="1"/>
  <c r="B8" i="2"/>
  <c r="A8" i="2"/>
  <c r="BD8" i="2" s="1"/>
  <c r="BS7" i="2"/>
  <c r="I6" i="3" s="1"/>
  <c r="BO7" i="2"/>
  <c r="BN7" i="2"/>
  <c r="H6" i="3" s="1"/>
  <c r="BM7" i="2"/>
  <c r="G6" i="3" s="1"/>
  <c r="AW7" i="2"/>
  <c r="AV7" i="2"/>
  <c r="AU7" i="2"/>
  <c r="AT7" i="2"/>
  <c r="AS7" i="2"/>
  <c r="AR7" i="2"/>
  <c r="AQ7" i="2"/>
  <c r="AP7" i="2"/>
  <c r="AO7" i="2"/>
  <c r="AN7" i="2"/>
  <c r="AM7" i="2"/>
  <c r="AJ7" i="2"/>
  <c r="AI7" i="2"/>
  <c r="AH7" i="2"/>
  <c r="Y7" i="2"/>
  <c r="X7" i="2"/>
  <c r="W7" i="2"/>
  <c r="V7" i="2"/>
  <c r="U7" i="2"/>
  <c r="T7" i="2"/>
  <c r="S7" i="2"/>
  <c r="R7" i="2"/>
  <c r="Q7" i="2"/>
  <c r="P7" i="2"/>
  <c r="O7" i="2"/>
  <c r="J7" i="2"/>
  <c r="C7" i="2"/>
  <c r="BE7" i="2" s="1"/>
  <c r="B7" i="2"/>
  <c r="A7" i="2"/>
  <c r="BD7" i="2" s="1"/>
  <c r="BS6" i="2"/>
  <c r="I5" i="3" s="1"/>
  <c r="BO6" i="2"/>
  <c r="BN6" i="2"/>
  <c r="H5" i="3" s="1"/>
  <c r="BM6" i="2"/>
  <c r="G5" i="3" s="1"/>
  <c r="AW6" i="2"/>
  <c r="AV6" i="2"/>
  <c r="AU6" i="2"/>
  <c r="AT6" i="2"/>
  <c r="AS6" i="2"/>
  <c r="AR6" i="2"/>
  <c r="AQ6" i="2"/>
  <c r="AP6" i="2"/>
  <c r="AO6" i="2"/>
  <c r="AN6" i="2"/>
  <c r="AM6" i="2"/>
  <c r="AD6" i="2"/>
  <c r="AC6" i="2"/>
  <c r="Y6" i="2"/>
  <c r="X6" i="2"/>
  <c r="W6" i="2"/>
  <c r="V6" i="2"/>
  <c r="U6" i="2"/>
  <c r="T6" i="2"/>
  <c r="S6" i="2"/>
  <c r="R6" i="2"/>
  <c r="Q6" i="2"/>
  <c r="P6" i="2"/>
  <c r="O6" i="2"/>
  <c r="C6" i="2"/>
  <c r="BE6" i="2" s="1"/>
  <c r="B6" i="2"/>
  <c r="A6" i="2"/>
  <c r="BD6" i="2" s="1"/>
  <c r="BS5" i="2"/>
  <c r="I4" i="3" s="1"/>
  <c r="BO5" i="2"/>
  <c r="BN5" i="2"/>
  <c r="H4" i="3" s="1"/>
  <c r="BM5" i="2"/>
  <c r="G4" i="3" s="1"/>
  <c r="AW5" i="2"/>
  <c r="AV5" i="2"/>
  <c r="AU5" i="2"/>
  <c r="AT5" i="2"/>
  <c r="AS5" i="2"/>
  <c r="AR5" i="2"/>
  <c r="AQ5" i="2"/>
  <c r="AP5" i="2"/>
  <c r="AO5" i="2"/>
  <c r="AN5" i="2"/>
  <c r="AM5" i="2"/>
  <c r="AG5" i="2"/>
  <c r="AF5" i="2"/>
  <c r="AE5" i="2"/>
  <c r="Y5" i="2"/>
  <c r="X5" i="2"/>
  <c r="W5" i="2"/>
  <c r="V5" i="2"/>
  <c r="U5" i="2"/>
  <c r="T5" i="2"/>
  <c r="S5" i="2"/>
  <c r="R5" i="2"/>
  <c r="Q5" i="2"/>
  <c r="P5" i="2"/>
  <c r="O5" i="2"/>
  <c r="C5" i="2"/>
  <c r="BE5" i="2" s="1"/>
  <c r="B5" i="2"/>
  <c r="A5" i="2"/>
  <c r="BD5" i="2" s="1"/>
  <c r="BS4" i="2"/>
  <c r="I3" i="3" s="1"/>
  <c r="BO4" i="2"/>
  <c r="BN4" i="2"/>
  <c r="H3" i="3" s="1"/>
  <c r="BM4" i="2"/>
  <c r="G3" i="3" s="1"/>
  <c r="BL4" i="2"/>
  <c r="BL5" i="2" s="1"/>
  <c r="BL6" i="2" s="1"/>
  <c r="BL7" i="2" s="1"/>
  <c r="BL8" i="2" s="1"/>
  <c r="BL9" i="2" s="1"/>
  <c r="BL10" i="2" s="1"/>
  <c r="BL11" i="2" s="1"/>
  <c r="BL12" i="2" s="1"/>
  <c r="BL13" i="2" s="1"/>
  <c r="BL14" i="2" s="1"/>
  <c r="BL15" i="2" s="1"/>
  <c r="BL16" i="2" s="1"/>
  <c r="BL17" i="2" s="1"/>
  <c r="BL18" i="2" s="1"/>
  <c r="BL19" i="2" s="1"/>
  <c r="BL20" i="2" s="1"/>
  <c r="BL21" i="2" s="1"/>
  <c r="BL22" i="2" s="1"/>
  <c r="BL23" i="2" s="1"/>
  <c r="BL24" i="2" s="1"/>
  <c r="BL25" i="2" s="1"/>
  <c r="BL26" i="2" s="1"/>
  <c r="BL27" i="2" s="1"/>
  <c r="BL28" i="2" s="1"/>
  <c r="BL29" i="2" s="1"/>
  <c r="BL30" i="2" s="1"/>
  <c r="BL31" i="2" s="1"/>
  <c r="BL32" i="2" s="1"/>
  <c r="BL33" i="2" s="1"/>
  <c r="BL34" i="2" s="1"/>
  <c r="BL35" i="2" s="1"/>
  <c r="BL36" i="2" s="1"/>
  <c r="BL37" i="2" s="1"/>
  <c r="BL38" i="2" s="1"/>
  <c r="BL39" i="2" s="1"/>
  <c r="BL40" i="2" s="1"/>
  <c r="BL41" i="2" s="1"/>
  <c r="BL42" i="2" s="1"/>
  <c r="BL43" i="2" s="1"/>
  <c r="BL44" i="2" s="1"/>
  <c r="BL45" i="2" s="1"/>
  <c r="BL46" i="2" s="1"/>
  <c r="BL47" i="2" s="1"/>
  <c r="BL48" i="2" s="1"/>
  <c r="BL49" i="2" s="1"/>
  <c r="BL50" i="2" s="1"/>
  <c r="BL51" i="2" s="1"/>
  <c r="BL52" i="2" s="1"/>
  <c r="BL53" i="2" s="1"/>
  <c r="BL54" i="2" s="1"/>
  <c r="BL55" i="2" s="1"/>
  <c r="BL56" i="2" s="1"/>
  <c r="BL57" i="2" s="1"/>
  <c r="BL58" i="2" s="1"/>
  <c r="BL59" i="2" s="1"/>
  <c r="BL60" i="2" s="1"/>
  <c r="BL61" i="2" s="1"/>
  <c r="BL62" i="2" s="1"/>
  <c r="BL63" i="2" s="1"/>
  <c r="BL64" i="2" s="1"/>
  <c r="BL65" i="2" s="1"/>
  <c r="BL66" i="2" s="1"/>
  <c r="BL67" i="2" s="1"/>
  <c r="BL68" i="2" s="1"/>
  <c r="BL69" i="2" s="1"/>
  <c r="BL70" i="2" s="1"/>
  <c r="BL71" i="2" s="1"/>
  <c r="BL72" i="2" s="1"/>
  <c r="BL73" i="2" s="1"/>
  <c r="BL74" i="2" s="1"/>
  <c r="BL75" i="2" s="1"/>
  <c r="BL76" i="2" s="1"/>
  <c r="BL77" i="2" s="1"/>
  <c r="BL78" i="2" s="1"/>
  <c r="BL79" i="2" s="1"/>
  <c r="BL80" i="2" s="1"/>
  <c r="BL81" i="2" s="1"/>
  <c r="BL82" i="2" s="1"/>
  <c r="BL83" i="2" s="1"/>
  <c r="BL84" i="2" s="1"/>
  <c r="BL85" i="2" s="1"/>
  <c r="BL86" i="2" s="1"/>
  <c r="BL87" i="2" s="1"/>
  <c r="BL88" i="2" s="1"/>
  <c r="BL89" i="2" s="1"/>
  <c r="BL90" i="2" s="1"/>
  <c r="BL91" i="2" s="1"/>
  <c r="BL92" i="2" s="1"/>
  <c r="BL93" i="2" s="1"/>
  <c r="BL94" i="2" s="1"/>
  <c r="BL95" i="2" s="1"/>
  <c r="BL96" i="2" s="1"/>
  <c r="BL97" i="2" s="1"/>
  <c r="BL98" i="2" s="1"/>
  <c r="BL99" i="2" s="1"/>
  <c r="BL100" i="2" s="1"/>
  <c r="BL101" i="2" s="1"/>
  <c r="BL102" i="2" s="1"/>
  <c r="BL103" i="2" s="1"/>
  <c r="BL104" i="2" s="1"/>
  <c r="BL105" i="2" s="1"/>
  <c r="BL106" i="2" s="1"/>
  <c r="BL107" i="2" s="1"/>
  <c r="BL108" i="2" s="1"/>
  <c r="BL109" i="2" s="1"/>
  <c r="BL110" i="2" s="1"/>
  <c r="BL111" i="2" s="1"/>
  <c r="BL112" i="2" s="1"/>
  <c r="BL113" i="2" s="1"/>
  <c r="BL114" i="2" s="1"/>
  <c r="BL115" i="2" s="1"/>
  <c r="BL116" i="2" s="1"/>
  <c r="BL117" i="2" s="1"/>
  <c r="BL118" i="2" s="1"/>
  <c r="BL119" i="2" s="1"/>
  <c r="BL120" i="2" s="1"/>
  <c r="BL121" i="2" s="1"/>
  <c r="BL122" i="2" s="1"/>
  <c r="BL123" i="2" s="1"/>
  <c r="BL124" i="2" s="1"/>
  <c r="BL125" i="2" s="1"/>
  <c r="BL126" i="2" s="1"/>
  <c r="BL127" i="2" s="1"/>
  <c r="BL128" i="2" s="1"/>
  <c r="BL129" i="2" s="1"/>
  <c r="BL130" i="2" s="1"/>
  <c r="BL131" i="2" s="1"/>
  <c r="BL132" i="2" s="1"/>
  <c r="BL133" i="2" s="1"/>
  <c r="BL134" i="2" s="1"/>
  <c r="BL135" i="2" s="1"/>
  <c r="BL136" i="2" s="1"/>
  <c r="BL137" i="2" s="1"/>
  <c r="BL138" i="2" s="1"/>
  <c r="BL139" i="2" s="1"/>
  <c r="BL140" i="2" s="1"/>
  <c r="BL141" i="2" s="1"/>
  <c r="BL142" i="2" s="1"/>
  <c r="BL143" i="2" s="1"/>
  <c r="BL144" i="2" s="1"/>
  <c r="BL145" i="2" s="1"/>
  <c r="BL146" i="2" s="1"/>
  <c r="BL147" i="2" s="1"/>
  <c r="BL148" i="2" s="1"/>
  <c r="BL149" i="2" s="1"/>
  <c r="BL150" i="2" s="1"/>
  <c r="BL151" i="2" s="1"/>
  <c r="BL152" i="2" s="1"/>
  <c r="BL153" i="2" s="1"/>
  <c r="BL154" i="2" s="1"/>
  <c r="BL155" i="2" s="1"/>
  <c r="BL156" i="2" s="1"/>
  <c r="BL157" i="2" s="1"/>
  <c r="BL158" i="2" s="1"/>
  <c r="BL159" i="2" s="1"/>
  <c r="BL160" i="2" s="1"/>
  <c r="BL161" i="2" s="1"/>
  <c r="BL162" i="2" s="1"/>
  <c r="BL163" i="2" s="1"/>
  <c r="BL164" i="2" s="1"/>
  <c r="BL165" i="2" s="1"/>
  <c r="BL166" i="2" s="1"/>
  <c r="BL167" i="2" s="1"/>
  <c r="BL168" i="2" s="1"/>
  <c r="BL169" i="2" s="1"/>
  <c r="BL170" i="2" s="1"/>
  <c r="BL171" i="2" s="1"/>
  <c r="BL172" i="2" s="1"/>
  <c r="BL173" i="2" s="1"/>
  <c r="BL174" i="2" s="1"/>
  <c r="BL175" i="2" s="1"/>
  <c r="BL176" i="2" s="1"/>
  <c r="BL177" i="2" s="1"/>
  <c r="BL178" i="2" s="1"/>
  <c r="BL179" i="2" s="1"/>
  <c r="BL180" i="2" s="1"/>
  <c r="BL181" i="2" s="1"/>
  <c r="BL182" i="2" s="1"/>
  <c r="BL183" i="2" s="1"/>
  <c r="BL184" i="2" s="1"/>
  <c r="BL185" i="2" s="1"/>
  <c r="BL186" i="2" s="1"/>
  <c r="BL187" i="2" s="1"/>
  <c r="BL188" i="2" s="1"/>
  <c r="BL189" i="2" s="1"/>
  <c r="BL190" i="2" s="1"/>
  <c r="BL191" i="2" s="1"/>
  <c r="BL192" i="2" s="1"/>
  <c r="BL193" i="2" s="1"/>
  <c r="BL194" i="2" s="1"/>
  <c r="BL195" i="2" s="1"/>
  <c r="BL196" i="2" s="1"/>
  <c r="BL197" i="2" s="1"/>
  <c r="BL198" i="2" s="1"/>
  <c r="BL199" i="2" s="1"/>
  <c r="BL200" i="2" s="1"/>
  <c r="BL201" i="2" s="1"/>
  <c r="BL202" i="2" s="1"/>
  <c r="BL203" i="2" s="1"/>
  <c r="BL204" i="2" s="1"/>
  <c r="BL205" i="2" s="1"/>
  <c r="BL206" i="2" s="1"/>
  <c r="BL207" i="2" s="1"/>
  <c r="BL208" i="2" s="1"/>
  <c r="BL209" i="2" s="1"/>
  <c r="BL210" i="2" s="1"/>
  <c r="BL211" i="2" s="1"/>
  <c r="BL212" i="2" s="1"/>
  <c r="BL213" i="2" s="1"/>
  <c r="BL214" i="2" s="1"/>
  <c r="BL215" i="2" s="1"/>
  <c r="BL216" i="2" s="1"/>
  <c r="BL217" i="2" s="1"/>
  <c r="BL218" i="2" s="1"/>
  <c r="BL219" i="2" s="1"/>
  <c r="BL220" i="2" s="1"/>
  <c r="BL221" i="2" s="1"/>
  <c r="BL222" i="2" s="1"/>
  <c r="BL223" i="2" s="1"/>
  <c r="BL224" i="2" s="1"/>
  <c r="BL225" i="2" s="1"/>
  <c r="BL226" i="2" s="1"/>
  <c r="BL227" i="2" s="1"/>
  <c r="BL228" i="2" s="1"/>
  <c r="BL229" i="2" s="1"/>
  <c r="BL230" i="2" s="1"/>
  <c r="BL231" i="2" s="1"/>
  <c r="BL232" i="2" s="1"/>
  <c r="BL233" i="2" s="1"/>
  <c r="BL234" i="2" s="1"/>
  <c r="BL235" i="2" s="1"/>
  <c r="BL236" i="2" s="1"/>
  <c r="BL237" i="2" s="1"/>
  <c r="BL238" i="2" s="1"/>
  <c r="BL239" i="2" s="1"/>
  <c r="AW4" i="2"/>
  <c r="AV4" i="2"/>
  <c r="AU4" i="2"/>
  <c r="AT4" i="2"/>
  <c r="AS4" i="2"/>
  <c r="AR4" i="2"/>
  <c r="AQ4" i="2"/>
  <c r="AP4" i="2"/>
  <c r="AO4" i="2"/>
  <c r="AN4" i="2"/>
  <c r="AM4" i="2"/>
  <c r="AE4" i="2"/>
  <c r="AD4" i="2"/>
  <c r="AC4" i="2"/>
  <c r="Y4" i="2"/>
  <c r="X4" i="2"/>
  <c r="W4" i="2"/>
  <c r="V4" i="2"/>
  <c r="U4" i="2"/>
  <c r="T4" i="2"/>
  <c r="S4" i="2"/>
  <c r="R4" i="2"/>
  <c r="Q4" i="2"/>
  <c r="P4" i="2"/>
  <c r="O4" i="2"/>
  <c r="C4" i="2"/>
  <c r="BE4" i="2" s="1"/>
  <c r="B4" i="2"/>
  <c r="A4" i="2"/>
  <c r="BD4" i="2" s="1"/>
  <c r="BS3" i="2"/>
  <c r="I2" i="3" s="1"/>
  <c r="BO3" i="2"/>
  <c r="BN3" i="2"/>
  <c r="H2" i="3" s="1"/>
  <c r="BM3" i="2"/>
  <c r="G2" i="3" s="1"/>
  <c r="AW3" i="2"/>
  <c r="AV3" i="2"/>
  <c r="AU3" i="2"/>
  <c r="AT3" i="2"/>
  <c r="AS3" i="2"/>
  <c r="AR3" i="2"/>
  <c r="AQ3" i="2"/>
  <c r="AP3" i="2"/>
  <c r="AO3" i="2"/>
  <c r="AN3" i="2"/>
  <c r="AM3" i="2"/>
  <c r="AH3" i="2"/>
  <c r="AG3" i="2"/>
  <c r="AY3" i="2" s="1"/>
  <c r="BG3" i="2" s="1"/>
  <c r="Y3" i="2"/>
  <c r="X3" i="2"/>
  <c r="W3" i="2"/>
  <c r="V3" i="2"/>
  <c r="U3" i="2"/>
  <c r="T3" i="2"/>
  <c r="S3" i="2"/>
  <c r="R3" i="2"/>
  <c r="Q3" i="2"/>
  <c r="P3" i="2"/>
  <c r="O3" i="2"/>
  <c r="C3" i="2"/>
  <c r="BE3" i="2" s="1"/>
  <c r="B3" i="2"/>
  <c r="A3" i="2"/>
  <c r="BD3" i="2" s="1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2" i="2"/>
  <c r="F14" i="1"/>
  <c r="E14" i="1"/>
  <c r="D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G9" i="1" s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AY4" i="2" l="1"/>
  <c r="BG4" i="2" s="1"/>
  <c r="AZ15" i="2"/>
  <c r="AZ38" i="2"/>
  <c r="AY55" i="2"/>
  <c r="BG55" i="2" s="1"/>
  <c r="AZ75" i="2"/>
  <c r="AY83" i="2"/>
  <c r="BG83" i="2" s="1"/>
  <c r="AY216" i="2"/>
  <c r="BG216" i="2" s="1"/>
  <c r="AZ219" i="2"/>
  <c r="AZ4" i="2"/>
  <c r="AY34" i="2"/>
  <c r="BG34" i="2" s="1"/>
  <c r="AY39" i="2"/>
  <c r="BG39" i="2" s="1"/>
  <c r="AY62" i="2"/>
  <c r="BG62" i="2" s="1"/>
  <c r="AZ68" i="2"/>
  <c r="AY113" i="2"/>
  <c r="BG113" i="2" s="1"/>
  <c r="BA217" i="2"/>
  <c r="AZ118" i="2"/>
  <c r="AY21" i="2"/>
  <c r="BG21" i="2" s="1"/>
  <c r="AY36" i="2"/>
  <c r="BG36" i="2" s="1"/>
  <c r="AZ217" i="2"/>
  <c r="AZ236" i="2"/>
  <c r="BA163" i="2"/>
  <c r="AZ233" i="2"/>
  <c r="AZ237" i="2"/>
  <c r="AY11" i="2"/>
  <c r="BG11" i="2" s="1"/>
  <c r="AY30" i="2"/>
  <c r="BG30" i="2" s="1"/>
  <c r="AZ49" i="2"/>
  <c r="AY114" i="2"/>
  <c r="BG114" i="2" s="1"/>
  <c r="AY129" i="2"/>
  <c r="BG129" i="2" s="1"/>
  <c r="AY151" i="2"/>
  <c r="BG151" i="2" s="1"/>
  <c r="BB217" i="2"/>
  <c r="BF217" i="2" s="1"/>
  <c r="AY234" i="2"/>
  <c r="BG234" i="2" s="1"/>
  <c r="AY239" i="2"/>
  <c r="BG239" i="2" s="1"/>
  <c r="AZ12" i="2"/>
  <c r="AY28" i="2"/>
  <c r="BG28" i="2" s="1"/>
  <c r="AY106" i="2"/>
  <c r="BG106" i="2" s="1"/>
  <c r="AZ7" i="2"/>
  <c r="AZ70" i="2"/>
  <c r="AZ114" i="2"/>
  <c r="AY138" i="2"/>
  <c r="BG138" i="2" s="1"/>
  <c r="AZ196" i="2"/>
  <c r="AZ119" i="2"/>
  <c r="AY120" i="2"/>
  <c r="BG120" i="2" s="1"/>
  <c r="AZ155" i="2"/>
  <c r="AY35" i="2"/>
  <c r="BG35" i="2" s="1"/>
  <c r="AY67" i="2"/>
  <c r="BG67" i="2" s="1"/>
  <c r="AZ72" i="2"/>
  <c r="AY73" i="2"/>
  <c r="BG73" i="2" s="1"/>
  <c r="AZ90" i="2"/>
  <c r="AZ159" i="2"/>
  <c r="AY168" i="2"/>
  <c r="BG168" i="2" s="1"/>
  <c r="AY194" i="2"/>
  <c r="BG194" i="2" s="1"/>
  <c r="G10" i="1"/>
  <c r="AY66" i="2"/>
  <c r="BG66" i="2" s="1"/>
  <c r="AY108" i="2"/>
  <c r="BG108" i="2" s="1"/>
  <c r="AZ109" i="2"/>
  <c r="AZ180" i="2"/>
  <c r="BA198" i="2"/>
  <c r="BA108" i="2"/>
  <c r="AZ120" i="2"/>
  <c r="AY125" i="2"/>
  <c r="BG125" i="2" s="1"/>
  <c r="AY128" i="2"/>
  <c r="BG128" i="2" s="1"/>
  <c r="BA176" i="2"/>
  <c r="BA190" i="2"/>
  <c r="AZ201" i="2"/>
  <c r="BA225" i="2"/>
  <c r="AY54" i="2"/>
  <c r="BG54" i="2" s="1"/>
  <c r="BA37" i="2"/>
  <c r="AZ145" i="2"/>
  <c r="BA155" i="2"/>
  <c r="BA191" i="2"/>
  <c r="AY212" i="2"/>
  <c r="BG212" i="2" s="1"/>
  <c r="BA238" i="2"/>
  <c r="BB238" i="2" s="1"/>
  <c r="BF238" i="2" s="1"/>
  <c r="BA239" i="2"/>
  <c r="AY52" i="2"/>
  <c r="BG52" i="2" s="1"/>
  <c r="AZ37" i="2"/>
  <c r="BA50" i="2"/>
  <c r="BA66" i="2"/>
  <c r="AY5" i="2"/>
  <c r="BG5" i="2" s="1"/>
  <c r="BA68" i="2"/>
  <c r="BB68" i="2" s="1"/>
  <c r="BF68" i="2" s="1"/>
  <c r="AY44" i="2"/>
  <c r="BG44" i="2" s="1"/>
  <c r="BA69" i="2"/>
  <c r="AY74" i="2"/>
  <c r="BG74" i="2" s="1"/>
  <c r="BA106" i="2"/>
  <c r="AZ113" i="2"/>
  <c r="AZ173" i="2"/>
  <c r="AY177" i="2"/>
  <c r="BG177" i="2" s="1"/>
  <c r="AZ223" i="2"/>
  <c r="BA231" i="2"/>
  <c r="AY33" i="2"/>
  <c r="BG33" i="2" s="1"/>
  <c r="AZ116" i="2"/>
  <c r="AY121" i="2"/>
  <c r="BG121" i="2" s="1"/>
  <c r="AY137" i="2"/>
  <c r="BG137" i="2" s="1"/>
  <c r="AZ146" i="2"/>
  <c r="AY226" i="2"/>
  <c r="BG226" i="2" s="1"/>
  <c r="BA85" i="2"/>
  <c r="AZ102" i="2"/>
  <c r="BA9" i="2"/>
  <c r="AZ53" i="2"/>
  <c r="AZ83" i="2"/>
  <c r="AZ89" i="2"/>
  <c r="AZ93" i="2"/>
  <c r="BA7" i="2"/>
  <c r="BA8" i="2"/>
  <c r="AY13" i="2"/>
  <c r="BG13" i="2" s="1"/>
  <c r="AY16" i="2"/>
  <c r="BG16" i="2" s="1"/>
  <c r="AY17" i="2"/>
  <c r="BG17" i="2" s="1"/>
  <c r="AY18" i="2"/>
  <c r="BG18" i="2" s="1"/>
  <c r="AY19" i="2"/>
  <c r="BG19" i="2" s="1"/>
  <c r="AY23" i="2"/>
  <c r="BG23" i="2" s="1"/>
  <c r="AY57" i="2"/>
  <c r="BG57" i="2" s="1"/>
  <c r="AY80" i="2"/>
  <c r="BG80" i="2" s="1"/>
  <c r="AZ82" i="2"/>
  <c r="AY88" i="2"/>
  <c r="BG88" i="2" s="1"/>
  <c r="AZ98" i="2"/>
  <c r="AY112" i="2"/>
  <c r="BG112" i="2" s="1"/>
  <c r="BA113" i="2"/>
  <c r="AY115" i="2"/>
  <c r="BG115" i="2" s="1"/>
  <c r="AY142" i="2"/>
  <c r="BG142" i="2" s="1"/>
  <c r="AZ150" i="2"/>
  <c r="BA151" i="2"/>
  <c r="BB151" i="2" s="1"/>
  <c r="BF151" i="2" s="1"/>
  <c r="AZ162" i="2"/>
  <c r="AY166" i="2"/>
  <c r="BG166" i="2" s="1"/>
  <c r="AY169" i="2"/>
  <c r="BG169" i="2" s="1"/>
  <c r="AY175" i="2"/>
  <c r="BG175" i="2" s="1"/>
  <c r="BA186" i="2"/>
  <c r="AY187" i="2"/>
  <c r="BG187" i="2" s="1"/>
  <c r="BA212" i="2"/>
  <c r="AZ228" i="2"/>
  <c r="BA15" i="2"/>
  <c r="BB15" i="2" s="1"/>
  <c r="BF15" i="2" s="1"/>
  <c r="AY26" i="2"/>
  <c r="BG26" i="2" s="1"/>
  <c r="BA36" i="2"/>
  <c r="AY41" i="2"/>
  <c r="BG41" i="2" s="1"/>
  <c r="AY65" i="2"/>
  <c r="BG65" i="2" s="1"/>
  <c r="AY71" i="2"/>
  <c r="BG71" i="2" s="1"/>
  <c r="BA72" i="2"/>
  <c r="AZ74" i="2"/>
  <c r="AY77" i="2"/>
  <c r="BG77" i="2" s="1"/>
  <c r="BA79" i="2"/>
  <c r="BA80" i="2"/>
  <c r="AY81" i="2"/>
  <c r="BG81" i="2" s="1"/>
  <c r="BA92" i="2"/>
  <c r="AZ105" i="2"/>
  <c r="AY122" i="2"/>
  <c r="BG122" i="2" s="1"/>
  <c r="AY124" i="2"/>
  <c r="BG124" i="2" s="1"/>
  <c r="BA125" i="2"/>
  <c r="AZ128" i="2"/>
  <c r="BA129" i="2"/>
  <c r="AY133" i="2"/>
  <c r="BG133" i="2" s="1"/>
  <c r="AZ134" i="2"/>
  <c r="BB134" i="2" s="1"/>
  <c r="BF134" i="2" s="1"/>
  <c r="AY136" i="2"/>
  <c r="BG136" i="2" s="1"/>
  <c r="AY140" i="2"/>
  <c r="BG140" i="2" s="1"/>
  <c r="BA146" i="2"/>
  <c r="AY164" i="2"/>
  <c r="BG164" i="2" s="1"/>
  <c r="BA174" i="2"/>
  <c r="AY179" i="2"/>
  <c r="BG179" i="2" s="1"/>
  <c r="BA180" i="2"/>
  <c r="AZ183" i="2"/>
  <c r="BA195" i="2"/>
  <c r="BA237" i="2"/>
  <c r="BB237" i="2" s="1"/>
  <c r="BF237" i="2" s="1"/>
  <c r="BA22" i="2"/>
  <c r="BB22" i="2" s="1"/>
  <c r="BF22" i="2" s="1"/>
  <c r="G11" i="1"/>
  <c r="G12" i="1" s="1"/>
  <c r="G13" i="1" s="1"/>
  <c r="G14" i="1" s="1"/>
  <c r="BA5" i="2"/>
  <c r="BA11" i="2"/>
  <c r="BA13" i="2"/>
  <c r="BA40" i="2"/>
  <c r="BA47" i="2"/>
  <c r="AY59" i="2"/>
  <c r="BG59" i="2" s="1"/>
  <c r="BA91" i="2"/>
  <c r="BA100" i="2"/>
  <c r="BA103" i="2"/>
  <c r="BA130" i="2"/>
  <c r="BA133" i="2"/>
  <c r="BB133" i="2" s="1"/>
  <c r="BF133" i="2" s="1"/>
  <c r="BA138" i="2"/>
  <c r="BA147" i="2"/>
  <c r="AZ157" i="2"/>
  <c r="AY161" i="2"/>
  <c r="BG161" i="2" s="1"/>
  <c r="BA162" i="2"/>
  <c r="BB162" i="2" s="1"/>
  <c r="BF162" i="2" s="1"/>
  <c r="AY165" i="2"/>
  <c r="BG165" i="2" s="1"/>
  <c r="BA168" i="2"/>
  <c r="AZ177" i="2"/>
  <c r="AY182" i="2"/>
  <c r="BG182" i="2" s="1"/>
  <c r="AY188" i="2"/>
  <c r="BG188" i="2" s="1"/>
  <c r="AY189" i="2"/>
  <c r="BG189" i="2" s="1"/>
  <c r="BA206" i="2"/>
  <c r="BA230" i="2"/>
  <c r="BA234" i="2"/>
  <c r="BB234" i="2" s="1"/>
  <c r="BF234" i="2" s="1"/>
  <c r="AZ3" i="2"/>
  <c r="AZ11" i="2"/>
  <c r="AZ27" i="2"/>
  <c r="AZ16" i="2"/>
  <c r="AY29" i="2"/>
  <c r="BG29" i="2" s="1"/>
  <c r="BA52" i="2"/>
  <c r="BA6" i="2"/>
  <c r="AZ36" i="2"/>
  <c r="AZ44" i="2"/>
  <c r="AY45" i="2"/>
  <c r="BG45" i="2" s="1"/>
  <c r="BA65" i="2"/>
  <c r="BA71" i="2"/>
  <c r="BA73" i="2"/>
  <c r="BB73" i="2" s="1"/>
  <c r="BF73" i="2" s="1"/>
  <c r="BA81" i="2"/>
  <c r="BA86" i="2"/>
  <c r="AY117" i="2"/>
  <c r="BG117" i="2" s="1"/>
  <c r="BA134" i="2"/>
  <c r="AZ139" i="2"/>
  <c r="AZ141" i="2"/>
  <c r="BA153" i="2"/>
  <c r="AY156" i="2"/>
  <c r="BG156" i="2" s="1"/>
  <c r="AY163" i="2"/>
  <c r="BG163" i="2" s="1"/>
  <c r="BA165" i="2"/>
  <c r="AY167" i="2"/>
  <c r="BG167" i="2" s="1"/>
  <c r="BA170" i="2"/>
  <c r="BA171" i="2"/>
  <c r="BA184" i="2"/>
  <c r="AY186" i="2"/>
  <c r="BG186" i="2" s="1"/>
  <c r="AY191" i="2"/>
  <c r="BG191" i="2" s="1"/>
  <c r="AY192" i="2"/>
  <c r="BG192" i="2" s="1"/>
  <c r="BA202" i="2"/>
  <c r="AY204" i="2"/>
  <c r="BG204" i="2" s="1"/>
  <c r="BA209" i="2"/>
  <c r="BA218" i="2"/>
  <c r="BB218" i="2" s="1"/>
  <c r="BF218" i="2" s="1"/>
  <c r="BA12" i="2"/>
  <c r="AZ13" i="2"/>
  <c r="BA14" i="2"/>
  <c r="AY14" i="2"/>
  <c r="BG14" i="2" s="1"/>
  <c r="AY38" i="2"/>
  <c r="BG38" i="2" s="1"/>
  <c r="AY43" i="2"/>
  <c r="BG43" i="2" s="1"/>
  <c r="AY72" i="2"/>
  <c r="BG72" i="2" s="1"/>
  <c r="BA82" i="2"/>
  <c r="BA83" i="2"/>
  <c r="BB83" i="2" s="1"/>
  <c r="BF83" i="2" s="1"/>
  <c r="AY102" i="2"/>
  <c r="BG102" i="2" s="1"/>
  <c r="BA114" i="2"/>
  <c r="AZ125" i="2"/>
  <c r="BA127" i="2"/>
  <c r="BA142" i="2"/>
  <c r="BB142" i="2" s="1"/>
  <c r="BF142" i="2" s="1"/>
  <c r="AY149" i="2"/>
  <c r="BG149" i="2" s="1"/>
  <c r="AY154" i="2"/>
  <c r="BG154" i="2" s="1"/>
  <c r="AZ161" i="2"/>
  <c r="AY171" i="2"/>
  <c r="BG171" i="2" s="1"/>
  <c r="AY173" i="2"/>
  <c r="BG173" i="2" s="1"/>
  <c r="BA189" i="2"/>
  <c r="BA193" i="2"/>
  <c r="BA219" i="2"/>
  <c r="BA208" i="2"/>
  <c r="AZ211" i="2"/>
  <c r="AZ212" i="2"/>
  <c r="BB212" i="2" s="1"/>
  <c r="BF212" i="2" s="1"/>
  <c r="AZ224" i="2"/>
  <c r="BA54" i="2"/>
  <c r="BB54" i="2" s="1"/>
  <c r="BF54" i="2" s="1"/>
  <c r="BA74" i="2"/>
  <c r="BA84" i="2"/>
  <c r="BA87" i="2"/>
  <c r="AZ87" i="2"/>
  <c r="BA88" i="2"/>
  <c r="BA97" i="2"/>
  <c r="BB97" i="2" s="1"/>
  <c r="BF97" i="2" s="1"/>
  <c r="BA104" i="2"/>
  <c r="AZ115" i="2"/>
  <c r="BA118" i="2"/>
  <c r="BB118" i="2" s="1"/>
  <c r="BF118" i="2" s="1"/>
  <c r="BA120" i="2"/>
  <c r="BB120" i="2" s="1"/>
  <c r="BF120" i="2" s="1"/>
  <c r="AZ123" i="2"/>
  <c r="AY131" i="2"/>
  <c r="BG131" i="2" s="1"/>
  <c r="AY135" i="2"/>
  <c r="BG135" i="2" s="1"/>
  <c r="BA139" i="2"/>
  <c r="BA143" i="2"/>
  <c r="BB143" i="2" s="1"/>
  <c r="BF143" i="2" s="1"/>
  <c r="BA159" i="2"/>
  <c r="BA164" i="2"/>
  <c r="AZ164" i="2"/>
  <c r="AZ168" i="2"/>
  <c r="AZ187" i="2"/>
  <c r="AZ190" i="2"/>
  <c r="AZ207" i="2"/>
  <c r="AZ229" i="2"/>
  <c r="AY233" i="2"/>
  <c r="BG233" i="2" s="1"/>
  <c r="AZ52" i="2"/>
  <c r="AZ6" i="2"/>
  <c r="BA44" i="2"/>
  <c r="BA48" i="2"/>
  <c r="BA55" i="2"/>
  <c r="BB55" i="2" s="1"/>
  <c r="BF55" i="2" s="1"/>
  <c r="BA57" i="2"/>
  <c r="BB57" i="2" s="1"/>
  <c r="BF57" i="2" s="1"/>
  <c r="AY60" i="2"/>
  <c r="BG60" i="2" s="1"/>
  <c r="BA98" i="2"/>
  <c r="AY98" i="2"/>
  <c r="BG98" i="2" s="1"/>
  <c r="BA99" i="2"/>
  <c r="AZ130" i="2"/>
  <c r="BA132" i="2"/>
  <c r="AZ135" i="2"/>
  <c r="BA140" i="2"/>
  <c r="BB140" i="2" s="1"/>
  <c r="BF140" i="2" s="1"/>
  <c r="BA150" i="2"/>
  <c r="BB150" i="2" s="1"/>
  <c r="BF150" i="2" s="1"/>
  <c r="AY158" i="2"/>
  <c r="BG158" i="2" s="1"/>
  <c r="BA178" i="2"/>
  <c r="AY228" i="2"/>
  <c r="BG228" i="2" s="1"/>
  <c r="BA49" i="2"/>
  <c r="BA107" i="2"/>
  <c r="AZ22" i="2"/>
  <c r="AZ65" i="2"/>
  <c r="AY12" i="2"/>
  <c r="BG12" i="2" s="1"/>
  <c r="AZ18" i="2"/>
  <c r="AY7" i="2"/>
  <c r="BG7" i="2" s="1"/>
  <c r="AZ14" i="2"/>
  <c r="AZ19" i="2"/>
  <c r="AZ20" i="2"/>
  <c r="AZ24" i="2"/>
  <c r="AY32" i="2"/>
  <c r="BG32" i="2" s="1"/>
  <c r="BA38" i="2"/>
  <c r="BA56" i="2"/>
  <c r="BA70" i="2"/>
  <c r="BA76" i="2"/>
  <c r="BA95" i="2"/>
  <c r="AY100" i="2"/>
  <c r="BG100" i="2" s="1"/>
  <c r="AY101" i="2"/>
  <c r="BG101" i="2" s="1"/>
  <c r="AZ107" i="2"/>
  <c r="AZ110" i="2"/>
  <c r="BA112" i="2"/>
  <c r="BB112" i="2" s="1"/>
  <c r="BF112" i="2" s="1"/>
  <c r="AY118" i="2"/>
  <c r="BG118" i="2" s="1"/>
  <c r="AZ158" i="2"/>
  <c r="AY172" i="2"/>
  <c r="BG172" i="2" s="1"/>
  <c r="BA177" i="2"/>
  <c r="AZ185" i="2"/>
  <c r="AZ193" i="2"/>
  <c r="BA204" i="2"/>
  <c r="AY214" i="2"/>
  <c r="BG214" i="2" s="1"/>
  <c r="BA226" i="2"/>
  <c r="BB226" i="2" s="1"/>
  <c r="BF226" i="2" s="1"/>
  <c r="BA228" i="2"/>
  <c r="BA229" i="2"/>
  <c r="BA236" i="2"/>
  <c r="BB236" i="2" s="1"/>
  <c r="BF236" i="2" s="1"/>
  <c r="BA4" i="2"/>
  <c r="BB4" i="2" s="1"/>
  <c r="BF4" i="2" s="1"/>
  <c r="AZ5" i="2"/>
  <c r="BB5" i="2" s="1"/>
  <c r="BF5" i="2" s="1"/>
  <c r="BA16" i="2"/>
  <c r="AZ8" i="2"/>
  <c r="BB8" i="2" s="1"/>
  <c r="BF8" i="2" s="1"/>
  <c r="AZ9" i="2"/>
  <c r="AY9" i="2"/>
  <c r="BG9" i="2" s="1"/>
  <c r="AY10" i="2"/>
  <c r="BG10" i="2" s="1"/>
  <c r="AZ108" i="2"/>
  <c r="BB108" i="2" s="1"/>
  <c r="BF108" i="2" s="1"/>
  <c r="AZ78" i="2"/>
  <c r="AZ63" i="2"/>
  <c r="BA10" i="2"/>
  <c r="BA17" i="2"/>
  <c r="AZ17" i="2"/>
  <c r="AY20" i="2"/>
  <c r="BG20" i="2" s="1"/>
  <c r="BA23" i="2"/>
  <c r="BA26" i="2"/>
  <c r="BA32" i="2"/>
  <c r="AY42" i="2"/>
  <c r="BG42" i="2" s="1"/>
  <c r="AZ42" i="2"/>
  <c r="AY6" i="2"/>
  <c r="BG6" i="2" s="1"/>
  <c r="BA20" i="2"/>
  <c r="BA24" i="2"/>
  <c r="AZ25" i="2"/>
  <c r="BA28" i="2"/>
  <c r="AZ21" i="2"/>
  <c r="AY22" i="2"/>
  <c r="BG22" i="2" s="1"/>
  <c r="BA27" i="2"/>
  <c r="AY27" i="2"/>
  <c r="BG27" i="2" s="1"/>
  <c r="BA30" i="2"/>
  <c r="BA33" i="2"/>
  <c r="BA35" i="2"/>
  <c r="BA21" i="2"/>
  <c r="BA25" i="2"/>
  <c r="BA42" i="2"/>
  <c r="BA3" i="2"/>
  <c r="BB3" i="2" s="1"/>
  <c r="BF3" i="2" s="1"/>
  <c r="BA19" i="2"/>
  <c r="BB19" i="2" s="1"/>
  <c r="BF19" i="2" s="1"/>
  <c r="AY37" i="2"/>
  <c r="BG37" i="2" s="1"/>
  <c r="AZ40" i="2"/>
  <c r="AY40" i="2"/>
  <c r="BG40" i="2" s="1"/>
  <c r="AZ165" i="2"/>
  <c r="AZ81" i="2"/>
  <c r="AZ31" i="2"/>
  <c r="AY31" i="2"/>
  <c r="BG31" i="2" s="1"/>
  <c r="AZ191" i="2"/>
  <c r="BB191" i="2" s="1"/>
  <c r="BF191" i="2" s="1"/>
  <c r="AZ117" i="2"/>
  <c r="AZ106" i="2"/>
  <c r="BB106" i="2" s="1"/>
  <c r="BF106" i="2" s="1"/>
  <c r="AZ41" i="2"/>
  <c r="BA18" i="2"/>
  <c r="BB18" i="2" s="1"/>
  <c r="BF18" i="2" s="1"/>
  <c r="AY25" i="2"/>
  <c r="BG25" i="2" s="1"/>
  <c r="AZ23" i="2"/>
  <c r="BA29" i="2"/>
  <c r="BB29" i="2" s="1"/>
  <c r="BF29" i="2" s="1"/>
  <c r="BA34" i="2"/>
  <c r="AY47" i="2"/>
  <c r="BG47" i="2" s="1"/>
  <c r="AZ69" i="2"/>
  <c r="BA41" i="2"/>
  <c r="AZ46" i="2"/>
  <c r="AY46" i="2"/>
  <c r="BG46" i="2" s="1"/>
  <c r="AY48" i="2"/>
  <c r="BG48" i="2" s="1"/>
  <c r="AY51" i="2"/>
  <c r="BG51" i="2" s="1"/>
  <c r="AZ61" i="2"/>
  <c r="BA63" i="2"/>
  <c r="AZ47" i="2"/>
  <c r="AZ56" i="2"/>
  <c r="AY56" i="2"/>
  <c r="BG56" i="2" s="1"/>
  <c r="AZ58" i="2"/>
  <c r="AZ60" i="2"/>
  <c r="BA61" i="2"/>
  <c r="BA93" i="2"/>
  <c r="BB93" i="2" s="1"/>
  <c r="BF93" i="2" s="1"/>
  <c r="BA46" i="2"/>
  <c r="AZ50" i="2"/>
  <c r="AY50" i="2"/>
  <c r="BG50" i="2" s="1"/>
  <c r="BA51" i="2"/>
  <c r="BA58" i="2"/>
  <c r="BA60" i="2"/>
  <c r="AZ62" i="2"/>
  <c r="AY64" i="2"/>
  <c r="BG64" i="2" s="1"/>
  <c r="AZ79" i="2"/>
  <c r="AY111" i="2"/>
  <c r="BG111" i="2" s="1"/>
  <c r="AZ111" i="2"/>
  <c r="AZ28" i="2"/>
  <c r="AZ30" i="2"/>
  <c r="BA31" i="2"/>
  <c r="AZ32" i="2"/>
  <c r="AZ34" i="2"/>
  <c r="BA53" i="2"/>
  <c r="BA62" i="2"/>
  <c r="BA64" i="2"/>
  <c r="AZ48" i="2"/>
  <c r="AZ59" i="2"/>
  <c r="BA77" i="2"/>
  <c r="AZ91" i="2"/>
  <c r="AY91" i="2"/>
  <c r="BG91" i="2" s="1"/>
  <c r="AZ43" i="2"/>
  <c r="AZ45" i="2"/>
  <c r="BA59" i="2"/>
  <c r="AZ94" i="2"/>
  <c r="AY94" i="2"/>
  <c r="BG94" i="2" s="1"/>
  <c r="AZ35" i="2"/>
  <c r="BA39" i="2"/>
  <c r="BB39" i="2" s="1"/>
  <c r="BF39" i="2" s="1"/>
  <c r="BA43" i="2"/>
  <c r="BA45" i="2"/>
  <c r="AY49" i="2"/>
  <c r="BG49" i="2" s="1"/>
  <c r="AY63" i="2"/>
  <c r="BG63" i="2" s="1"/>
  <c r="AZ64" i="2"/>
  <c r="AZ99" i="2"/>
  <c r="AY99" i="2"/>
  <c r="BG99" i="2" s="1"/>
  <c r="AZ77" i="2"/>
  <c r="BA78" i="2"/>
  <c r="AZ85" i="2"/>
  <c r="AY85" i="2"/>
  <c r="BG85" i="2" s="1"/>
  <c r="BA89" i="2"/>
  <c r="BB89" i="2" s="1"/>
  <c r="BF89" i="2" s="1"/>
  <c r="AZ101" i="2"/>
  <c r="BB113" i="2"/>
  <c r="BF113" i="2" s="1"/>
  <c r="AZ126" i="2"/>
  <c r="AY126" i="2"/>
  <c r="BG126" i="2" s="1"/>
  <c r="AZ144" i="2"/>
  <c r="AY144" i="2"/>
  <c r="BG144" i="2" s="1"/>
  <c r="AZ153" i="2"/>
  <c r="BA156" i="2"/>
  <c r="BB156" i="2" s="1"/>
  <c r="BF156" i="2" s="1"/>
  <c r="BA169" i="2"/>
  <c r="BA183" i="2"/>
  <c r="BA185" i="2"/>
  <c r="AZ76" i="2"/>
  <c r="AY76" i="2"/>
  <c r="BG76" i="2" s="1"/>
  <c r="AZ92" i="2"/>
  <c r="AY92" i="2"/>
  <c r="BG92" i="2" s="1"/>
  <c r="BA101" i="2"/>
  <c r="BA105" i="2"/>
  <c r="BB105" i="2" s="1"/>
  <c r="BF105" i="2" s="1"/>
  <c r="AY107" i="2"/>
  <c r="BG107" i="2" s="1"/>
  <c r="AY109" i="2"/>
  <c r="BG109" i="2" s="1"/>
  <c r="BA111" i="2"/>
  <c r="AY116" i="2"/>
  <c r="BG116" i="2" s="1"/>
  <c r="BA119" i="2"/>
  <c r="BA126" i="2"/>
  <c r="AY130" i="2"/>
  <c r="AZ136" i="2"/>
  <c r="BA157" i="2"/>
  <c r="AZ167" i="2"/>
  <c r="BA67" i="2"/>
  <c r="AY69" i="2"/>
  <c r="BG69" i="2" s="1"/>
  <c r="AY84" i="2"/>
  <c r="BG84" i="2" s="1"/>
  <c r="AZ86" i="2"/>
  <c r="AY86" i="2"/>
  <c r="BG86" i="2" s="1"/>
  <c r="BA94" i="2"/>
  <c r="AZ95" i="2"/>
  <c r="AY127" i="2"/>
  <c r="BG127" i="2" s="1"/>
  <c r="AZ127" i="2"/>
  <c r="AZ149" i="2"/>
  <c r="BA181" i="2"/>
  <c r="AZ66" i="2"/>
  <c r="BA75" i="2"/>
  <c r="BB75" i="2" s="1"/>
  <c r="BF75" i="2" s="1"/>
  <c r="AY79" i="2"/>
  <c r="BG79" i="2" s="1"/>
  <c r="AZ80" i="2"/>
  <c r="BB80" i="2" s="1"/>
  <c r="BF80" i="2" s="1"/>
  <c r="AY87" i="2"/>
  <c r="BG87" i="2" s="1"/>
  <c r="BA90" i="2"/>
  <c r="BA102" i="2"/>
  <c r="BA109" i="2"/>
  <c r="BA110" i="2"/>
  <c r="AY119" i="2"/>
  <c r="BG119" i="2" s="1"/>
  <c r="BA122" i="2"/>
  <c r="BB122" i="2" s="1"/>
  <c r="BF122" i="2" s="1"/>
  <c r="BA123" i="2"/>
  <c r="AZ129" i="2"/>
  <c r="BB129" i="2" s="1"/>
  <c r="BF129" i="2" s="1"/>
  <c r="BA135" i="2"/>
  <c r="AZ137" i="2"/>
  <c r="BA141" i="2"/>
  <c r="AZ152" i="2"/>
  <c r="AY152" i="2"/>
  <c r="BG152" i="2" s="1"/>
  <c r="AY148" i="2"/>
  <c r="BG148" i="2" s="1"/>
  <c r="AZ148" i="2"/>
  <c r="AY90" i="2"/>
  <c r="BG90" i="2" s="1"/>
  <c r="BA96" i="2"/>
  <c r="BB96" i="2" s="1"/>
  <c r="BF96" i="2" s="1"/>
  <c r="AZ131" i="2"/>
  <c r="BA145" i="2"/>
  <c r="BB145" i="2" s="1"/>
  <c r="BF145" i="2" s="1"/>
  <c r="AY147" i="2"/>
  <c r="BG147" i="2" s="1"/>
  <c r="AZ147" i="2"/>
  <c r="BA158" i="2"/>
  <c r="BA160" i="2"/>
  <c r="BA161" i="2"/>
  <c r="AZ166" i="2"/>
  <c r="AY78" i="2"/>
  <c r="BG78" i="2" s="1"/>
  <c r="AZ84" i="2"/>
  <c r="AZ103" i="2"/>
  <c r="BA115" i="2"/>
  <c r="BA116" i="2"/>
  <c r="AZ121" i="2"/>
  <c r="AY123" i="2"/>
  <c r="BG123" i="2" s="1"/>
  <c r="BA124" i="2"/>
  <c r="BB124" i="2" s="1"/>
  <c r="BF124" i="2" s="1"/>
  <c r="BA128" i="2"/>
  <c r="BA131" i="2"/>
  <c r="AZ132" i="2"/>
  <c r="AY132" i="2"/>
  <c r="BG132" i="2" s="1"/>
  <c r="BA144" i="2"/>
  <c r="BA166" i="2"/>
  <c r="BA117" i="2"/>
  <c r="BA121" i="2"/>
  <c r="BA154" i="2"/>
  <c r="AY160" i="2"/>
  <c r="BG160" i="2" s="1"/>
  <c r="AZ160" i="2"/>
  <c r="AY104" i="2"/>
  <c r="BG104" i="2" s="1"/>
  <c r="AY139" i="2"/>
  <c r="BG139" i="2" s="1"/>
  <c r="BA175" i="2"/>
  <c r="BA179" i="2"/>
  <c r="BA182" i="2"/>
  <c r="BA136" i="2"/>
  <c r="BA149" i="2"/>
  <c r="AY157" i="2"/>
  <c r="BG157" i="2" s="1"/>
  <c r="BA173" i="2"/>
  <c r="AZ176" i="2"/>
  <c r="BA188" i="2"/>
  <c r="BA201" i="2"/>
  <c r="AZ138" i="2"/>
  <c r="AY141" i="2"/>
  <c r="BG141" i="2" s="1"/>
  <c r="AZ163" i="2"/>
  <c r="AY180" i="2"/>
  <c r="BG180" i="2" s="1"/>
  <c r="AY153" i="2"/>
  <c r="BG153" i="2" s="1"/>
  <c r="BA167" i="2"/>
  <c r="AY170" i="2"/>
  <c r="BG170" i="2" s="1"/>
  <c r="AZ174" i="2"/>
  <c r="BB174" i="2" s="1"/>
  <c r="BF174" i="2" s="1"/>
  <c r="AZ178" i="2"/>
  <c r="BB178" i="2" s="1"/>
  <c r="BF178" i="2" s="1"/>
  <c r="BA192" i="2"/>
  <c r="AY184" i="2"/>
  <c r="BG184" i="2" s="1"/>
  <c r="BA194" i="2"/>
  <c r="BB194" i="2" s="1"/>
  <c r="BF194" i="2" s="1"/>
  <c r="AY95" i="2"/>
  <c r="BG95" i="2" s="1"/>
  <c r="AZ154" i="2"/>
  <c r="AY155" i="2"/>
  <c r="BG155" i="2" s="1"/>
  <c r="AZ170" i="2"/>
  <c r="AZ184" i="2"/>
  <c r="BA197" i="2"/>
  <c r="BA137" i="2"/>
  <c r="BA148" i="2"/>
  <c r="BA152" i="2"/>
  <c r="AZ169" i="2"/>
  <c r="AZ171" i="2"/>
  <c r="BB171" i="2" s="1"/>
  <c r="BF171" i="2" s="1"/>
  <c r="BA172" i="2"/>
  <c r="BB172" i="2" s="1"/>
  <c r="BF172" i="2" s="1"/>
  <c r="AZ175" i="2"/>
  <c r="AY176" i="2"/>
  <c r="BG176" i="2" s="1"/>
  <c r="AZ179" i="2"/>
  <c r="BA187" i="2"/>
  <c r="AZ220" i="2"/>
  <c r="AY220" i="2"/>
  <c r="BG220" i="2" s="1"/>
  <c r="AZ221" i="2"/>
  <c r="AY221" i="2"/>
  <c r="BG221" i="2" s="1"/>
  <c r="AZ235" i="2"/>
  <c r="BA196" i="2"/>
  <c r="AZ198" i="2"/>
  <c r="BA203" i="2"/>
  <c r="AZ231" i="2"/>
  <c r="AY231" i="2"/>
  <c r="BG231" i="2" s="1"/>
  <c r="AZ232" i="2"/>
  <c r="BA235" i="2"/>
  <c r="AZ200" i="2"/>
  <c r="BA205" i="2"/>
  <c r="AZ209" i="2"/>
  <c r="AY209" i="2"/>
  <c r="BG209" i="2" s="1"/>
  <c r="AZ210" i="2"/>
  <c r="AY210" i="2"/>
  <c r="BG210" i="2" s="1"/>
  <c r="AY211" i="2"/>
  <c r="BG211" i="2" s="1"/>
  <c r="AZ213" i="2"/>
  <c r="AY224" i="2"/>
  <c r="BG224" i="2" s="1"/>
  <c r="BA232" i="2"/>
  <c r="V12" i="3"/>
  <c r="Y7" i="3" s="1"/>
  <c r="Z7" i="3" s="1"/>
  <c r="BA199" i="2"/>
  <c r="AZ203" i="2"/>
  <c r="AY203" i="2"/>
  <c r="BG203" i="2" s="1"/>
  <c r="AZ215" i="2"/>
  <c r="AY215" i="2"/>
  <c r="BG215" i="2" s="1"/>
  <c r="AZ227" i="2"/>
  <c r="Z26" i="3"/>
  <c r="Z33" i="3"/>
  <c r="AZ195" i="2"/>
  <c r="AY195" i="2"/>
  <c r="BG195" i="2" s="1"/>
  <c r="BA200" i="2"/>
  <c r="AZ204" i="2"/>
  <c r="BA207" i="2"/>
  <c r="BA213" i="2"/>
  <c r="BA214" i="2"/>
  <c r="AZ214" i="2"/>
  <c r="BA215" i="2"/>
  <c r="AZ199" i="2"/>
  <c r="AY199" i="2"/>
  <c r="BG199" i="2" s="1"/>
  <c r="AZ205" i="2"/>
  <c r="AY205" i="2"/>
  <c r="BG205" i="2" s="1"/>
  <c r="AZ208" i="2"/>
  <c r="BA221" i="2"/>
  <c r="Z40" i="3"/>
  <c r="AY181" i="2"/>
  <c r="BG181" i="2" s="1"/>
  <c r="AZ188" i="2"/>
  <c r="AZ197" i="2"/>
  <c r="AY197" i="2"/>
  <c r="BG197" i="2" s="1"/>
  <c r="BA216" i="2"/>
  <c r="BB216" i="2" s="1"/>
  <c r="BF216" i="2" s="1"/>
  <c r="BA220" i="2"/>
  <c r="BA222" i="2"/>
  <c r="BA224" i="2"/>
  <c r="BA227" i="2"/>
  <c r="BA233" i="2"/>
  <c r="BB233" i="2" s="1"/>
  <c r="BF233" i="2" s="1"/>
  <c r="AZ239" i="2"/>
  <c r="Z2" i="3"/>
  <c r="AY190" i="2"/>
  <c r="BG190" i="2" s="1"/>
  <c r="AY193" i="2"/>
  <c r="BG193" i="2" s="1"/>
  <c r="AY201" i="2"/>
  <c r="BG201" i="2" s="1"/>
  <c r="AY207" i="2"/>
  <c r="BG207" i="2" s="1"/>
  <c r="BA210" i="2"/>
  <c r="BA211" i="2"/>
  <c r="BA223" i="2"/>
  <c r="AZ230" i="2"/>
  <c r="AY230" i="2"/>
  <c r="BG230" i="2" s="1"/>
  <c r="Z9" i="3"/>
  <c r="U54" i="3"/>
  <c r="X28" i="3" s="1"/>
  <c r="Z28" i="3" s="1"/>
  <c r="AY232" i="2"/>
  <c r="BG232" i="2" s="1"/>
  <c r="Z27" i="3"/>
  <c r="AY206" i="2"/>
  <c r="BG206" i="2" s="1"/>
  <c r="AY222" i="2"/>
  <c r="BG222" i="2" s="1"/>
  <c r="AY223" i="2"/>
  <c r="BG223" i="2" s="1"/>
  <c r="AY225" i="2"/>
  <c r="BG225" i="2" s="1"/>
  <c r="AY227" i="2"/>
  <c r="BG227" i="2" s="1"/>
  <c r="Z11" i="3"/>
  <c r="V24" i="3"/>
  <c r="Y13" i="3" s="1"/>
  <c r="Z13" i="3" s="1"/>
  <c r="U28" i="3"/>
  <c r="X15" i="3" s="1"/>
  <c r="Z32" i="3"/>
  <c r="Z38" i="3"/>
  <c r="V44" i="3"/>
  <c r="Y23" i="3" s="1"/>
  <c r="Z23" i="3" s="1"/>
  <c r="U88" i="3"/>
  <c r="X45" i="3" s="1"/>
  <c r="Z45" i="3" s="1"/>
  <c r="V110" i="3"/>
  <c r="Y56" i="3" s="1"/>
  <c r="Z56" i="3" s="1"/>
  <c r="V28" i="3"/>
  <c r="Y15" i="3" s="1"/>
  <c r="V36" i="3"/>
  <c r="Y19" i="3" s="1"/>
  <c r="Z19" i="3" s="1"/>
  <c r="U40" i="3"/>
  <c r="X21" i="3" s="1"/>
  <c r="Z21" i="3" s="1"/>
  <c r="AY200" i="2"/>
  <c r="BG200" i="2" s="1"/>
  <c r="AY213" i="2"/>
  <c r="BG213" i="2" s="1"/>
  <c r="V30" i="3"/>
  <c r="Y16" i="3" s="1"/>
  <c r="Z17" i="3"/>
  <c r="AY198" i="2"/>
  <c r="BG198" i="2" s="1"/>
  <c r="AY202" i="2"/>
  <c r="BG202" i="2" s="1"/>
  <c r="AY208" i="2"/>
  <c r="BG208" i="2" s="1"/>
  <c r="V22" i="3"/>
  <c r="Y12" i="3" s="1"/>
  <c r="Z12" i="3" s="1"/>
  <c r="Z14" i="3"/>
  <c r="U30" i="3"/>
  <c r="X16" i="3" s="1"/>
  <c r="V18" i="3"/>
  <c r="Y10" i="3" s="1"/>
  <c r="Z10" i="3" s="1"/>
  <c r="U22" i="3"/>
  <c r="X12" i="3" s="1"/>
  <c r="Z53" i="3"/>
  <c r="V66" i="3"/>
  <c r="Y34" i="3" s="1"/>
  <c r="U62" i="3"/>
  <c r="X32" i="3" s="1"/>
  <c r="V68" i="3"/>
  <c r="Y35" i="3" s="1"/>
  <c r="Z35" i="3" s="1"/>
  <c r="U76" i="3"/>
  <c r="X39" i="3" s="1"/>
  <c r="Z39" i="3" s="1"/>
  <c r="U78" i="3"/>
  <c r="X40" i="3" s="1"/>
  <c r="V82" i="3"/>
  <c r="Y42" i="3" s="1"/>
  <c r="U64" i="3"/>
  <c r="X33" i="3" s="1"/>
  <c r="U80" i="3"/>
  <c r="X41" i="3" s="1"/>
  <c r="Z41" i="3" s="1"/>
  <c r="U66" i="3"/>
  <c r="X34" i="3" s="1"/>
  <c r="U82" i="3"/>
  <c r="X42" i="3" s="1"/>
  <c r="V100" i="3"/>
  <c r="Y51" i="3" s="1"/>
  <c r="Z51" i="3" s="1"/>
  <c r="U102" i="3"/>
  <c r="X52" i="3" s="1"/>
  <c r="Z52" i="3" s="1"/>
  <c r="U68" i="3"/>
  <c r="X35" i="3" s="1"/>
  <c r="U74" i="3"/>
  <c r="X38" i="3" s="1"/>
  <c r="BB239" i="2" l="1"/>
  <c r="BF239" i="2" s="1"/>
  <c r="BB114" i="2"/>
  <c r="BF114" i="2" s="1"/>
  <c r="BB81" i="2"/>
  <c r="BF81" i="2" s="1"/>
  <c r="BB65" i="2"/>
  <c r="BF65" i="2" s="1"/>
  <c r="BB103" i="2"/>
  <c r="BF103" i="2" s="1"/>
  <c r="BB82" i="2"/>
  <c r="BF82" i="2" s="1"/>
  <c r="BB166" i="2"/>
  <c r="BF166" i="2" s="1"/>
  <c r="BB163" i="2"/>
  <c r="BF163" i="2" s="1"/>
  <c r="BB149" i="2"/>
  <c r="BF149" i="2" s="1"/>
  <c r="BB165" i="2"/>
  <c r="BF165" i="2" s="1"/>
  <c r="BB26" i="2"/>
  <c r="BF26" i="2" s="1"/>
  <c r="BB196" i="2"/>
  <c r="BF196" i="2" s="1"/>
  <c r="BB192" i="2"/>
  <c r="BF192" i="2" s="1"/>
  <c r="BB219" i="2"/>
  <c r="BF219" i="2" s="1"/>
  <c r="BB53" i="2"/>
  <c r="BF53" i="2" s="1"/>
  <c r="BB228" i="2"/>
  <c r="BF228" i="2" s="1"/>
  <c r="BB14" i="2"/>
  <c r="BF14" i="2" s="1"/>
  <c r="BB88" i="2"/>
  <c r="BF88" i="2" s="1"/>
  <c r="BB173" i="2"/>
  <c r="BF173" i="2" s="1"/>
  <c r="BB116" i="2"/>
  <c r="BF116" i="2" s="1"/>
  <c r="BB67" i="2"/>
  <c r="BF67" i="2" s="1"/>
  <c r="BB33" i="2"/>
  <c r="BF33" i="2" s="1"/>
  <c r="BB177" i="2"/>
  <c r="BF177" i="2" s="1"/>
  <c r="BB161" i="2"/>
  <c r="BF161" i="2" s="1"/>
  <c r="BB115" i="2"/>
  <c r="BF115" i="2" s="1"/>
  <c r="BB158" i="2"/>
  <c r="BF158" i="2" s="1"/>
  <c r="BB70" i="2"/>
  <c r="BF70" i="2" s="1"/>
  <c r="BB164" i="2"/>
  <c r="BF164" i="2" s="1"/>
  <c r="BB146" i="2"/>
  <c r="BF146" i="2" s="1"/>
  <c r="BB138" i="2"/>
  <c r="BF138" i="2" s="1"/>
  <c r="BB128" i="2"/>
  <c r="BF128" i="2" s="1"/>
  <c r="BB159" i="2"/>
  <c r="BF159" i="2" s="1"/>
  <c r="BB170" i="2"/>
  <c r="BF170" i="2" s="1"/>
  <c r="BB66" i="2"/>
  <c r="BF66" i="2" s="1"/>
  <c r="BB204" i="2"/>
  <c r="BF204" i="2" s="1"/>
  <c r="BB38" i="2"/>
  <c r="BF38" i="2" s="1"/>
  <c r="BB13" i="2"/>
  <c r="BF13" i="2" s="1"/>
  <c r="BB197" i="2"/>
  <c r="BF197" i="2" s="1"/>
  <c r="BB7" i="2"/>
  <c r="BF7" i="2" s="1"/>
  <c r="BB126" i="2"/>
  <c r="BF126" i="2" s="1"/>
  <c r="BB84" i="2"/>
  <c r="BF84" i="2" s="1"/>
  <c r="BB49" i="2"/>
  <c r="BF49" i="2" s="1"/>
  <c r="BB167" i="2"/>
  <c r="BF167" i="2" s="1"/>
  <c r="BB109" i="2"/>
  <c r="BF109" i="2" s="1"/>
  <c r="BB160" i="2"/>
  <c r="BF160" i="2" s="1"/>
  <c r="BB104" i="2"/>
  <c r="BF104" i="2" s="1"/>
  <c r="BB71" i="2"/>
  <c r="BF71" i="2" s="1"/>
  <c r="BB99" i="2"/>
  <c r="BF99" i="2" s="1"/>
  <c r="BB31" i="2"/>
  <c r="BF31" i="2" s="1"/>
  <c r="BB24" i="2"/>
  <c r="BF24" i="2" s="1"/>
  <c r="BB12" i="2"/>
  <c r="BF12" i="2" s="1"/>
  <c r="BB72" i="2"/>
  <c r="BF72" i="2" s="1"/>
  <c r="BB30" i="2"/>
  <c r="BF30" i="2" s="1"/>
  <c r="BB119" i="2"/>
  <c r="BF119" i="2" s="1"/>
  <c r="BB231" i="2"/>
  <c r="BF231" i="2" s="1"/>
  <c r="BB186" i="2"/>
  <c r="BF186" i="2" s="1"/>
  <c r="BB168" i="2"/>
  <c r="BF168" i="2" s="1"/>
  <c r="BB11" i="2"/>
  <c r="BF11" i="2" s="1"/>
  <c r="BB110" i="2"/>
  <c r="BF110" i="2" s="1"/>
  <c r="BB27" i="2"/>
  <c r="BF27" i="2" s="1"/>
  <c r="BB16" i="2"/>
  <c r="BF16" i="2" s="1"/>
  <c r="BB44" i="2"/>
  <c r="BF44" i="2" s="1"/>
  <c r="BB135" i="2"/>
  <c r="BF135" i="2" s="1"/>
  <c r="BB62" i="2"/>
  <c r="BF62" i="2" s="1"/>
  <c r="BB51" i="2"/>
  <c r="BF51" i="2" s="1"/>
  <c r="BB42" i="2"/>
  <c r="BF42" i="2" s="1"/>
  <c r="BB36" i="2"/>
  <c r="BF36" i="2" s="1"/>
  <c r="BB223" i="2"/>
  <c r="BF223" i="2" s="1"/>
  <c r="BB230" i="2"/>
  <c r="BF230" i="2" s="1"/>
  <c r="BB102" i="2"/>
  <c r="BF102" i="2" s="1"/>
  <c r="BB58" i="2"/>
  <c r="BF58" i="2" s="1"/>
  <c r="BB229" i="2"/>
  <c r="BF229" i="2" s="1"/>
  <c r="BB210" i="2"/>
  <c r="BF210" i="2" s="1"/>
  <c r="BB227" i="2"/>
  <c r="BF227" i="2" s="1"/>
  <c r="BB215" i="2"/>
  <c r="BF215" i="2" s="1"/>
  <c r="BB225" i="2"/>
  <c r="BF225" i="2" s="1"/>
  <c r="BB152" i="2"/>
  <c r="BF152" i="2" s="1"/>
  <c r="BB202" i="2"/>
  <c r="BF202" i="2" s="1"/>
  <c r="BB190" i="2"/>
  <c r="BF190" i="2" s="1"/>
  <c r="BB224" i="2"/>
  <c r="BF224" i="2" s="1"/>
  <c r="BB187" i="2"/>
  <c r="BF187" i="2" s="1"/>
  <c r="BB148" i="2"/>
  <c r="BF148" i="2" s="1"/>
  <c r="BB182" i="2"/>
  <c r="BF182" i="2" s="1"/>
  <c r="BB154" i="2"/>
  <c r="BF154" i="2" s="1"/>
  <c r="BB131" i="2"/>
  <c r="BF131" i="2" s="1"/>
  <c r="BB185" i="2"/>
  <c r="BF185" i="2" s="1"/>
  <c r="BB25" i="2"/>
  <c r="BF25" i="2" s="1"/>
  <c r="BB74" i="2"/>
  <c r="BF74" i="2" s="1"/>
  <c r="BB189" i="2"/>
  <c r="BF189" i="2" s="1"/>
  <c r="BB52" i="2"/>
  <c r="BF52" i="2" s="1"/>
  <c r="BB100" i="2"/>
  <c r="BF100" i="2" s="1"/>
  <c r="BB136" i="2"/>
  <c r="BF136" i="2" s="1"/>
  <c r="BB211" i="2"/>
  <c r="BF211" i="2" s="1"/>
  <c r="BB222" i="2"/>
  <c r="BF222" i="2" s="1"/>
  <c r="BB137" i="2"/>
  <c r="BF137" i="2" s="1"/>
  <c r="BB123" i="2"/>
  <c r="BF123" i="2" s="1"/>
  <c r="BB183" i="2"/>
  <c r="BF183" i="2" s="1"/>
  <c r="BB43" i="2"/>
  <c r="BF43" i="2" s="1"/>
  <c r="BB98" i="2"/>
  <c r="BF98" i="2" s="1"/>
  <c r="BB125" i="2"/>
  <c r="BF125" i="2" s="1"/>
  <c r="BB208" i="2"/>
  <c r="BF208" i="2" s="1"/>
  <c r="Z15" i="3"/>
  <c r="BB221" i="2"/>
  <c r="BF221" i="2" s="1"/>
  <c r="BB214" i="2"/>
  <c r="BF214" i="2" s="1"/>
  <c r="BB203" i="2"/>
  <c r="BF203" i="2" s="1"/>
  <c r="Z16" i="3"/>
  <c r="BB207" i="2"/>
  <c r="BF207" i="2" s="1"/>
  <c r="BB195" i="2"/>
  <c r="BF195" i="2" s="1"/>
  <c r="BB201" i="2"/>
  <c r="BF201" i="2" s="1"/>
  <c r="BB117" i="2"/>
  <c r="BF117" i="2" s="1"/>
  <c r="BB153" i="2"/>
  <c r="BF153" i="2" s="1"/>
  <c r="BG130" i="2"/>
  <c r="BB130" i="2"/>
  <c r="BF130" i="2" s="1"/>
  <c r="BB101" i="2"/>
  <c r="BF101" i="2" s="1"/>
  <c r="BB76" i="2"/>
  <c r="BF76" i="2" s="1"/>
  <c r="BB176" i="2"/>
  <c r="BF176" i="2" s="1"/>
  <c r="BB235" i="2"/>
  <c r="BF235" i="2" s="1"/>
  <c r="BB193" i="2"/>
  <c r="BF193" i="2" s="1"/>
  <c r="BB90" i="2"/>
  <c r="BF90" i="2" s="1"/>
  <c r="BB50" i="2"/>
  <c r="BF50" i="2" s="1"/>
  <c r="BB20" i="2"/>
  <c r="BF20" i="2" s="1"/>
  <c r="BB23" i="2"/>
  <c r="BF23" i="2" s="1"/>
  <c r="BB6" i="2"/>
  <c r="BF6" i="2" s="1"/>
  <c r="BB200" i="2"/>
  <c r="BF200" i="2" s="1"/>
  <c r="BB206" i="2"/>
  <c r="BF206" i="2" s="1"/>
  <c r="BB34" i="2"/>
  <c r="BF34" i="2" s="1"/>
  <c r="BB155" i="2"/>
  <c r="BF155" i="2" s="1"/>
  <c r="BB87" i="2"/>
  <c r="BF87" i="2" s="1"/>
  <c r="BB79" i="2"/>
  <c r="BF79" i="2" s="1"/>
  <c r="BB9" i="2"/>
  <c r="BF9" i="2" s="1"/>
  <c r="Z34" i="3"/>
  <c r="BB188" i="2"/>
  <c r="BF188" i="2" s="1"/>
  <c r="BB184" i="2"/>
  <c r="BF184" i="2" s="1"/>
  <c r="BB111" i="2"/>
  <c r="BF111" i="2" s="1"/>
  <c r="BB139" i="2"/>
  <c r="BF139" i="2" s="1"/>
  <c r="BB46" i="2"/>
  <c r="BF46" i="2" s="1"/>
  <c r="BB48" i="2"/>
  <c r="BF48" i="2" s="1"/>
  <c r="BB17" i="2"/>
  <c r="BF17" i="2" s="1"/>
  <c r="BB180" i="2"/>
  <c r="BF180" i="2" s="1"/>
  <c r="BB132" i="2"/>
  <c r="BF132" i="2" s="1"/>
  <c r="BB91" i="2"/>
  <c r="BF91" i="2" s="1"/>
  <c r="BB95" i="2"/>
  <c r="BF95" i="2" s="1"/>
  <c r="BB147" i="2"/>
  <c r="BF147" i="2" s="1"/>
  <c r="BB41" i="2"/>
  <c r="BF41" i="2" s="1"/>
  <c r="BB56" i="2"/>
  <c r="BF56" i="2" s="1"/>
  <c r="BB37" i="2"/>
  <c r="BF37" i="2" s="1"/>
  <c r="BB21" i="2"/>
  <c r="BF21" i="2" s="1"/>
  <c r="BB47" i="2"/>
  <c r="BF47" i="2" s="1"/>
  <c r="BB10" i="2"/>
  <c r="BF10" i="2" s="1"/>
  <c r="BB144" i="2"/>
  <c r="BF144" i="2" s="1"/>
  <c r="BB199" i="2"/>
  <c r="BF199" i="2" s="1"/>
  <c r="BB220" i="2"/>
  <c r="BF220" i="2" s="1"/>
  <c r="BB94" i="2"/>
  <c r="BF94" i="2" s="1"/>
  <c r="BB157" i="2"/>
  <c r="BF157" i="2" s="1"/>
  <c r="BB86" i="2"/>
  <c r="BF86" i="2" s="1"/>
  <c r="BB92" i="2"/>
  <c r="BF92" i="2" s="1"/>
  <c r="BB85" i="2"/>
  <c r="BF85" i="2" s="1"/>
  <c r="BB107" i="2"/>
  <c r="BF107" i="2" s="1"/>
  <c r="BB35" i="2"/>
  <c r="BF35" i="2" s="1"/>
  <c r="BB28" i="2"/>
  <c r="BF28" i="2" s="1"/>
  <c r="BB40" i="2"/>
  <c r="BF40" i="2" s="1"/>
  <c r="BB179" i="2"/>
  <c r="BF179" i="2" s="1"/>
  <c r="Z42" i="3"/>
  <c r="BB213" i="2"/>
  <c r="BF213" i="2" s="1"/>
  <c r="BB232" i="2"/>
  <c r="BF232" i="2" s="1"/>
  <c r="BB205" i="2"/>
  <c r="BF205" i="2" s="1"/>
  <c r="BB198" i="2"/>
  <c r="BF198" i="2" s="1"/>
  <c r="BB209" i="2"/>
  <c r="BF209" i="2" s="1"/>
  <c r="BB175" i="2"/>
  <c r="BF175" i="2" s="1"/>
  <c r="BB121" i="2"/>
  <c r="BF121" i="2" s="1"/>
  <c r="BB141" i="2"/>
  <c r="BF141" i="2" s="1"/>
  <c r="BB181" i="2"/>
  <c r="BF181" i="2" s="1"/>
  <c r="BB169" i="2"/>
  <c r="BF169" i="2" s="1"/>
  <c r="BB78" i="2"/>
  <c r="BF78" i="2" s="1"/>
  <c r="BB45" i="2"/>
  <c r="BF45" i="2" s="1"/>
  <c r="BB59" i="2"/>
  <c r="BF59" i="2" s="1"/>
  <c r="BB77" i="2"/>
  <c r="BF77" i="2" s="1"/>
  <c r="BB64" i="2"/>
  <c r="BF64" i="2" s="1"/>
  <c r="BB127" i="2"/>
  <c r="BF127" i="2" s="1"/>
  <c r="BB60" i="2"/>
  <c r="BF60" i="2" s="1"/>
  <c r="BB61" i="2"/>
  <c r="BF61" i="2" s="1"/>
  <c r="BB63" i="2"/>
  <c r="BF63" i="2" s="1"/>
  <c r="BB69" i="2"/>
  <c r="BF69" i="2" s="1"/>
  <c r="BB32" i="2"/>
  <c r="BF32" i="2" s="1"/>
</calcChain>
</file>

<file path=xl/sharedStrings.xml><?xml version="1.0" encoding="utf-8"?>
<sst xmlns="http://schemas.openxmlformats.org/spreadsheetml/2006/main" count="1153" uniqueCount="324">
  <si>
    <t>Champions League</t>
  </si>
  <si>
    <t>Europa League</t>
  </si>
  <si>
    <t>Sum From KO</t>
  </si>
  <si>
    <t>LRTRCL</t>
  </si>
  <si>
    <t>GAMES</t>
  </si>
  <si>
    <t>Rd Bonus Pts</t>
  </si>
  <si>
    <t>Raw Pts</t>
  </si>
  <si>
    <t>Total Pts</t>
  </si>
  <si>
    <t>Rank</t>
  </si>
  <si>
    <t>Team</t>
  </si>
  <si>
    <t>Points</t>
  </si>
  <si>
    <t>Games</t>
  </si>
  <si>
    <t>W</t>
  </si>
  <si>
    <t>T</t>
  </si>
  <si>
    <t>L</t>
  </si>
  <si>
    <t>Country</t>
  </si>
  <si>
    <t>England</t>
  </si>
  <si>
    <t>Manchester City</t>
  </si>
  <si>
    <t>Real Madrid</t>
  </si>
  <si>
    <t>Spain</t>
  </si>
  <si>
    <t>Paris Saint-Germain</t>
  </si>
  <si>
    <t>France</t>
  </si>
  <si>
    <t>Bayern Munich</t>
  </si>
  <si>
    <t>Germany</t>
  </si>
  <si>
    <t>Manchester United</t>
  </si>
  <si>
    <t>Liverpool</t>
  </si>
  <si>
    <t>Porto</t>
  </si>
  <si>
    <t>Portugal</t>
  </si>
  <si>
    <t>Borussia Dortmund</t>
  </si>
  <si>
    <t>Villarreal</t>
  </si>
  <si>
    <t>Ajax</t>
  </si>
  <si>
    <t>Netherlands</t>
  </si>
  <si>
    <t>Juventus</t>
  </si>
  <si>
    <t>Italy</t>
  </si>
  <si>
    <t>Barcelona</t>
  </si>
  <si>
    <t>Sevilla</t>
  </si>
  <si>
    <t>RB Leipzig</t>
  </si>
  <si>
    <t>Atalanta</t>
  </si>
  <si>
    <t>Lazio</t>
  </si>
  <si>
    <t>X</t>
  </si>
  <si>
    <t>Borussia Mönchengladbach</t>
  </si>
  <si>
    <t>Atlético Madrid</t>
  </si>
  <si>
    <t>Shakhtar Donetsk</t>
  </si>
  <si>
    <t>Ukraine</t>
  </si>
  <si>
    <t>Dynamo Kyiv</t>
  </si>
  <si>
    <t>Olympiacos</t>
  </si>
  <si>
    <t>Greece</t>
  </si>
  <si>
    <t>Slavia Prague</t>
  </si>
  <si>
    <t>Czech Republic</t>
  </si>
  <si>
    <t>Roma</t>
  </si>
  <si>
    <t>Arsenal</t>
  </si>
  <si>
    <t>Dinamo Zagreb</t>
  </si>
  <si>
    <t>Croatia</t>
  </si>
  <si>
    <t>Club Brugge</t>
  </si>
  <si>
    <t>Belgium</t>
  </si>
  <si>
    <t>Krasnodar</t>
  </si>
  <si>
    <t>Russia</t>
  </si>
  <si>
    <t>Molde</t>
  </si>
  <si>
    <t>Norway</t>
  </si>
  <si>
    <t>Red Bull Salzburg</t>
  </si>
  <si>
    <t>Austria</t>
  </si>
  <si>
    <t>Granada</t>
  </si>
  <si>
    <t>Young Boys</t>
  </si>
  <si>
    <t>Switzerland</t>
  </si>
  <si>
    <t>Tottenham Hotspur</t>
  </si>
  <si>
    <t>Rangers</t>
  </si>
  <si>
    <t>Scotland</t>
  </si>
  <si>
    <t>Maccabi Tel Aviv</t>
  </si>
  <si>
    <t>Israel</t>
  </si>
  <si>
    <t>Midtjylland</t>
  </si>
  <si>
    <t>Denmark</t>
  </si>
  <si>
    <t>Inter Milan</t>
  </si>
  <si>
    <t>Ferencváros</t>
  </si>
  <si>
    <t>Hungary</t>
  </si>
  <si>
    <t>Milan</t>
  </si>
  <si>
    <t>Red Star Belgrade</t>
  </si>
  <si>
    <t>Serbia</t>
  </si>
  <si>
    <t>Benfica</t>
  </si>
  <si>
    <t>Lokomotiv Moscow</t>
  </si>
  <si>
    <t>İstanbul Başakşehir</t>
  </si>
  <si>
    <t>Turkey</t>
  </si>
  <si>
    <t>Marseille</t>
  </si>
  <si>
    <t>1899 Hoffenheim</t>
  </si>
  <si>
    <t>Rennes</t>
  </si>
  <si>
    <t>Zenit Saint Petersburg</t>
  </si>
  <si>
    <t>PSV Eindhoven</t>
  </si>
  <si>
    <t>Leicester City</t>
  </si>
  <si>
    <t>Bayer Leverkusen</t>
  </si>
  <si>
    <t>Napoli</t>
  </si>
  <si>
    <t>Braga</t>
  </si>
  <si>
    <t>PAOK</t>
  </si>
  <si>
    <t>Lille</t>
  </si>
  <si>
    <t>Antwerp</t>
  </si>
  <si>
    <t>Omonia</t>
  </si>
  <si>
    <t>Cyprus</t>
  </si>
  <si>
    <t>Real Sociedad</t>
  </si>
  <si>
    <t>Wolfsberger AC</t>
  </si>
  <si>
    <t>AZ</t>
  </si>
  <si>
    <t>Gent</t>
  </si>
  <si>
    <t>Rapid Wien</t>
  </si>
  <si>
    <t>LASK</t>
  </si>
  <si>
    <t>Qarabağ</t>
  </si>
  <si>
    <t>Azerbaijan</t>
  </si>
  <si>
    <t>CFR Cluj</t>
  </si>
  <si>
    <t>Romania</t>
  </si>
  <si>
    <t>Celtic</t>
  </si>
  <si>
    <t>Hapoel Be'er Sheva</t>
  </si>
  <si>
    <t>Slovan Liberec</t>
  </si>
  <si>
    <t>Lech Poznań</t>
  </si>
  <si>
    <t>Poland</t>
  </si>
  <si>
    <t>CSKA Sofia</t>
  </si>
  <si>
    <t>Bulgaria</t>
  </si>
  <si>
    <t>Rijeka</t>
  </si>
  <si>
    <t>AEK Athens</t>
  </si>
  <si>
    <t>Ludogorets Razgrad</t>
  </si>
  <si>
    <t>Standard Liège</t>
  </si>
  <si>
    <t>Zorya Luhansk</t>
  </si>
  <si>
    <t>Sparta Prague</t>
  </si>
  <si>
    <t>Feyenoord</t>
  </si>
  <si>
    <t>Sivasspor</t>
  </si>
  <si>
    <t>Dundalk</t>
  </si>
  <si>
    <t>Republic of Ireland</t>
  </si>
  <si>
    <t>Dynamo Brest</t>
  </si>
  <si>
    <t>Belarus</t>
  </si>
  <si>
    <t>CSKA Moscow</t>
  </si>
  <si>
    <t>Malmö FF</t>
  </si>
  <si>
    <t>Sweden</t>
  </si>
  <si>
    <t>Nice</t>
  </si>
  <si>
    <t>VfL Wolfsburg</t>
  </si>
  <si>
    <t>Maccabi Haifa</t>
  </si>
  <si>
    <t>Galatasaray</t>
  </si>
  <si>
    <t>Basel</t>
  </si>
  <si>
    <t>Copenhagen</t>
  </si>
  <si>
    <t>Rosenborg</t>
  </si>
  <si>
    <t>KÍ</t>
  </si>
  <si>
    <t>Faroe Islands</t>
  </si>
  <si>
    <t>APOEL</t>
  </si>
  <si>
    <t>Viktoria Plzeň</t>
  </si>
  <si>
    <t>Rio Ave</t>
  </si>
  <si>
    <t>Fehérvár</t>
  </si>
  <si>
    <t>Sarajevo</t>
  </si>
  <si>
    <t>Bosnia and Herzegovina</t>
  </si>
  <si>
    <t>Charleroi</t>
  </si>
  <si>
    <t>Ararat-Armenia</t>
  </si>
  <si>
    <t>Armenia</t>
  </si>
  <si>
    <t>Legia Warsaw</t>
  </si>
  <si>
    <t>Sporting CP</t>
  </si>
  <si>
    <t>Tirana</t>
  </si>
  <si>
    <t>Albania</t>
  </si>
  <si>
    <t>Flora</t>
  </si>
  <si>
    <t>Estonia</t>
  </si>
  <si>
    <t>KuPS</t>
  </si>
  <si>
    <t>Finland</t>
  </si>
  <si>
    <t>Locomotive Tbilisi</t>
  </si>
  <si>
    <t>Georgia</t>
  </si>
  <si>
    <t>Piast Gliwice</t>
  </si>
  <si>
    <t>Shkëndija</t>
  </si>
  <si>
    <t>North Macedonia</t>
  </si>
  <si>
    <t>Mura</t>
  </si>
  <si>
    <t>Slovenia</t>
  </si>
  <si>
    <t>Aberdeen</t>
  </si>
  <si>
    <t>DAC Dunajská Streda</t>
  </si>
  <si>
    <t>Slovakia</t>
  </si>
  <si>
    <t>Zrinjski Mostar</t>
  </si>
  <si>
    <t>Bosnia &amp; Herzegovina</t>
  </si>
  <si>
    <t>Reims</t>
  </si>
  <si>
    <t>Kolos Kovalivka</t>
  </si>
  <si>
    <t>Bodø/Glimt</t>
  </si>
  <si>
    <t>Apollon Limassol</t>
  </si>
  <si>
    <t>Partizan</t>
  </si>
  <si>
    <t>Celje</t>
  </si>
  <si>
    <t>FCSB</t>
  </si>
  <si>
    <t>Sheriff Tiraspol</t>
  </si>
  <si>
    <t>Moldova</t>
  </si>
  <si>
    <t>Budućnost Podgorica</t>
  </si>
  <si>
    <t>Montenegro</t>
  </si>
  <si>
    <t>B36 Tórshavn</t>
  </si>
  <si>
    <t>Hajduk Split</t>
  </si>
  <si>
    <t>Sūduva</t>
  </si>
  <si>
    <t>Lithuania</t>
  </si>
  <si>
    <t>Drita</t>
  </si>
  <si>
    <t>Kosovo</t>
  </si>
  <si>
    <t>Willem II</t>
  </si>
  <si>
    <t>Servette</t>
  </si>
  <si>
    <t>Motherwell</t>
  </si>
  <si>
    <t>Beşiktaş</t>
  </si>
  <si>
    <t>Botoșani</t>
  </si>
  <si>
    <t>Djurgårdens IF</t>
  </si>
  <si>
    <t>Riga</t>
  </si>
  <si>
    <t>Latvia</t>
  </si>
  <si>
    <t>Floriana</t>
  </si>
  <si>
    <t>Malta</t>
  </si>
  <si>
    <t>Teuta</t>
  </si>
  <si>
    <t>The New Saints</t>
  </si>
  <si>
    <t>Wales</t>
  </si>
  <si>
    <t>Sfîntul Gheorghe</t>
  </si>
  <si>
    <t>TSC Bačka Topola</t>
  </si>
  <si>
    <t>Coleraine</t>
  </si>
  <si>
    <t>Northern Ireland</t>
  </si>
  <si>
    <t>Kukësi</t>
  </si>
  <si>
    <t>Hammarby IF</t>
  </si>
  <si>
    <t>Olimpija Ljubljana</t>
  </si>
  <si>
    <t>Neftçi Baku</t>
  </si>
  <si>
    <t>Dinamo Tbilisi</t>
  </si>
  <si>
    <t>Laçi</t>
  </si>
  <si>
    <t>Honvéd</t>
  </si>
  <si>
    <t>Hibernians</t>
  </si>
  <si>
    <t>Linfield</t>
  </si>
  <si>
    <t>Lokomotiva</t>
  </si>
  <si>
    <t>Lincoln Red Imps</t>
  </si>
  <si>
    <t>Gibraltar</t>
  </si>
  <si>
    <t>Kairat</t>
  </si>
  <si>
    <t>Kazakhstan</t>
  </si>
  <si>
    <t>Renova</t>
  </si>
  <si>
    <t>AGF</t>
  </si>
  <si>
    <t>Bala Town</t>
  </si>
  <si>
    <t>Lokomotiv Plovdiv</t>
  </si>
  <si>
    <t>Ventspils</t>
  </si>
  <si>
    <t>Riteriai</t>
  </si>
  <si>
    <t>Shamrock Rovers</t>
  </si>
  <si>
    <t>Borac Banja Luka</t>
  </si>
  <si>
    <t>Žalgiris</t>
  </si>
  <si>
    <t>Vojvodina</t>
  </si>
  <si>
    <t>St. Gallen</t>
  </si>
  <si>
    <t>Progrès Niederkorn</t>
  </si>
  <si>
    <t>Luxembourg</t>
  </si>
  <si>
    <t>Anorthosis</t>
  </si>
  <si>
    <t>Desna Chernihiv</t>
  </si>
  <si>
    <t>Alanyaspor</t>
  </si>
  <si>
    <t>Rostov</t>
  </si>
  <si>
    <t>SønderjyskE</t>
  </si>
  <si>
    <t>Gjilani</t>
  </si>
  <si>
    <t>Glentoran</t>
  </si>
  <si>
    <t>NSÍ Runavík</t>
  </si>
  <si>
    <t>Iskra Danilovgrad</t>
  </si>
  <si>
    <t>Aris</t>
  </si>
  <si>
    <t>Zeta</t>
  </si>
  <si>
    <t>Europa</t>
  </si>
  <si>
    <t>Fola Esch</t>
  </si>
  <si>
    <t>IFK Göteborg</t>
  </si>
  <si>
    <t>Astana</t>
  </si>
  <si>
    <t>Osijek</t>
  </si>
  <si>
    <t>Connah's Quay Nomads</t>
  </si>
  <si>
    <t>Slovan Bratislava</t>
  </si>
  <si>
    <t>OFI</t>
  </si>
  <si>
    <t>Hartberg</t>
  </si>
  <si>
    <t>Inter Club d'Escaldes</t>
  </si>
  <si>
    <t>Andorra</t>
  </si>
  <si>
    <t>KR</t>
  </si>
  <si>
    <t>Iceland</t>
  </si>
  <si>
    <t>Sileks</t>
  </si>
  <si>
    <t>Viking</t>
  </si>
  <si>
    <t>Tre Fiori</t>
  </si>
  <si>
    <t>San Marino</t>
  </si>
  <si>
    <t>BATE Borisov</t>
  </si>
  <si>
    <t>Jablonec</t>
  </si>
  <si>
    <t>Kaisar</t>
  </si>
  <si>
    <t>Dynamo Moscow</t>
  </si>
  <si>
    <t>RFS</t>
  </si>
  <si>
    <t>Bohemians</t>
  </si>
  <si>
    <t>Shakhtyor Soligorsk</t>
  </si>
  <si>
    <t>Keşla</t>
  </si>
  <si>
    <t>Ilves</t>
  </si>
  <si>
    <t>Shkupi</t>
  </si>
  <si>
    <t>Sirens</t>
  </si>
  <si>
    <t>Ordabasy</t>
  </si>
  <si>
    <t>Víkingur Reykjavík</t>
  </si>
  <si>
    <t>Petrocub Hîncești</t>
  </si>
  <si>
    <t>Differdange 03</t>
  </si>
  <si>
    <t>Inter Turku</t>
  </si>
  <si>
    <t>Cracovia</t>
  </si>
  <si>
    <t>Alashkert</t>
  </si>
  <si>
    <t>Slavia Sofia</t>
  </si>
  <si>
    <t>Breiðablik</t>
  </si>
  <si>
    <t>Dinamo Minsk</t>
  </si>
  <si>
    <t>Maribor</t>
  </si>
  <si>
    <t>Željezničar</t>
  </si>
  <si>
    <t>Derry City</t>
  </si>
  <si>
    <t>Sutjeska Nikšić</t>
  </si>
  <si>
    <t>Dinamo-Auto</t>
  </si>
  <si>
    <t>Honka</t>
  </si>
  <si>
    <t>FH</t>
  </si>
  <si>
    <t>Ružomberok</t>
  </si>
  <si>
    <t>Sumgayit</t>
  </si>
  <si>
    <t>Puskás Akadémia</t>
  </si>
  <si>
    <t>Noah</t>
  </si>
  <si>
    <t>Universitatea Craiova</t>
  </si>
  <si>
    <t>Valletta</t>
  </si>
  <si>
    <t>Beitar Jerusalem</t>
  </si>
  <si>
    <t>FCI Levadia</t>
  </si>
  <si>
    <t>Valmiera</t>
  </si>
  <si>
    <t>FC Santa Coloma</t>
  </si>
  <si>
    <t>Dinamo Batumi</t>
  </si>
  <si>
    <t>Paide Linnameeskond</t>
  </si>
  <si>
    <t>Shirak</t>
  </si>
  <si>
    <t>Saburtalo Tbilisi</t>
  </si>
  <si>
    <t>Vaduz</t>
  </si>
  <si>
    <t>Lichtenstein</t>
  </si>
  <si>
    <t>Žilina</t>
  </si>
  <si>
    <t>Union Titus Pétange</t>
  </si>
  <si>
    <t>St Joseph's</t>
  </si>
  <si>
    <t>HB Tórshavn</t>
  </si>
  <si>
    <t>La Fiorita</t>
  </si>
  <si>
    <t>Nõmme Kalju</t>
  </si>
  <si>
    <t>Kauno Žalgiris</t>
  </si>
  <si>
    <t>Engordany</t>
  </si>
  <si>
    <t>Tre Penne</t>
  </si>
  <si>
    <t>Prishtina</t>
  </si>
  <si>
    <t>Barry Town United</t>
  </si>
  <si>
    <t># Teams</t>
  </si>
  <si>
    <t>Overall Pts</t>
  </si>
  <si>
    <t>Avg. Coeff Pts.</t>
  </si>
  <si>
    <t>Countries</t>
  </si>
  <si>
    <t>Team 1</t>
  </si>
  <si>
    <t>Team 2</t>
  </si>
  <si>
    <t>Team 3</t>
  </si>
  <si>
    <t>Team 4</t>
  </si>
  <si>
    <t>Team 5</t>
  </si>
  <si>
    <t>Team 6</t>
  </si>
  <si>
    <t>Team 7</t>
  </si>
  <si>
    <t>Num of Teams</t>
  </si>
  <si>
    <t>Overall Pts.</t>
  </si>
  <si>
    <t>Pts.</t>
  </si>
  <si>
    <t>Chelsea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</si>
</sst>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000000"/>
      <name val="Inconsolata"/>
    </font>
    <font>
      <b/>
      <sz val="10"/>
      <color theme="1"/>
      <name val="Arial"/>
      <scheme val="minor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0" fillId="2" borderId="0" xfId="0" applyFont="1" applyFill="1"/>
    <xf numFmtId="0" fontId="1" fillId="0" borderId="0" xfId="0" applyFont="1"/>
    <xf numFmtId="0" fontId="1" fillId="0" borderId="0" xfId="0" applyFont="1" applyAlignment="1"/>
    <xf numFmtId="0" fontId="1" fillId="3" borderId="0" xfId="0" applyFont="1" applyFill="1"/>
    <xf numFmtId="0" fontId="1" fillId="0" borderId="1" xfId="0" applyFont="1" applyBorder="1"/>
    <xf numFmtId="0" fontId="1" fillId="4" borderId="0" xfId="0" applyFont="1" applyFill="1" applyAlignment="1"/>
    <xf numFmtId="2" fontId="1" fillId="0" borderId="0" xfId="0" applyNumberFormat="1" applyFont="1"/>
    <xf numFmtId="0" fontId="2" fillId="0" borderId="0" xfId="0" applyFont="1" applyAlignment="1"/>
    <xf numFmtId="2" fontId="2" fillId="0" borderId="0" xfId="0" applyNumberFormat="1" applyFont="1" applyAlignment="1"/>
    <xf numFmtId="0" fontId="3" fillId="2" borderId="0" xfId="0" applyFont="1" applyFill="1"/>
    <xf numFmtId="0" fontId="4" fillId="2" borderId="0" xfId="0" applyFont="1" applyFill="1" applyAlignme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1" fillId="5" borderId="0" xfId="0" applyFont="1" applyFill="1"/>
    <xf numFmtId="0" fontId="1" fillId="0" borderId="2" xfId="0" applyFont="1" applyBorder="1" applyAlignment="1"/>
    <xf numFmtId="0" fontId="5" fillId="0" borderId="0" xfId="0" applyFont="1" applyAlignment="1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/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vertical="center"/>
    </xf>
    <xf numFmtId="2" fontId="1" fillId="0" borderId="2" xfId="0" applyNumberFormat="1" applyFont="1" applyBorder="1" applyAlignment="1">
      <alignment vertical="center"/>
    </xf>
    <xf numFmtId="0" fontId="6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4"/>
  <sheetViews>
    <sheetView workbookViewId="0"/>
  </sheetViews>
  <sheetFormatPr defaultColWidth="12.609375" defaultRowHeight="15.75" customHeight="1" x14ac:dyDescent="0.4"/>
  <sheetData>
    <row r="1" spans="1:7" ht="15.75" customHeight="1" x14ac:dyDescent="0.4">
      <c r="A1" s="21" t="s">
        <v>0</v>
      </c>
      <c r="B1" s="22"/>
      <c r="C1" s="22"/>
      <c r="D1" s="21" t="s">
        <v>1</v>
      </c>
      <c r="E1" s="22"/>
      <c r="F1" s="22"/>
    </row>
    <row r="2" spans="1:7" ht="15.75" customHeight="1" x14ac:dyDescent="0.4">
      <c r="A2" s="1" t="str">
        <f ca="1">IFERROR(__xludf.DUMMYFUNCTION("IMPORTRANGE(""https://docs.google.com/spreadsheets/d/15PkvtCYyUOtLvFPW5IzRScOXYcwcdp24m13K6ijHyJk/edit#gid=1963172304"", ""Round Bonuses!A1:C12"")"),"Round")</f>
        <v>Round</v>
      </c>
      <c r="B2" s="2" t="str">
        <f ca="1">IFERROR(__xludf.DUMMYFUNCTION("""COMPUTED_VALUE"""),"Bonus Pts per Round")</f>
        <v>Bonus Pts per Round</v>
      </c>
      <c r="C2" s="2" t="str">
        <f ca="1">IFERROR(__xludf.DUMMYFUNCTION("""COMPUTED_VALUE"""),"Total Bonus Pts")</f>
        <v>Total Bonus Pts</v>
      </c>
      <c r="D2" s="1" t="str">
        <f ca="1">IFERROR(__xludf.DUMMYFUNCTION("IMPORTRANGE(""https://docs.google.com/spreadsheets/d/1mtJZJUnusr02j5gl2lP2VLlpl1MZPMjHF5VZ8A8ez84/edit#gid=1915350343"", ""Round Bonuses!A1:C13"")"),"Round")</f>
        <v>Round</v>
      </c>
      <c r="E2" s="2" t="str">
        <f ca="1">IFERROR(__xludf.DUMMYFUNCTION("""COMPUTED_VALUE"""),"Bonus Pts per Round")</f>
        <v>Bonus Pts per Round</v>
      </c>
      <c r="F2" s="2" t="str">
        <f ca="1">IFERROR(__xludf.DUMMYFUNCTION("""COMPUTED_VALUE"""),"Total Bonus Pts")</f>
        <v>Total Bonus Pts</v>
      </c>
      <c r="G2" s="3" t="s">
        <v>2</v>
      </c>
    </row>
    <row r="3" spans="1:7" ht="15.75" customHeight="1" x14ac:dyDescent="0.4">
      <c r="A3" s="2" t="str">
        <f ca="1">IFERROR(__xludf.DUMMYFUNCTION("""COMPUTED_VALUE"""),"Q PreR")</f>
        <v>Q PreR</v>
      </c>
      <c r="B3" s="2">
        <f ca="1">IFERROR(__xludf.DUMMYFUNCTION("""COMPUTED_VALUE"""),0.3)</f>
        <v>0.3</v>
      </c>
      <c r="C3" s="2">
        <f ca="1">IFERROR(__xludf.DUMMYFUNCTION("""COMPUTED_VALUE"""),0.3)</f>
        <v>0.3</v>
      </c>
      <c r="D3" s="2" t="str">
        <f ca="1">IFERROR(__xludf.DUMMYFUNCTION("""COMPUTED_VALUE"""),"Q PreR")</f>
        <v>Q PreR</v>
      </c>
      <c r="E3" s="2">
        <f ca="1">IFERROR(__xludf.DUMMYFUNCTION("""COMPUTED_VALUE"""),0.15)</f>
        <v>0.15</v>
      </c>
      <c r="F3" s="2">
        <f ca="1">IFERROR(__xludf.DUMMYFUNCTION("""COMPUTED_VALUE"""),0.15)</f>
        <v>0.15</v>
      </c>
      <c r="G3" s="4"/>
    </row>
    <row r="4" spans="1:7" ht="15.75" customHeight="1" x14ac:dyDescent="0.4">
      <c r="A4" s="2" t="str">
        <f ca="1">IFERROR(__xludf.DUMMYFUNCTION("""COMPUTED_VALUE"""),"Q R1")</f>
        <v>Q R1</v>
      </c>
      <c r="B4" s="2">
        <f ca="1">IFERROR(__xludf.DUMMYFUNCTION("""COMPUTED_VALUE"""),0.3)</f>
        <v>0.3</v>
      </c>
      <c r="C4" s="2">
        <f ca="1">IFERROR(__xludf.DUMMYFUNCTION("""COMPUTED_VALUE"""),0.6)</f>
        <v>0.6</v>
      </c>
      <c r="D4" s="2" t="str">
        <f ca="1">IFERROR(__xludf.DUMMYFUNCTION("""COMPUTED_VALUE"""),"Q R1")</f>
        <v>Q R1</v>
      </c>
      <c r="E4" s="2">
        <f ca="1">IFERROR(__xludf.DUMMYFUNCTION("""COMPUTED_VALUE"""),0.15)</f>
        <v>0.15</v>
      </c>
      <c r="F4" s="2">
        <f ca="1">IFERROR(__xludf.DUMMYFUNCTION("""COMPUTED_VALUE"""),0.3)</f>
        <v>0.3</v>
      </c>
      <c r="G4" s="4"/>
    </row>
    <row r="5" spans="1:7" ht="15.75" customHeight="1" x14ac:dyDescent="0.4">
      <c r="A5" s="2" t="str">
        <f ca="1">IFERROR(__xludf.DUMMYFUNCTION("""COMPUTED_VALUE"""),"Q R2")</f>
        <v>Q R2</v>
      </c>
      <c r="B5" s="2">
        <f ca="1">IFERROR(__xludf.DUMMYFUNCTION("""COMPUTED_VALUE"""),0.6)</f>
        <v>0.6</v>
      </c>
      <c r="C5" s="2">
        <f ca="1">IFERROR(__xludf.DUMMYFUNCTION("""COMPUTED_VALUE"""),1.2)</f>
        <v>1.2</v>
      </c>
      <c r="D5" s="2" t="str">
        <f ca="1">IFERROR(__xludf.DUMMYFUNCTION("""COMPUTED_VALUE"""),"Q R2")</f>
        <v>Q R2</v>
      </c>
      <c r="E5" s="2">
        <f ca="1">IFERROR(__xludf.DUMMYFUNCTION("""COMPUTED_VALUE"""),0.3)</f>
        <v>0.3</v>
      </c>
      <c r="F5" s="2">
        <f ca="1">IFERROR(__xludf.DUMMYFUNCTION("""COMPUTED_VALUE"""),0.6)</f>
        <v>0.6</v>
      </c>
      <c r="G5" s="4"/>
    </row>
    <row r="6" spans="1:7" ht="15.75" customHeight="1" x14ac:dyDescent="0.4">
      <c r="A6" s="2" t="str">
        <f ca="1">IFERROR(__xludf.DUMMYFUNCTION("""COMPUTED_VALUE"""),"Q TR")</f>
        <v>Q TR</v>
      </c>
      <c r="B6" s="2">
        <f ca="1">IFERROR(__xludf.DUMMYFUNCTION("""COMPUTED_VALUE"""),0.9)</f>
        <v>0.9</v>
      </c>
      <c r="C6" s="2">
        <f ca="1">IFERROR(__xludf.DUMMYFUNCTION("""COMPUTED_VALUE"""),2.1)</f>
        <v>2.1</v>
      </c>
      <c r="D6" s="2" t="str">
        <f ca="1">IFERROR(__xludf.DUMMYFUNCTION("""COMPUTED_VALUE"""),"Q TR")</f>
        <v>Q TR</v>
      </c>
      <c r="E6" s="2">
        <f ca="1">IFERROR(__xludf.DUMMYFUNCTION("""COMPUTED_VALUE"""),0.45)</f>
        <v>0.45</v>
      </c>
      <c r="F6" s="2">
        <f ca="1">IFERROR(__xludf.DUMMYFUNCTION("""COMPUTED_VALUE"""),1.05)</f>
        <v>1.05</v>
      </c>
      <c r="G6" s="4"/>
    </row>
    <row r="7" spans="1:7" ht="15.75" customHeight="1" x14ac:dyDescent="0.4">
      <c r="A7" s="2" t="str">
        <f ca="1">IFERROR(__xludf.DUMMYFUNCTION("""COMPUTED_VALUE"""),"Q POR")</f>
        <v>Q POR</v>
      </c>
      <c r="B7" s="2">
        <f ca="1">IFERROR(__xludf.DUMMYFUNCTION("""COMPUTED_VALUE"""),1.5)</f>
        <v>1.5</v>
      </c>
      <c r="C7" s="2">
        <f ca="1">IFERROR(__xludf.DUMMYFUNCTION("""COMPUTED_VALUE"""),3.6)</f>
        <v>3.6</v>
      </c>
      <c r="D7" s="2" t="str">
        <f ca="1">IFERROR(__xludf.DUMMYFUNCTION("""COMPUTED_VALUE"""),"Q POR")</f>
        <v>Q POR</v>
      </c>
      <c r="E7" s="2">
        <f ca="1">IFERROR(__xludf.DUMMYFUNCTION("""COMPUTED_VALUE"""),0.75)</f>
        <v>0.75</v>
      </c>
      <c r="F7" s="2">
        <f ca="1">IFERROR(__xludf.DUMMYFUNCTION("""COMPUTED_VALUE"""),1.8)</f>
        <v>1.8</v>
      </c>
      <c r="G7" s="4"/>
    </row>
    <row r="8" spans="1:7" ht="15.75" customHeight="1" x14ac:dyDescent="0.4">
      <c r="A8" s="2" t="str">
        <f ca="1">IFERROR(__xludf.DUMMYFUNCTION("""COMPUTED_VALUE"""),"Q GS")</f>
        <v>Q GS</v>
      </c>
      <c r="B8" s="2">
        <f ca="1">IFERROR(__xludf.DUMMYFUNCTION("""COMPUTED_VALUE"""),3)</f>
        <v>3</v>
      </c>
      <c r="C8" s="2">
        <f ca="1">IFERROR(__xludf.DUMMYFUNCTION("""COMPUTED_VALUE"""),6.6)</f>
        <v>6.6</v>
      </c>
      <c r="D8" s="2" t="str">
        <f ca="1">IFERROR(__xludf.DUMMYFUNCTION("""COMPUTED_VALUE"""),"Q GS")</f>
        <v>Q GS</v>
      </c>
      <c r="E8" s="2">
        <f ca="1">IFERROR(__xludf.DUMMYFUNCTION("""COMPUTED_VALUE"""),1.5)</f>
        <v>1.5</v>
      </c>
      <c r="F8" s="2">
        <f ca="1">IFERROR(__xludf.DUMMYFUNCTION("""COMPUTED_VALUE"""),3.3)</f>
        <v>3.3</v>
      </c>
      <c r="G8" s="4"/>
    </row>
    <row r="9" spans="1:7" ht="15.75" customHeight="1" x14ac:dyDescent="0.4">
      <c r="A9" s="2" t="str">
        <f ca="1">IFERROR(__xludf.DUMMYFUNCTION("""COMPUTED_VALUE"""),"Q R16")</f>
        <v>Q R16</v>
      </c>
      <c r="B9" s="2">
        <f ca="1">IFERROR(__xludf.DUMMYFUNCTION("""COMPUTED_VALUE"""),3)</f>
        <v>3</v>
      </c>
      <c r="C9" s="2">
        <f ca="1">IFERROR(__xludf.DUMMYFUNCTION("""COMPUTED_VALUE"""),9.6)</f>
        <v>9.6</v>
      </c>
      <c r="D9" s="2" t="str">
        <f ca="1">IFERROR(__xludf.DUMMYFUNCTION("""COMPUTED_VALUE"""),"Q R32")</f>
        <v>Q R32</v>
      </c>
      <c r="E9" s="2">
        <f ca="1">IFERROR(__xludf.DUMMYFUNCTION("""COMPUTED_VALUE"""),1.5)</f>
        <v>1.5</v>
      </c>
      <c r="F9" s="2">
        <f ca="1">IFERROR(__xludf.DUMMYFUNCTION("""COMPUTED_VALUE"""),4.8)</f>
        <v>4.8</v>
      </c>
      <c r="G9" s="2">
        <f ca="1">E9</f>
        <v>1.5</v>
      </c>
    </row>
    <row r="10" spans="1:7" ht="15.75" customHeight="1" x14ac:dyDescent="0.4">
      <c r="A10" s="2" t="str">
        <f ca="1">IFERROR(__xludf.DUMMYFUNCTION("""COMPUTED_VALUE"""),"Q QF")</f>
        <v>Q QF</v>
      </c>
      <c r="B10" s="2">
        <f ca="1">IFERROR(__xludf.DUMMYFUNCTION("""COMPUTED_VALUE"""),2)</f>
        <v>2</v>
      </c>
      <c r="C10" s="2">
        <f ca="1">IFERROR(__xludf.DUMMYFUNCTION("""COMPUTED_VALUE"""),11.6)</f>
        <v>11.6</v>
      </c>
      <c r="D10" s="2" t="str">
        <f ca="1">IFERROR(__xludf.DUMMYFUNCTION("""COMPUTED_VALUE"""),"Q R16")</f>
        <v>Q R16</v>
      </c>
      <c r="E10" s="2">
        <f ca="1">IFERROR(__xludf.DUMMYFUNCTION("""COMPUTED_VALUE"""),1)</f>
        <v>1</v>
      </c>
      <c r="F10" s="2">
        <f ca="1">IFERROR(__xludf.DUMMYFUNCTION("""COMPUTED_VALUE"""),5.8)</f>
        <v>5.8</v>
      </c>
      <c r="G10" s="2">
        <f t="shared" ref="G10:G14" ca="1" si="0">E10+G9</f>
        <v>2.5</v>
      </c>
    </row>
    <row r="11" spans="1:7" ht="15.75" customHeight="1" x14ac:dyDescent="0.4">
      <c r="A11" s="2" t="str">
        <f ca="1">IFERROR(__xludf.DUMMYFUNCTION("""COMPUTED_VALUE"""),"Q SF")</f>
        <v>Q SF</v>
      </c>
      <c r="B11" s="2">
        <f ca="1">IFERROR(__xludf.DUMMYFUNCTION("""COMPUTED_VALUE"""),2)</f>
        <v>2</v>
      </c>
      <c r="C11" s="2">
        <f ca="1">IFERROR(__xludf.DUMMYFUNCTION("""COMPUTED_VALUE"""),13.6)</f>
        <v>13.6</v>
      </c>
      <c r="D11" s="2" t="str">
        <f ca="1">IFERROR(__xludf.DUMMYFUNCTION("""COMPUTED_VALUE"""),"Q QF")</f>
        <v>Q QF</v>
      </c>
      <c r="E11" s="2">
        <f ca="1">IFERROR(__xludf.DUMMYFUNCTION("""COMPUTED_VALUE"""),1)</f>
        <v>1</v>
      </c>
      <c r="F11" s="2">
        <f ca="1">IFERROR(__xludf.DUMMYFUNCTION("""COMPUTED_VALUE"""),6.8)</f>
        <v>6.8</v>
      </c>
      <c r="G11" s="2">
        <f t="shared" ca="1" si="0"/>
        <v>3.5</v>
      </c>
    </row>
    <row r="12" spans="1:7" ht="15.75" customHeight="1" x14ac:dyDescent="0.4">
      <c r="A12" s="2" t="str">
        <f ca="1">IFERROR(__xludf.DUMMYFUNCTION("""COMPUTED_VALUE"""),"Q F")</f>
        <v>Q F</v>
      </c>
      <c r="B12" s="2">
        <f ca="1">IFERROR(__xludf.DUMMYFUNCTION("""COMPUTED_VALUE"""),2)</f>
        <v>2</v>
      </c>
      <c r="C12" s="2">
        <f ca="1">IFERROR(__xludf.DUMMYFUNCTION("""COMPUTED_VALUE"""),15.6)</f>
        <v>15.6</v>
      </c>
      <c r="D12" s="2" t="str">
        <f ca="1">IFERROR(__xludf.DUMMYFUNCTION("""COMPUTED_VALUE"""),"Q SF")</f>
        <v>Q SF</v>
      </c>
      <c r="E12" s="2">
        <f ca="1">IFERROR(__xludf.DUMMYFUNCTION("""COMPUTED_VALUE"""),1)</f>
        <v>1</v>
      </c>
      <c r="F12" s="2">
        <f ca="1">IFERROR(__xludf.DUMMYFUNCTION("""COMPUTED_VALUE"""),7.8)</f>
        <v>7.8</v>
      </c>
      <c r="G12" s="2">
        <f t="shared" ca="1" si="0"/>
        <v>4.5</v>
      </c>
    </row>
    <row r="13" spans="1:7" ht="15.75" customHeight="1" x14ac:dyDescent="0.4">
      <c r="A13" s="2" t="str">
        <f ca="1">IFERROR(__xludf.DUMMYFUNCTION("""COMPUTED_VALUE"""),"W F")</f>
        <v>W F</v>
      </c>
      <c r="B13" s="2">
        <f ca="1">IFERROR(__xludf.DUMMYFUNCTION("""COMPUTED_VALUE"""),2)</f>
        <v>2</v>
      </c>
      <c r="C13" s="2">
        <f ca="1">IFERROR(__xludf.DUMMYFUNCTION("""COMPUTED_VALUE"""),17.6)</f>
        <v>17.600000000000001</v>
      </c>
      <c r="D13" s="2" t="str">
        <f ca="1">IFERROR(__xludf.DUMMYFUNCTION("""COMPUTED_VALUE"""),"Q F")</f>
        <v>Q F</v>
      </c>
      <c r="E13" s="2">
        <f ca="1">IFERROR(__xludf.DUMMYFUNCTION("""COMPUTED_VALUE"""),1)</f>
        <v>1</v>
      </c>
      <c r="F13" s="2">
        <f ca="1">IFERROR(__xludf.DUMMYFUNCTION("""COMPUTED_VALUE"""),8.8)</f>
        <v>8.8000000000000007</v>
      </c>
      <c r="G13" s="2">
        <f t="shared" ca="1" si="0"/>
        <v>5.5</v>
      </c>
    </row>
    <row r="14" spans="1:7" ht="15.75" customHeight="1" x14ac:dyDescent="0.4">
      <c r="D14" s="2" t="str">
        <f ca="1">IFERROR(__xludf.DUMMYFUNCTION("""COMPUTED_VALUE"""),"W F")</f>
        <v>W F</v>
      </c>
      <c r="E14" s="2">
        <f ca="1">IFERROR(__xludf.DUMMYFUNCTION("""COMPUTED_VALUE"""),1)</f>
        <v>1</v>
      </c>
      <c r="F14" s="2">
        <f ca="1">IFERROR(__xludf.DUMMYFUNCTION("""COMPUTED_VALUE"""),9.8)</f>
        <v>9.8000000000000007</v>
      </c>
      <c r="G14" s="2">
        <f t="shared" ca="1" si="0"/>
        <v>6.5</v>
      </c>
    </row>
  </sheetData>
  <mergeCells count="2">
    <mergeCell ref="A1:C1"/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BS1001"/>
  <sheetViews>
    <sheetView tabSelected="1" topLeftCell="AT1" zoomScale="115" zoomScaleNormal="115" workbookViewId="0">
      <selection activeCell="BI111" sqref="BI111"/>
    </sheetView>
  </sheetViews>
  <sheetFormatPr defaultColWidth="12.609375" defaultRowHeight="15.75" customHeight="1" x14ac:dyDescent="0.4"/>
  <cols>
    <col min="2" max="2" width="0.71875" customWidth="1"/>
    <col min="4" max="10" width="3.21875" customWidth="1"/>
    <col min="11" max="25" width="3.88671875" customWidth="1"/>
    <col min="26" max="26" width="0.71875" customWidth="1"/>
    <col min="27" max="33" width="3.21875" customWidth="1"/>
    <col min="34" max="49" width="3.88671875" customWidth="1"/>
    <col min="50" max="50" width="0.71875" customWidth="1"/>
    <col min="51" max="51" width="6.38671875" customWidth="1"/>
    <col min="52" max="52" width="9.5" customWidth="1"/>
    <col min="53" max="53" width="6.38671875" customWidth="1"/>
    <col min="55" max="55" width="0.71875" customWidth="1"/>
    <col min="56" max="59" width="1.38671875" customWidth="1"/>
    <col min="60" max="63" width="3.21875" customWidth="1"/>
    <col min="64" max="64" width="6.38671875" customWidth="1"/>
    <col min="66" max="67" width="6.38671875" customWidth="1"/>
    <col min="68" max="70" width="3.88671875" customWidth="1"/>
  </cols>
  <sheetData>
    <row r="2" spans="1:71" ht="15.75" customHeight="1" x14ac:dyDescent="0.4">
      <c r="A2" s="2" t="str">
        <f ca="1">IFERROR(__xludf.DUMMYFUNCTION("IMPORTRANGE(""https://docs.google.com/spreadsheets/d/15PkvtCYyUOtLvFPW5IzRScOXYcwcdp24m13K6ijHyJk/edit#gid=1653983541"", ""Strength Coefficients!AJ1:AL240"")"),"")</f>
        <v/>
      </c>
      <c r="B2" s="2"/>
      <c r="C2" s="2"/>
      <c r="D2" s="2" t="str">
        <f ca="1">IFERROR(__xludf.DUMMYFUNCTION("IMPORTRANGE(""https://docs.google.com/spreadsheets/d/15PkvtCYyUOtLvFPW5IzRScOXYcwcdp24m13K6ijHyJk/edit#gid=1963172304"", ""UCL Rankings!c1:x240"")"),"PR1")</f>
        <v>PR1</v>
      </c>
      <c r="E2" s="2" t="str">
        <f ca="1">IFERROR(__xludf.DUMMYFUNCTION("""COMPUTED_VALUE"""),"PR2")</f>
        <v>PR2</v>
      </c>
      <c r="F2" s="2" t="str">
        <f ca="1">IFERROR(__xludf.DUMMYFUNCTION("""COMPUTED_VALUE"""),"FR")</f>
        <v>FR</v>
      </c>
      <c r="G2" s="2" t="str">
        <f ca="1">IFERROR(__xludf.DUMMYFUNCTION("""COMPUTED_VALUE"""),"SR")</f>
        <v>SR</v>
      </c>
      <c r="H2" s="2" t="str">
        <f ca="1">IFERROR(__xludf.DUMMYFUNCTION("""COMPUTED_VALUE"""),"TR")</f>
        <v>TR</v>
      </c>
      <c r="I2" s="2" t="str">
        <f ca="1">IFERROR(__xludf.DUMMYFUNCTION("""COMPUTED_VALUE"""),"POR")</f>
        <v>POR</v>
      </c>
      <c r="J2" s="2" t="str">
        <f ca="1">IFERROR(__xludf.DUMMYFUNCTION("""COMPUTED_VALUE"""),"GS")</f>
        <v>GS</v>
      </c>
      <c r="K2" s="2" t="str">
        <f ca="1">IFERROR(__xludf.DUMMYFUNCTION("""COMPUTED_VALUE"""),"R16")</f>
        <v>R16</v>
      </c>
      <c r="L2" s="2" t="str">
        <f ca="1">IFERROR(__xludf.DUMMYFUNCTION("""COMPUTED_VALUE"""),"QF")</f>
        <v>QF</v>
      </c>
      <c r="M2" s="2" t="str">
        <f ca="1">IFERROR(__xludf.DUMMYFUNCTION("""COMPUTED_VALUE"""),"SF")</f>
        <v>SF</v>
      </c>
      <c r="N2" s="2" t="str">
        <f ca="1">IFERROR(__xludf.DUMMYFUNCTION("""COMPUTED_VALUE"""),"F")</f>
        <v>F</v>
      </c>
      <c r="O2" s="5" t="str">
        <f ca="1">IFERROR(__xludf.DUMMYFUNCTION("""COMPUTED_VALUE"""),"PR1 PTS")</f>
        <v>PR1 PTS</v>
      </c>
      <c r="P2" s="2" t="str">
        <f ca="1">IFERROR(__xludf.DUMMYFUNCTION("""COMPUTED_VALUE"""),"PR2 PTS")</f>
        <v>PR2 PTS</v>
      </c>
      <c r="Q2" s="2" t="str">
        <f ca="1">IFERROR(__xludf.DUMMYFUNCTION("""COMPUTED_VALUE"""),"FR PTS")</f>
        <v>FR PTS</v>
      </c>
      <c r="R2" s="2" t="str">
        <f ca="1">IFERROR(__xludf.DUMMYFUNCTION("""COMPUTED_VALUE"""),"SR PTS")</f>
        <v>SR PTS</v>
      </c>
      <c r="S2" s="2" t="str">
        <f ca="1">IFERROR(__xludf.DUMMYFUNCTION("""COMPUTED_VALUE"""),"TR PTS")</f>
        <v>TR PTS</v>
      </c>
      <c r="T2" s="2" t="str">
        <f ca="1">IFERROR(__xludf.DUMMYFUNCTION("""COMPUTED_VALUE"""),"POR PTS")</f>
        <v>POR PTS</v>
      </c>
      <c r="U2" s="2" t="str">
        <f ca="1">IFERROR(__xludf.DUMMYFUNCTION("""COMPUTED_VALUE"""),"GS PTS")</f>
        <v>GS PTS</v>
      </c>
      <c r="V2" s="2" t="str">
        <f ca="1">IFERROR(__xludf.DUMMYFUNCTION("""COMPUTED_VALUE"""),"R16 PTS")</f>
        <v>R16 PTS</v>
      </c>
      <c r="W2" s="2" t="str">
        <f ca="1">IFERROR(__xludf.DUMMYFUNCTION("""COMPUTED_VALUE"""),"QF PTS")</f>
        <v>QF PTS</v>
      </c>
      <c r="X2" s="2" t="str">
        <f ca="1">IFERROR(__xludf.DUMMYFUNCTION("""COMPUTED_VALUE"""),"SF PTS")</f>
        <v>SF PTS</v>
      </c>
      <c r="Y2" s="2" t="str">
        <f ca="1">IFERROR(__xludf.DUMMYFUNCTION("""COMPUTED_VALUE"""),"F PTS")</f>
        <v>F PTS</v>
      </c>
      <c r="AA2" s="6" t="s">
        <v>3</v>
      </c>
      <c r="AB2" s="2" t="str">
        <f ca="1">IFERROR(__xludf.DUMMYFUNCTION("IMPORTRANGE(""https://docs.google.com/spreadsheets/d/1mtJZJUnusr02j5gl2lP2VLlpl1MZPMjHF5VZ8A8ez84/edit#gid=1915350343"", ""UeL Rankings!c1:x240"")"),"PR")</f>
        <v>PR</v>
      </c>
      <c r="AC2" s="2" t="str">
        <f ca="1">IFERROR(__xludf.DUMMYFUNCTION("""COMPUTED_VALUE"""),"FR")</f>
        <v>FR</v>
      </c>
      <c r="AD2" s="2" t="str">
        <f ca="1">IFERROR(__xludf.DUMMYFUNCTION("""COMPUTED_VALUE"""),"SR")</f>
        <v>SR</v>
      </c>
      <c r="AE2" s="2" t="str">
        <f ca="1">IFERROR(__xludf.DUMMYFUNCTION("""COMPUTED_VALUE"""),"TR")</f>
        <v>TR</v>
      </c>
      <c r="AF2" s="2" t="str">
        <f ca="1">IFERROR(__xludf.DUMMYFUNCTION("""COMPUTED_VALUE"""),"POR")</f>
        <v>POR</v>
      </c>
      <c r="AG2" s="2" t="str">
        <f ca="1">IFERROR(__xludf.DUMMYFUNCTION("""COMPUTED_VALUE"""),"GS")</f>
        <v>GS</v>
      </c>
      <c r="AH2" s="2" t="str">
        <f ca="1">IFERROR(__xludf.DUMMYFUNCTION("""COMPUTED_VALUE"""),"R32")</f>
        <v>R32</v>
      </c>
      <c r="AI2" s="2" t="str">
        <f ca="1">IFERROR(__xludf.DUMMYFUNCTION("""COMPUTED_VALUE"""),"R16")</f>
        <v>R16</v>
      </c>
      <c r="AJ2" s="2" t="str">
        <f ca="1">IFERROR(__xludf.DUMMYFUNCTION("""COMPUTED_VALUE"""),"QF")</f>
        <v>QF</v>
      </c>
      <c r="AK2" s="2" t="str">
        <f ca="1">IFERROR(__xludf.DUMMYFUNCTION("""COMPUTED_VALUE"""),"SF")</f>
        <v>SF</v>
      </c>
      <c r="AL2" s="2" t="str">
        <f ca="1">IFERROR(__xludf.DUMMYFUNCTION("""COMPUTED_VALUE"""),"F")</f>
        <v>F</v>
      </c>
      <c r="AM2" s="2" t="str">
        <f ca="1">IFERROR(__xludf.DUMMYFUNCTION("""COMPUTED_VALUE"""),"PR PTS")</f>
        <v>PR PTS</v>
      </c>
      <c r="AN2" s="2" t="str">
        <f ca="1">IFERROR(__xludf.DUMMYFUNCTION("""COMPUTED_VALUE"""),"FR PTS")</f>
        <v>FR PTS</v>
      </c>
      <c r="AO2" s="2" t="str">
        <f ca="1">IFERROR(__xludf.DUMMYFUNCTION("""COMPUTED_VALUE"""),"SR PTS")</f>
        <v>SR PTS</v>
      </c>
      <c r="AP2" s="2" t="str">
        <f ca="1">IFERROR(__xludf.DUMMYFUNCTION("""COMPUTED_VALUE"""),"TR PTS")</f>
        <v>TR PTS</v>
      </c>
      <c r="AQ2" s="2" t="str">
        <f ca="1">IFERROR(__xludf.DUMMYFUNCTION("""COMPUTED_VALUE"""),"POR PTS")</f>
        <v>POR PTS</v>
      </c>
      <c r="AR2" s="2" t="str">
        <f ca="1">IFERROR(__xludf.DUMMYFUNCTION("""COMPUTED_VALUE"""),"GS PTS")</f>
        <v>GS PTS</v>
      </c>
      <c r="AS2" s="2" t="str">
        <f ca="1">IFERROR(__xludf.DUMMYFUNCTION("""COMPUTED_VALUE"""),"R32 PTS")</f>
        <v>R32 PTS</v>
      </c>
      <c r="AT2" s="2" t="str">
        <f ca="1">IFERROR(__xludf.DUMMYFUNCTION("""COMPUTED_VALUE"""),"R16 PTS")</f>
        <v>R16 PTS</v>
      </c>
      <c r="AU2" s="2" t="str">
        <f ca="1">IFERROR(__xludf.DUMMYFUNCTION("""COMPUTED_VALUE"""),"QF PTS")</f>
        <v>QF PTS</v>
      </c>
      <c r="AV2" s="2" t="str">
        <f ca="1">IFERROR(__xludf.DUMMYFUNCTION("""COMPUTED_VALUE"""),"SF PTS")</f>
        <v>SF PTS</v>
      </c>
      <c r="AW2" s="2" t="str">
        <f ca="1">IFERROR(__xludf.DUMMYFUNCTION("""COMPUTED_VALUE"""),"F PTS")</f>
        <v>F PTS</v>
      </c>
      <c r="AY2" s="3" t="s">
        <v>4</v>
      </c>
      <c r="AZ2" s="3" t="s">
        <v>5</v>
      </c>
      <c r="BA2" s="3" t="s">
        <v>6</v>
      </c>
      <c r="BB2" s="3" t="s">
        <v>7</v>
      </c>
      <c r="BJ2" s="7"/>
      <c r="BL2" s="8" t="s">
        <v>8</v>
      </c>
      <c r="BM2" s="8" t="s">
        <v>9</v>
      </c>
      <c r="BN2" s="9" t="s">
        <v>10</v>
      </c>
      <c r="BO2" s="8" t="s">
        <v>11</v>
      </c>
      <c r="BP2" s="8" t="s">
        <v>12</v>
      </c>
      <c r="BQ2" s="8" t="s">
        <v>13</v>
      </c>
      <c r="BR2" s="8" t="s">
        <v>14</v>
      </c>
      <c r="BS2" s="8" t="s">
        <v>15</v>
      </c>
    </row>
    <row r="3" spans="1:71" ht="13.8" x14ac:dyDescent="0.45">
      <c r="A3" s="2" t="str">
        <f ca="1">IFERROR(__xludf.DUMMYFUNCTION("""COMPUTED_VALUE"""),"1899 Hoffenheim")</f>
        <v>1899 Hoffenheim</v>
      </c>
      <c r="B3" s="2">
        <f ca="1">IFERROR(__xludf.DUMMYFUNCTION("""COMPUTED_VALUE"""),0.909999999999999)</f>
        <v>0.90999999999999903</v>
      </c>
      <c r="C3" s="2" t="str">
        <f ca="1">IFERROR(__xludf.DUMMYFUNCTION("""COMPUTED_VALUE"""),"Germany")</f>
        <v>Germany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">
        <f ca="1">IFERROR(__xludf.DUMMYFUNCTION("""COMPUTED_VALUE"""),0)</f>
        <v>0</v>
      </c>
      <c r="P3" s="2">
        <f ca="1">IFERROR(__xludf.DUMMYFUNCTION("""COMPUTED_VALUE"""),0)</f>
        <v>0</v>
      </c>
      <c r="Q3" s="2">
        <f ca="1">IFERROR(__xludf.DUMMYFUNCTION("""COMPUTED_VALUE"""),0)</f>
        <v>0</v>
      </c>
      <c r="R3" s="2">
        <f ca="1">IFERROR(__xludf.DUMMYFUNCTION("""COMPUTED_VALUE"""),0)</f>
        <v>0</v>
      </c>
      <c r="S3" s="2">
        <f ca="1">IFERROR(__xludf.DUMMYFUNCTION("""COMPUTED_VALUE"""),0)</f>
        <v>0</v>
      </c>
      <c r="T3" s="2">
        <f ca="1">IFERROR(__xludf.DUMMYFUNCTION("""COMPUTED_VALUE"""),0)</f>
        <v>0</v>
      </c>
      <c r="U3" s="2">
        <f ca="1">IFERROR(__xludf.DUMMYFUNCTION("""COMPUTED_VALUE"""),0)</f>
        <v>0</v>
      </c>
      <c r="V3" s="2">
        <f ca="1">IFERROR(__xludf.DUMMYFUNCTION("""COMPUTED_VALUE"""),0)</f>
        <v>0</v>
      </c>
      <c r="W3" s="2">
        <f ca="1">IFERROR(__xludf.DUMMYFUNCTION("""COMPUTED_VALUE"""),0)</f>
        <v>0</v>
      </c>
      <c r="X3" s="2">
        <f ca="1">IFERROR(__xludf.DUMMYFUNCTION("""COMPUTED_VALUE"""),0)</f>
        <v>0</v>
      </c>
      <c r="Y3" s="2">
        <f ca="1">IFERROR(__xludf.DUMMYFUNCTION("""COMPUTED_VALUE"""),0)</f>
        <v>0</v>
      </c>
      <c r="AB3" s="2"/>
      <c r="AC3" s="2"/>
      <c r="AD3" s="2"/>
      <c r="AE3" s="2"/>
      <c r="AF3" s="2"/>
      <c r="AG3" s="2" t="str">
        <f ca="1">IFERROR(__xludf.DUMMYFUNCTION("""COMPUTED_VALUE"""),"X")</f>
        <v>X</v>
      </c>
      <c r="AH3" s="2" t="str">
        <f ca="1">IFERROR(__xludf.DUMMYFUNCTION("""COMPUTED_VALUE"""),"X")</f>
        <v>X</v>
      </c>
      <c r="AI3" s="2"/>
      <c r="AJ3" s="2"/>
      <c r="AK3" s="2"/>
      <c r="AL3" s="2"/>
      <c r="AM3" s="2">
        <f ca="1">IFERROR(__xludf.DUMMYFUNCTION("""COMPUTED_VALUE"""),0)</f>
        <v>0</v>
      </c>
      <c r="AN3" s="2">
        <f ca="1">IFERROR(__xludf.DUMMYFUNCTION("""COMPUTED_VALUE"""),0)</f>
        <v>0</v>
      </c>
      <c r="AO3" s="2">
        <f ca="1">IFERROR(__xludf.DUMMYFUNCTION("""COMPUTED_VALUE"""),0)</f>
        <v>0</v>
      </c>
      <c r="AP3" s="2">
        <f ca="1">IFERROR(__xludf.DUMMYFUNCTION("""COMPUTED_VALUE"""),0)</f>
        <v>0</v>
      </c>
      <c r="AQ3" s="2">
        <f ca="1">IFERROR(__xludf.DUMMYFUNCTION("""COMPUTED_VALUE"""),0)</f>
        <v>0</v>
      </c>
      <c r="AR3" s="2">
        <f ca="1">IFERROR(__xludf.DUMMYFUNCTION("""COMPUTED_VALUE"""),20.39125)</f>
        <v>20.391249999999999</v>
      </c>
      <c r="AS3" s="2">
        <f ca="1">IFERROR(__xludf.DUMMYFUNCTION("""COMPUTED_VALUE"""),2.06)</f>
        <v>2.06</v>
      </c>
      <c r="AT3" s="2">
        <f ca="1">IFERROR(__xludf.DUMMYFUNCTION("""COMPUTED_VALUE"""),0)</f>
        <v>0</v>
      </c>
      <c r="AU3" s="2">
        <f ca="1">IFERROR(__xludf.DUMMYFUNCTION("""COMPUTED_VALUE"""),0)</f>
        <v>0</v>
      </c>
      <c r="AV3" s="2">
        <f ca="1">IFERROR(__xludf.DUMMYFUNCTION("""COMPUTED_VALUE"""),0)</f>
        <v>0</v>
      </c>
      <c r="AW3" s="2">
        <f ca="1">IFERROR(__xludf.DUMMYFUNCTION("""COMPUTED_VALUE"""),0)</f>
        <v>0</v>
      </c>
      <c r="AY3" s="2">
        <f t="shared" ref="AY3:AY239" ca="1" si="0">IF(D3="X", 1, 0)+IF(E3="X", 1, 0)+IF(F3="X", 1, 0)+IF(G3="X", 1, 0)+IF(H3="X", 1, 0)+IF(I3="X", 2, 0)+IF(J3="X", 6, 0)+IF(K3="X", 2, 0)+IF(L3="X", 2)+IF(M3="X", 2, 0)+IF(OR(N3="X",N3="W"), 1, 0)+IF(AB3="X", 1, 0)+IF(AC3="X", 1, 0)+IF(AD3="X", 1, 0)+IF(AE3="X", 1, 0)+IF(AF3="X", 1, 0)+IF(AG3="X", 6, 0)+IF(AH3="X", 2, 0)+IF(AI3="X", 2, 0)+IF(AJ3="X", 2, 0)+IF(AK3="X", 2, 0)+IF(OR(AL3="X", AL3="W"), 1, 0)</f>
        <v>8</v>
      </c>
      <c r="AZ3" s="2" t="e">
        <f ca="1">IF(NOT(COUNTA(D3:J3)), _xludf.IFS(AL3="W", 'Round Bonuses'!$F$14, AL3="X", 'Round Bonuses'!$F$13, AK3="X", 'Round Bonuses'!$F$12, AJ3="X", 'Round Bonuses'!$F$11, AI3="X", 'Round Bonuses'!$F$10, AH3="X", 'Round Bonuses'!$F$9, AG3="X", 'Round Bonuses'!$F$8, AF3="X", 'Round Bonuses'!$F$7, AE3="X", 'Round Bonuses'!$F$6, AD3="X", 'Round Bonuses'!$F$5, AC3="X", 'Round Bonuses'!$F$4, AB3="X", 'Round Bonuses'!$F$3, TRUE, 0), IF(AA3="X", _xludf.IFS(AD3="X", 'Round Bonuses'!$E$4, AF3="X",'Round Bonuses'!$E$6,TRUE, 'Round Bonuses'!$E$7), 0) +IF(AB3="X", 'Round Bonuses'!$E$3, 0)+IF(AC3="X",'Round Bonuses'!$E$4, 0)+IF(AD3="X", 'Round Bonuses'!$E$5, 0)+IF(AE3="X", 'Round Bonuses'!$E$6, 0)+IF(AF3="X", 'Round Bonuses'!$E$7, 0)+IF(AG3="X", 'Round Bonuses'!$E$8, 0)+_xludf.IFS(AL3="W", 'Round Bonuses'!$G$14, AL3="X", 'Round Bonuses'!$G$13, AK3="X", 'Round Bonuses'!$G$12, AJ3="X", 'Round Bonuses'!$G$11, AI3="X", 'Round Bonuses'!$G$10, AH3="X", 'Round Bonuses'!$G$9, TRUE, 0))+_xludf.IFS(N3="W", 'Round Bonuses'!$C$13, N3="X", 'Round Bonuses'!$C$12, M3="X", 'Round Bonuses'!$C$11, L3="X", 'Round Bonuses'!$C$10, K3="X", 'Round Bonuses'!$C$9, J3="X", 'Round Bonuses'!$C$8, I3="X", 'Round Bonuses'!$C$7, H3="X", 'Round Bonuses'!$C$6, G3="X", 'Round Bonuses'!$C$5, F3="X", 'Round Bonuses'!$C$4, E3="X", 'Round Bonuses'!$C$3, D3="X", 'Round Bonuses'!$C$3, TRUE, 0)</f>
        <v>#NAME?</v>
      </c>
      <c r="BA3" s="2">
        <f t="shared" ref="BA3:BA239" ca="1" si="1">SUM(O3:Y3)+SUM(AM3:AW3)</f>
        <v>22.451249999999998</v>
      </c>
      <c r="BB3" s="10" t="e">
        <f t="shared" ref="BB3:BB239" ca="1" si="2">(BA3/IF(AY3, AY3, 1))+AZ3</f>
        <v>#NAME?</v>
      </c>
      <c r="BD3" s="11" t="str">
        <f t="shared" ref="BD3:BD239" ca="1" si="3">A3</f>
        <v>1899 Hoffenheim</v>
      </c>
      <c r="BE3" s="2" t="str">
        <f t="shared" ref="BE3:BE239" ca="1" si="4">C3</f>
        <v>Germany</v>
      </c>
      <c r="BF3" s="2" t="e">
        <f t="shared" ref="BF3:BF239" ca="1" si="5">BB3</f>
        <v>#NAME?</v>
      </c>
      <c r="BG3" s="2">
        <f t="shared" ref="BG3:BG239" ca="1" si="6">AY3</f>
        <v>8</v>
      </c>
      <c r="BH3" s="2" t="s">
        <v>323</v>
      </c>
      <c r="BI3" s="2" t="s">
        <v>16</v>
      </c>
      <c r="BJ3" s="7">
        <v>20.614903846153847</v>
      </c>
      <c r="BK3" s="2">
        <v>13</v>
      </c>
      <c r="BL3" s="3">
        <v>1</v>
      </c>
      <c r="BM3" s="2" t="str">
        <f t="shared" ref="BM3:BM239" si="7">BH3</f>
        <v>Chelsea</v>
      </c>
      <c r="BN3" s="7">
        <f t="shared" ref="BN3:BO3" si="8">BJ3</f>
        <v>20.614903846153847</v>
      </c>
      <c r="BO3" s="2">
        <f t="shared" si="8"/>
        <v>13</v>
      </c>
      <c r="BS3" s="2" t="str">
        <f t="shared" ref="BS3:BS239" si="9">BI3</f>
        <v>England</v>
      </c>
    </row>
    <row r="4" spans="1:71" ht="13.8" x14ac:dyDescent="0.45">
      <c r="A4" s="2" t="str">
        <f ca="1">IFERROR(__xludf.DUMMYFUNCTION("""COMPUTED_VALUE"""),"Aberdeen")</f>
        <v>Aberdeen</v>
      </c>
      <c r="B4" s="2">
        <f ca="1">IFERROR(__xludf.DUMMYFUNCTION("""COMPUTED_VALUE"""),0.77)</f>
        <v>0.77</v>
      </c>
      <c r="C4" s="2" t="str">
        <f ca="1">IFERROR(__xludf.DUMMYFUNCTION("""COMPUTED_VALUE"""),"Scotland")</f>
        <v>Scotland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">
        <f ca="1">IFERROR(__xludf.DUMMYFUNCTION("""COMPUTED_VALUE"""),0)</f>
        <v>0</v>
      </c>
      <c r="P4" s="2">
        <f ca="1">IFERROR(__xludf.DUMMYFUNCTION("""COMPUTED_VALUE"""),0)</f>
        <v>0</v>
      </c>
      <c r="Q4" s="2">
        <f ca="1">IFERROR(__xludf.DUMMYFUNCTION("""COMPUTED_VALUE"""),0)</f>
        <v>0</v>
      </c>
      <c r="R4" s="2">
        <f ca="1">IFERROR(__xludf.DUMMYFUNCTION("""COMPUTED_VALUE"""),0)</f>
        <v>0</v>
      </c>
      <c r="S4" s="2">
        <f ca="1">IFERROR(__xludf.DUMMYFUNCTION("""COMPUTED_VALUE"""),0)</f>
        <v>0</v>
      </c>
      <c r="T4" s="2">
        <f ca="1">IFERROR(__xludf.DUMMYFUNCTION("""COMPUTED_VALUE"""),0)</f>
        <v>0</v>
      </c>
      <c r="U4" s="2">
        <f ca="1">IFERROR(__xludf.DUMMYFUNCTION("""COMPUTED_VALUE"""),0)</f>
        <v>0</v>
      </c>
      <c r="V4" s="2">
        <f ca="1">IFERROR(__xludf.DUMMYFUNCTION("""COMPUTED_VALUE"""),0)</f>
        <v>0</v>
      </c>
      <c r="W4" s="2">
        <f ca="1">IFERROR(__xludf.DUMMYFUNCTION("""COMPUTED_VALUE"""),0)</f>
        <v>0</v>
      </c>
      <c r="X4" s="2">
        <f ca="1">IFERROR(__xludf.DUMMYFUNCTION("""COMPUTED_VALUE"""),0)</f>
        <v>0</v>
      </c>
      <c r="Y4" s="2">
        <f ca="1">IFERROR(__xludf.DUMMYFUNCTION("""COMPUTED_VALUE"""),0)</f>
        <v>0</v>
      </c>
      <c r="AB4" s="2"/>
      <c r="AC4" s="2" t="str">
        <f ca="1">IFERROR(__xludf.DUMMYFUNCTION("""COMPUTED_VALUE"""),"X")</f>
        <v>X</v>
      </c>
      <c r="AD4" s="2" t="str">
        <f ca="1">IFERROR(__xludf.DUMMYFUNCTION("""COMPUTED_VALUE"""),"X")</f>
        <v>X</v>
      </c>
      <c r="AE4" s="2" t="str">
        <f ca="1">IFERROR(__xludf.DUMMYFUNCTION("""COMPUTED_VALUE"""),"X")</f>
        <v>X</v>
      </c>
      <c r="AF4" s="2"/>
      <c r="AG4" s="2"/>
      <c r="AH4" s="2"/>
      <c r="AI4" s="2"/>
      <c r="AJ4" s="2"/>
      <c r="AK4" s="2"/>
      <c r="AL4" s="2"/>
      <c r="AM4" s="2">
        <f ca="1">IFERROR(__xludf.DUMMYFUNCTION("""COMPUTED_VALUE"""),0)</f>
        <v>0</v>
      </c>
      <c r="AN4" s="2">
        <f ca="1">IFERROR(__xludf.DUMMYFUNCTION("""COMPUTED_VALUE"""),2.28)</f>
        <v>2.2799999999999998</v>
      </c>
      <c r="AO4" s="2">
        <f ca="1">IFERROR(__xludf.DUMMYFUNCTION("""COMPUTED_VALUE"""),3.1875)</f>
        <v>3.1875</v>
      </c>
      <c r="AP4" s="2">
        <f ca="1">IFERROR(__xludf.DUMMYFUNCTION("""COMPUTED_VALUE"""),0.774999999999999)</f>
        <v>0.77499999999999902</v>
      </c>
      <c r="AQ4" s="2">
        <f ca="1">IFERROR(__xludf.DUMMYFUNCTION("""COMPUTED_VALUE"""),0)</f>
        <v>0</v>
      </c>
      <c r="AR4" s="2">
        <f ca="1">IFERROR(__xludf.DUMMYFUNCTION("""COMPUTED_VALUE"""),0)</f>
        <v>0</v>
      </c>
      <c r="AS4" s="2">
        <f ca="1">IFERROR(__xludf.DUMMYFUNCTION("""COMPUTED_VALUE"""),0)</f>
        <v>0</v>
      </c>
      <c r="AT4" s="2">
        <f ca="1">IFERROR(__xludf.DUMMYFUNCTION("""COMPUTED_VALUE"""),0)</f>
        <v>0</v>
      </c>
      <c r="AU4" s="2">
        <f ca="1">IFERROR(__xludf.DUMMYFUNCTION("""COMPUTED_VALUE"""),0)</f>
        <v>0</v>
      </c>
      <c r="AV4" s="2">
        <f ca="1">IFERROR(__xludf.DUMMYFUNCTION("""COMPUTED_VALUE"""),0)</f>
        <v>0</v>
      </c>
      <c r="AW4" s="2">
        <f ca="1">IFERROR(__xludf.DUMMYFUNCTION("""COMPUTED_VALUE"""),0)</f>
        <v>0</v>
      </c>
      <c r="AY4" s="2">
        <f t="shared" ca="1" si="0"/>
        <v>3</v>
      </c>
      <c r="AZ4" s="2" t="e">
        <f ca="1">IF(NOT(COUNTA(D4:J4)), _xludf.IFS(AL4="W", 'Round Bonuses'!$F$14, AL4="X", 'Round Bonuses'!$F$13, AK4="X", 'Round Bonuses'!$F$12, AJ4="X", 'Round Bonuses'!$F$11, AI4="X", 'Round Bonuses'!$F$10, AH4="X", 'Round Bonuses'!$F$9, AG4="X", 'Round Bonuses'!$F$8, AF4="X", 'Round Bonuses'!$F$7, AE4="X", 'Round Bonuses'!$F$6, AD4="X", 'Round Bonuses'!$F$5, AC4="X", 'Round Bonuses'!$F$4, AB4="X", 'Round Bonuses'!$F$3, TRUE, 0), IF(AA4="X", _xludf.IFS(AD4="X", 'Round Bonuses'!$E$4, AF4="X",'Round Bonuses'!$E$6,TRUE, 'Round Bonuses'!$E$7), 0) +IF(AB4="X", 'Round Bonuses'!$E$3, 0)+IF(AC4="X",'Round Bonuses'!$E$4, 0)+IF(AD4="X", 'Round Bonuses'!$E$5, 0)+IF(AE4="X", 'Round Bonuses'!$E$6, 0)+IF(AF4="X", 'Round Bonuses'!$E$7, 0)+IF(AG4="X", 'Round Bonuses'!$E$8, 0)+_xludf.IFS(AL4="W", 'Round Bonuses'!$G$14, AL4="X", 'Round Bonuses'!$G$13, AK4="X", 'Round Bonuses'!$G$12, AJ4="X", 'Round Bonuses'!$G$11, AI4="X", 'Round Bonuses'!$G$10, AH4="X", 'Round Bonuses'!$G$9, TRUE, 0))+_xludf.IFS(N4="W", 'Round Bonuses'!$C$13, N4="X", 'Round Bonuses'!$C$12, M4="X", 'Round Bonuses'!$C$11, L4="X", 'Round Bonuses'!$C$10, K4="X", 'Round Bonuses'!$C$9, J4="X", 'Round Bonuses'!$C$8, I4="X", 'Round Bonuses'!$C$7, H4="X", 'Round Bonuses'!$C$6, G4="X", 'Round Bonuses'!$C$5, F4="X", 'Round Bonuses'!$C$4, E4="X", 'Round Bonuses'!$C$3, D4="X", 'Round Bonuses'!$C$3, TRUE, 0)</f>
        <v>#NAME?</v>
      </c>
      <c r="BA4" s="2">
        <f t="shared" ca="1" si="1"/>
        <v>6.2424999999999979</v>
      </c>
      <c r="BB4" s="10" t="e">
        <f t="shared" ca="1" si="2"/>
        <v>#NAME?</v>
      </c>
      <c r="BD4" s="11" t="str">
        <f t="shared" ca="1" si="3"/>
        <v>Aberdeen</v>
      </c>
      <c r="BE4" s="2" t="str">
        <f t="shared" ca="1" si="4"/>
        <v>Scotland</v>
      </c>
      <c r="BF4" s="2" t="e">
        <f t="shared" ca="1" si="5"/>
        <v>#NAME?</v>
      </c>
      <c r="BG4" s="2">
        <f t="shared" ca="1" si="6"/>
        <v>3</v>
      </c>
      <c r="BH4" s="2" t="s">
        <v>17</v>
      </c>
      <c r="BI4" s="2" t="s">
        <v>16</v>
      </c>
      <c r="BJ4" s="7">
        <v>19.128557692307691</v>
      </c>
      <c r="BK4" s="2">
        <v>13</v>
      </c>
      <c r="BL4" s="2">
        <f t="shared" ref="BL4:BL239" si="10">BL3+1</f>
        <v>2</v>
      </c>
      <c r="BM4" s="2" t="str">
        <f t="shared" si="7"/>
        <v>Manchester City</v>
      </c>
      <c r="BN4" s="7">
        <f t="shared" ref="BN4:BO4" si="11">BJ4</f>
        <v>19.128557692307691</v>
      </c>
      <c r="BO4" s="2">
        <f t="shared" si="11"/>
        <v>13</v>
      </c>
      <c r="BS4" s="2" t="str">
        <f t="shared" si="9"/>
        <v>England</v>
      </c>
    </row>
    <row r="5" spans="1:71" ht="13.8" x14ac:dyDescent="0.45">
      <c r="A5" s="2" t="str">
        <f ca="1">IFERROR(__xludf.DUMMYFUNCTION("""COMPUTED_VALUE"""),"AEK Athens")</f>
        <v>AEK Athens</v>
      </c>
      <c r="B5" s="2">
        <f ca="1">IFERROR(__xludf.DUMMYFUNCTION("""COMPUTED_VALUE"""),0.84)</f>
        <v>0.84</v>
      </c>
      <c r="C5" s="2" t="str">
        <f ca="1">IFERROR(__xludf.DUMMYFUNCTION("""COMPUTED_VALUE"""),"Greece")</f>
        <v>Greece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5">
        <f ca="1">IFERROR(__xludf.DUMMYFUNCTION("""COMPUTED_VALUE"""),0)</f>
        <v>0</v>
      </c>
      <c r="P5" s="2">
        <f ca="1">IFERROR(__xludf.DUMMYFUNCTION("""COMPUTED_VALUE"""),0)</f>
        <v>0</v>
      </c>
      <c r="Q5" s="2">
        <f ca="1">IFERROR(__xludf.DUMMYFUNCTION("""COMPUTED_VALUE"""),0)</f>
        <v>0</v>
      </c>
      <c r="R5" s="2">
        <f ca="1">IFERROR(__xludf.DUMMYFUNCTION("""COMPUTED_VALUE"""),0)</f>
        <v>0</v>
      </c>
      <c r="S5" s="2">
        <f ca="1">IFERROR(__xludf.DUMMYFUNCTION("""COMPUTED_VALUE"""),0)</f>
        <v>0</v>
      </c>
      <c r="T5" s="2">
        <f ca="1">IFERROR(__xludf.DUMMYFUNCTION("""COMPUTED_VALUE"""),0)</f>
        <v>0</v>
      </c>
      <c r="U5" s="2">
        <f ca="1">IFERROR(__xludf.DUMMYFUNCTION("""COMPUTED_VALUE"""),0)</f>
        <v>0</v>
      </c>
      <c r="V5" s="2">
        <f ca="1">IFERROR(__xludf.DUMMYFUNCTION("""COMPUTED_VALUE"""),0)</f>
        <v>0</v>
      </c>
      <c r="W5" s="2">
        <f ca="1">IFERROR(__xludf.DUMMYFUNCTION("""COMPUTED_VALUE"""),0)</f>
        <v>0</v>
      </c>
      <c r="X5" s="2">
        <f ca="1">IFERROR(__xludf.DUMMYFUNCTION("""COMPUTED_VALUE"""),0)</f>
        <v>0</v>
      </c>
      <c r="Y5" s="2">
        <f ca="1">IFERROR(__xludf.DUMMYFUNCTION("""COMPUTED_VALUE"""),0)</f>
        <v>0</v>
      </c>
      <c r="AB5" s="2"/>
      <c r="AC5" s="2"/>
      <c r="AD5" s="2"/>
      <c r="AE5" s="2" t="str">
        <f ca="1">IFERROR(__xludf.DUMMYFUNCTION("""COMPUTED_VALUE"""),"X")</f>
        <v>X</v>
      </c>
      <c r="AF5" s="2" t="str">
        <f ca="1">IFERROR(__xludf.DUMMYFUNCTION("""COMPUTED_VALUE"""),"X")</f>
        <v>X</v>
      </c>
      <c r="AG5" s="2" t="str">
        <f ca="1">IFERROR(__xludf.DUMMYFUNCTION("""COMPUTED_VALUE"""),"X")</f>
        <v>X</v>
      </c>
      <c r="AH5" s="2"/>
      <c r="AI5" s="2"/>
      <c r="AJ5" s="2"/>
      <c r="AK5" s="2"/>
      <c r="AL5" s="2"/>
      <c r="AM5" s="2">
        <f ca="1">IFERROR(__xludf.DUMMYFUNCTION("""COMPUTED_VALUE"""),0)</f>
        <v>0</v>
      </c>
      <c r="AN5" s="2">
        <f ca="1">IFERROR(__xludf.DUMMYFUNCTION("""COMPUTED_VALUE"""),0)</f>
        <v>0</v>
      </c>
      <c r="AO5" s="2">
        <f ca="1">IFERROR(__xludf.DUMMYFUNCTION("""COMPUTED_VALUE"""),0)</f>
        <v>0</v>
      </c>
      <c r="AP5" s="2">
        <f ca="1">IFERROR(__xludf.DUMMYFUNCTION("""COMPUTED_VALUE"""),3.3825)</f>
        <v>3.3824999999999998</v>
      </c>
      <c r="AQ5" s="2">
        <f ca="1">IFERROR(__xludf.DUMMYFUNCTION("""COMPUTED_VALUE"""),3.71249999999999)</f>
        <v>3.7124999999999901</v>
      </c>
      <c r="AR5" s="2">
        <f ca="1">IFERROR(__xludf.DUMMYFUNCTION("""COMPUTED_VALUE"""),7.10875)</f>
        <v>7.1087499999999997</v>
      </c>
      <c r="AS5" s="2">
        <f ca="1">IFERROR(__xludf.DUMMYFUNCTION("""COMPUTED_VALUE"""),0)</f>
        <v>0</v>
      </c>
      <c r="AT5" s="2">
        <f ca="1">IFERROR(__xludf.DUMMYFUNCTION("""COMPUTED_VALUE"""),0)</f>
        <v>0</v>
      </c>
      <c r="AU5" s="2">
        <f ca="1">IFERROR(__xludf.DUMMYFUNCTION("""COMPUTED_VALUE"""),0)</f>
        <v>0</v>
      </c>
      <c r="AV5" s="2">
        <f ca="1">IFERROR(__xludf.DUMMYFUNCTION("""COMPUTED_VALUE"""),0)</f>
        <v>0</v>
      </c>
      <c r="AW5" s="2">
        <f ca="1">IFERROR(__xludf.DUMMYFUNCTION("""COMPUTED_VALUE"""),0)</f>
        <v>0</v>
      </c>
      <c r="AY5" s="2">
        <f t="shared" ca="1" si="0"/>
        <v>8</v>
      </c>
      <c r="AZ5" s="2" t="e">
        <f ca="1">IF(NOT(COUNTA(D5:J5)), _xludf.IFS(AL5="W", 'Round Bonuses'!$F$14, AL5="X", 'Round Bonuses'!$F$13, AK5="X", 'Round Bonuses'!$F$12, AJ5="X", 'Round Bonuses'!$F$11, AI5="X", 'Round Bonuses'!$F$10, AH5="X", 'Round Bonuses'!$F$9, AG5="X", 'Round Bonuses'!$F$8, AF5="X", 'Round Bonuses'!$F$7, AE5="X", 'Round Bonuses'!$F$6, AD5="X", 'Round Bonuses'!$F$5, AC5="X", 'Round Bonuses'!$F$4, AB5="X", 'Round Bonuses'!$F$3, TRUE, 0), IF(AA5="X", _xludf.IFS(AD5="X", 'Round Bonuses'!$E$4, AF5="X",'Round Bonuses'!$E$6,TRUE, 'Round Bonuses'!$E$7), 0) +IF(AB5="X", 'Round Bonuses'!$E$3, 0)+IF(AC5="X",'Round Bonuses'!$E$4, 0)+IF(AD5="X", 'Round Bonuses'!$E$5, 0)+IF(AE5="X", 'Round Bonuses'!$E$6, 0)+IF(AF5="X", 'Round Bonuses'!$E$7, 0)+IF(AG5="X", 'Round Bonuses'!$E$8, 0)+_xludf.IFS(AL5="W", 'Round Bonuses'!$G$14, AL5="X", 'Round Bonuses'!$G$13, AK5="X", 'Round Bonuses'!$G$12, AJ5="X", 'Round Bonuses'!$G$11, AI5="X", 'Round Bonuses'!$G$10, AH5="X", 'Round Bonuses'!$G$9, TRUE, 0))+_xludf.IFS(N5="W", 'Round Bonuses'!$C$13, N5="X", 'Round Bonuses'!$C$12, M5="X", 'Round Bonuses'!$C$11, L5="X", 'Round Bonuses'!$C$10, K5="X", 'Round Bonuses'!$C$9, J5="X", 'Round Bonuses'!$C$8, I5="X", 'Round Bonuses'!$C$7, H5="X", 'Round Bonuses'!$C$6, G5="X", 'Round Bonuses'!$C$5, F5="X", 'Round Bonuses'!$C$4, E5="X", 'Round Bonuses'!$C$3, D5="X", 'Round Bonuses'!$C$3, TRUE, 0)</f>
        <v>#NAME?</v>
      </c>
      <c r="BA5" s="2">
        <f t="shared" ca="1" si="1"/>
        <v>14.203749999999989</v>
      </c>
      <c r="BB5" s="10" t="e">
        <f t="shared" ca="1" si="2"/>
        <v>#NAME?</v>
      </c>
      <c r="BD5" s="11" t="str">
        <f t="shared" ca="1" si="3"/>
        <v>AEK Athens</v>
      </c>
      <c r="BE5" s="2" t="str">
        <f t="shared" ca="1" si="4"/>
        <v>Greece</v>
      </c>
      <c r="BF5" s="2" t="e">
        <f t="shared" ca="1" si="5"/>
        <v>#NAME?</v>
      </c>
      <c r="BG5" s="2">
        <f t="shared" ca="1" si="6"/>
        <v>8</v>
      </c>
      <c r="BH5" s="2" t="s">
        <v>18</v>
      </c>
      <c r="BI5" s="2" t="s">
        <v>19</v>
      </c>
      <c r="BJ5" s="7">
        <v>16.264895833333334</v>
      </c>
      <c r="BK5" s="2">
        <v>12</v>
      </c>
      <c r="BL5" s="2">
        <f t="shared" si="10"/>
        <v>3</v>
      </c>
      <c r="BM5" s="2" t="str">
        <f t="shared" si="7"/>
        <v>Real Madrid</v>
      </c>
      <c r="BN5" s="7">
        <f t="shared" ref="BN5:BO5" si="12">BJ5</f>
        <v>16.264895833333334</v>
      </c>
      <c r="BO5" s="2">
        <f t="shared" si="12"/>
        <v>12</v>
      </c>
      <c r="BS5" s="2" t="str">
        <f t="shared" si="9"/>
        <v>Spain</v>
      </c>
    </row>
    <row r="6" spans="1:71" ht="13.8" x14ac:dyDescent="0.45">
      <c r="A6" s="2" t="str">
        <f ca="1">IFERROR(__xludf.DUMMYFUNCTION("""COMPUTED_VALUE"""),"AGF")</f>
        <v>AGF</v>
      </c>
      <c r="B6" s="2">
        <f ca="1">IFERROR(__xludf.DUMMYFUNCTION("""COMPUTED_VALUE"""),0.809999999999999)</f>
        <v>0.80999999999999905</v>
      </c>
      <c r="C6" s="2" t="str">
        <f ca="1">IFERROR(__xludf.DUMMYFUNCTION("""COMPUTED_VALUE"""),"Denmark")</f>
        <v>Denmark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5">
        <f ca="1">IFERROR(__xludf.DUMMYFUNCTION("""COMPUTED_VALUE"""),0)</f>
        <v>0</v>
      </c>
      <c r="P6" s="2">
        <f ca="1">IFERROR(__xludf.DUMMYFUNCTION("""COMPUTED_VALUE"""),0)</f>
        <v>0</v>
      </c>
      <c r="Q6" s="2">
        <f ca="1">IFERROR(__xludf.DUMMYFUNCTION("""COMPUTED_VALUE"""),0)</f>
        <v>0</v>
      </c>
      <c r="R6" s="2">
        <f ca="1">IFERROR(__xludf.DUMMYFUNCTION("""COMPUTED_VALUE"""),0)</f>
        <v>0</v>
      </c>
      <c r="S6" s="2">
        <f ca="1">IFERROR(__xludf.DUMMYFUNCTION("""COMPUTED_VALUE"""),0)</f>
        <v>0</v>
      </c>
      <c r="T6" s="2">
        <f ca="1">IFERROR(__xludf.DUMMYFUNCTION("""COMPUTED_VALUE"""),0)</f>
        <v>0</v>
      </c>
      <c r="U6" s="2">
        <f ca="1">IFERROR(__xludf.DUMMYFUNCTION("""COMPUTED_VALUE"""),0)</f>
        <v>0</v>
      </c>
      <c r="V6" s="2">
        <f ca="1">IFERROR(__xludf.DUMMYFUNCTION("""COMPUTED_VALUE"""),0)</f>
        <v>0</v>
      </c>
      <c r="W6" s="2">
        <f ca="1">IFERROR(__xludf.DUMMYFUNCTION("""COMPUTED_VALUE"""),0)</f>
        <v>0</v>
      </c>
      <c r="X6" s="2">
        <f ca="1">IFERROR(__xludf.DUMMYFUNCTION("""COMPUTED_VALUE"""),0)</f>
        <v>0</v>
      </c>
      <c r="Y6" s="2">
        <f ca="1">IFERROR(__xludf.DUMMYFUNCTION("""COMPUTED_VALUE"""),0)</f>
        <v>0</v>
      </c>
      <c r="AB6" s="2"/>
      <c r="AC6" s="2" t="str">
        <f ca="1">IFERROR(__xludf.DUMMYFUNCTION("""COMPUTED_VALUE"""),"X")</f>
        <v>X</v>
      </c>
      <c r="AD6" s="2" t="str">
        <f ca="1">IFERROR(__xludf.DUMMYFUNCTION("""COMPUTED_VALUE"""),"X")</f>
        <v>X</v>
      </c>
      <c r="AE6" s="2"/>
      <c r="AF6" s="2"/>
      <c r="AG6" s="2"/>
      <c r="AH6" s="2"/>
      <c r="AI6" s="2"/>
      <c r="AJ6" s="2"/>
      <c r="AK6" s="2"/>
      <c r="AL6" s="2"/>
      <c r="AM6" s="2">
        <f ca="1">IFERROR(__xludf.DUMMYFUNCTION("""COMPUTED_VALUE"""),0)</f>
        <v>0</v>
      </c>
      <c r="AN6" s="2">
        <f ca="1">IFERROR(__xludf.DUMMYFUNCTION("""COMPUTED_VALUE"""),2.58125)</f>
        <v>2.5812499999999998</v>
      </c>
      <c r="AO6" s="2">
        <f ca="1">IFERROR(__xludf.DUMMYFUNCTION("""COMPUTED_VALUE"""),0.294999999999999)</f>
        <v>0.29499999999999899</v>
      </c>
      <c r="AP6" s="2">
        <f ca="1">IFERROR(__xludf.DUMMYFUNCTION("""COMPUTED_VALUE"""),0)</f>
        <v>0</v>
      </c>
      <c r="AQ6" s="2">
        <f ca="1">IFERROR(__xludf.DUMMYFUNCTION("""COMPUTED_VALUE"""),0)</f>
        <v>0</v>
      </c>
      <c r="AR6" s="2">
        <f ca="1">IFERROR(__xludf.DUMMYFUNCTION("""COMPUTED_VALUE"""),0)</f>
        <v>0</v>
      </c>
      <c r="AS6" s="2">
        <f ca="1">IFERROR(__xludf.DUMMYFUNCTION("""COMPUTED_VALUE"""),0)</f>
        <v>0</v>
      </c>
      <c r="AT6" s="2">
        <f ca="1">IFERROR(__xludf.DUMMYFUNCTION("""COMPUTED_VALUE"""),0)</f>
        <v>0</v>
      </c>
      <c r="AU6" s="2">
        <f ca="1">IFERROR(__xludf.DUMMYFUNCTION("""COMPUTED_VALUE"""),0)</f>
        <v>0</v>
      </c>
      <c r="AV6" s="2">
        <f ca="1">IFERROR(__xludf.DUMMYFUNCTION("""COMPUTED_VALUE"""),0)</f>
        <v>0</v>
      </c>
      <c r="AW6" s="2">
        <f ca="1">IFERROR(__xludf.DUMMYFUNCTION("""COMPUTED_VALUE"""),0)</f>
        <v>0</v>
      </c>
      <c r="AY6" s="2">
        <f t="shared" ca="1" si="0"/>
        <v>2</v>
      </c>
      <c r="AZ6" s="2" t="e">
        <f ca="1">IF(NOT(COUNTA(D6:J6)), _xludf.IFS(AL6="W", 'Round Bonuses'!$F$14, AL6="X", 'Round Bonuses'!$F$13, AK6="X", 'Round Bonuses'!$F$12, AJ6="X", 'Round Bonuses'!$F$11, AI6="X", 'Round Bonuses'!$F$10, AH6="X", 'Round Bonuses'!$F$9, AG6="X", 'Round Bonuses'!$F$8, AF6="X", 'Round Bonuses'!$F$7, AE6="X", 'Round Bonuses'!$F$6, AD6="X", 'Round Bonuses'!$F$5, AC6="X", 'Round Bonuses'!$F$4, AB6="X", 'Round Bonuses'!$F$3, TRUE, 0), IF(AA6="X", _xludf.IFS(AD6="X", 'Round Bonuses'!$E$4, AF6="X",'Round Bonuses'!$E$6,TRUE, 'Round Bonuses'!$E$7), 0) +IF(AB6="X", 'Round Bonuses'!$E$3, 0)+IF(AC6="X",'Round Bonuses'!$E$4, 0)+IF(AD6="X", 'Round Bonuses'!$E$5, 0)+IF(AE6="X", 'Round Bonuses'!$E$6, 0)+IF(AF6="X", 'Round Bonuses'!$E$7, 0)+IF(AG6="X", 'Round Bonuses'!$E$8, 0)+_xludf.IFS(AL6="W", 'Round Bonuses'!$G$14, AL6="X", 'Round Bonuses'!$G$13, AK6="X", 'Round Bonuses'!$G$12, AJ6="X", 'Round Bonuses'!$G$11, AI6="X", 'Round Bonuses'!$G$10, AH6="X", 'Round Bonuses'!$G$9, TRUE, 0))+_xludf.IFS(N6="W", 'Round Bonuses'!$C$13, N6="X", 'Round Bonuses'!$C$12, M6="X", 'Round Bonuses'!$C$11, L6="X", 'Round Bonuses'!$C$10, K6="X", 'Round Bonuses'!$C$9, J6="X", 'Round Bonuses'!$C$8, I6="X", 'Round Bonuses'!$C$7, H6="X", 'Round Bonuses'!$C$6, G6="X", 'Round Bonuses'!$C$5, F6="X", 'Round Bonuses'!$C$4, E6="X", 'Round Bonuses'!$C$3, D6="X", 'Round Bonuses'!$C$3, TRUE, 0)</f>
        <v>#NAME?</v>
      </c>
      <c r="BA6" s="2">
        <f t="shared" ca="1" si="1"/>
        <v>2.8762499999999989</v>
      </c>
      <c r="BB6" s="10" t="e">
        <f t="shared" ca="1" si="2"/>
        <v>#NAME?</v>
      </c>
      <c r="BD6" s="11" t="str">
        <f t="shared" ca="1" si="3"/>
        <v>AGF</v>
      </c>
      <c r="BE6" s="2" t="str">
        <f t="shared" ca="1" si="4"/>
        <v>Denmark</v>
      </c>
      <c r="BF6" s="2" t="e">
        <f t="shared" ca="1" si="5"/>
        <v>#NAME?</v>
      </c>
      <c r="BG6" s="2">
        <f t="shared" ca="1" si="6"/>
        <v>2</v>
      </c>
      <c r="BH6" s="2" t="s">
        <v>20</v>
      </c>
      <c r="BI6" s="2" t="s">
        <v>21</v>
      </c>
      <c r="BJ6" s="7">
        <v>16.107499999999998</v>
      </c>
      <c r="BK6" s="2">
        <v>12</v>
      </c>
      <c r="BL6" s="2">
        <f t="shared" si="10"/>
        <v>4</v>
      </c>
      <c r="BM6" s="2" t="str">
        <f t="shared" si="7"/>
        <v>Paris Saint-Germain</v>
      </c>
      <c r="BN6" s="7">
        <f t="shared" ref="BN6:BO6" si="13">BJ6</f>
        <v>16.107499999999998</v>
      </c>
      <c r="BO6" s="2">
        <f t="shared" si="13"/>
        <v>12</v>
      </c>
      <c r="BS6" s="2" t="str">
        <f t="shared" si="9"/>
        <v>France</v>
      </c>
    </row>
    <row r="7" spans="1:71" ht="13.8" x14ac:dyDescent="0.45">
      <c r="A7" s="2" t="str">
        <f ca="1">IFERROR(__xludf.DUMMYFUNCTION("""COMPUTED_VALUE"""),"Ajax")</f>
        <v>Ajax</v>
      </c>
      <c r="B7" s="2">
        <f ca="1">IFERROR(__xludf.DUMMYFUNCTION("""COMPUTED_VALUE"""),0.89)</f>
        <v>0.89</v>
      </c>
      <c r="C7" s="2" t="str">
        <f ca="1">IFERROR(__xludf.DUMMYFUNCTION("""COMPUTED_VALUE"""),"Netherlands")</f>
        <v>Netherlands</v>
      </c>
      <c r="D7" s="2"/>
      <c r="E7" s="2"/>
      <c r="F7" s="2"/>
      <c r="G7" s="2"/>
      <c r="H7" s="2"/>
      <c r="I7" s="2"/>
      <c r="J7" s="2" t="str">
        <f ca="1">IFERROR(__xludf.DUMMYFUNCTION("""COMPUTED_VALUE"""),"X")</f>
        <v>X</v>
      </c>
      <c r="K7" s="2"/>
      <c r="L7" s="2"/>
      <c r="M7" s="2"/>
      <c r="N7" s="2"/>
      <c r="O7" s="5">
        <f ca="1">IFERROR(__xludf.DUMMYFUNCTION("""COMPUTED_VALUE"""),0)</f>
        <v>0</v>
      </c>
      <c r="P7" s="2">
        <f ca="1">IFERROR(__xludf.DUMMYFUNCTION("""COMPUTED_VALUE"""),0)</f>
        <v>0</v>
      </c>
      <c r="Q7" s="2">
        <f ca="1">IFERROR(__xludf.DUMMYFUNCTION("""COMPUTED_VALUE"""),0)</f>
        <v>0</v>
      </c>
      <c r="R7" s="2">
        <f ca="1">IFERROR(__xludf.DUMMYFUNCTION("""COMPUTED_VALUE"""),0)</f>
        <v>0</v>
      </c>
      <c r="S7" s="2">
        <f ca="1">IFERROR(__xludf.DUMMYFUNCTION("""COMPUTED_VALUE"""),0)</f>
        <v>0</v>
      </c>
      <c r="T7" s="2">
        <f ca="1">IFERROR(__xludf.DUMMYFUNCTION("""COMPUTED_VALUE"""),0)</f>
        <v>0</v>
      </c>
      <c r="U7" s="2">
        <f ca="1">IFERROR(__xludf.DUMMYFUNCTION("""COMPUTED_VALUE"""),11.4699999999999)</f>
        <v>11.469999999999899</v>
      </c>
      <c r="V7" s="2">
        <f ca="1">IFERROR(__xludf.DUMMYFUNCTION("""COMPUTED_VALUE"""),0)</f>
        <v>0</v>
      </c>
      <c r="W7" s="2">
        <f ca="1">IFERROR(__xludf.DUMMYFUNCTION("""COMPUTED_VALUE"""),0)</f>
        <v>0</v>
      </c>
      <c r="X7" s="2">
        <f ca="1">IFERROR(__xludf.DUMMYFUNCTION("""COMPUTED_VALUE"""),0)</f>
        <v>0</v>
      </c>
      <c r="Y7" s="2">
        <f ca="1">IFERROR(__xludf.DUMMYFUNCTION("""COMPUTED_VALUE"""),0)</f>
        <v>0</v>
      </c>
      <c r="AB7" s="2"/>
      <c r="AC7" s="2"/>
      <c r="AD7" s="2"/>
      <c r="AE7" s="2"/>
      <c r="AF7" s="2"/>
      <c r="AG7" s="2"/>
      <c r="AH7" s="2" t="str">
        <f ca="1">IFERROR(__xludf.DUMMYFUNCTION("""COMPUTED_VALUE"""),"X")</f>
        <v>X</v>
      </c>
      <c r="AI7" s="2" t="str">
        <f ca="1">IFERROR(__xludf.DUMMYFUNCTION("""COMPUTED_VALUE"""),"X")</f>
        <v>X</v>
      </c>
      <c r="AJ7" s="2" t="str">
        <f ca="1">IFERROR(__xludf.DUMMYFUNCTION("""COMPUTED_VALUE"""),"X")</f>
        <v>X</v>
      </c>
      <c r="AK7" s="2"/>
      <c r="AL7" s="2"/>
      <c r="AM7" s="2">
        <f ca="1">IFERROR(__xludf.DUMMYFUNCTION("""COMPUTED_VALUE"""),0)</f>
        <v>0</v>
      </c>
      <c r="AN7" s="2">
        <f ca="1">IFERROR(__xludf.DUMMYFUNCTION("""COMPUTED_VALUE"""),0)</f>
        <v>0</v>
      </c>
      <c r="AO7" s="2">
        <f ca="1">IFERROR(__xludf.DUMMYFUNCTION("""COMPUTED_VALUE"""),0)</f>
        <v>0</v>
      </c>
      <c r="AP7" s="2">
        <f ca="1">IFERROR(__xludf.DUMMYFUNCTION("""COMPUTED_VALUE"""),0)</f>
        <v>0</v>
      </c>
      <c r="AQ7" s="2">
        <f ca="1">IFERROR(__xludf.DUMMYFUNCTION("""COMPUTED_VALUE"""),0)</f>
        <v>0</v>
      </c>
      <c r="AR7" s="2">
        <f ca="1">IFERROR(__xludf.DUMMYFUNCTION("""COMPUTED_VALUE"""),0)</f>
        <v>0</v>
      </c>
      <c r="AS7" s="2">
        <f ca="1">IFERROR(__xludf.DUMMYFUNCTION("""COMPUTED_VALUE"""),7.59)</f>
        <v>7.59</v>
      </c>
      <c r="AT7" s="2">
        <f ca="1">IFERROR(__xludf.DUMMYFUNCTION("""COMPUTED_VALUE"""),7.15874999999999)</f>
        <v>7.1587499999999897</v>
      </c>
      <c r="AU7" s="2">
        <f ca="1">IFERROR(__xludf.DUMMYFUNCTION("""COMPUTED_VALUE"""),2.665)</f>
        <v>2.665</v>
      </c>
      <c r="AV7" s="2">
        <f ca="1">IFERROR(__xludf.DUMMYFUNCTION("""COMPUTED_VALUE"""),0)</f>
        <v>0</v>
      </c>
      <c r="AW7" s="2">
        <f ca="1">IFERROR(__xludf.DUMMYFUNCTION("""COMPUTED_VALUE"""),0)</f>
        <v>0</v>
      </c>
      <c r="AY7" s="2">
        <f t="shared" ca="1" si="0"/>
        <v>12</v>
      </c>
      <c r="AZ7" s="2" t="e">
        <f ca="1">IF(NOT(COUNTA(D7:J7)), _xludf.IFS(AL7="W", 'Round Bonuses'!$F$14, AL7="X", 'Round Bonuses'!$F$13, AK7="X", 'Round Bonuses'!$F$12, AJ7="X", 'Round Bonuses'!$F$11, AI7="X", 'Round Bonuses'!$F$10, AH7="X", 'Round Bonuses'!$F$9, AG7="X", 'Round Bonuses'!$F$8, AF7="X", 'Round Bonuses'!$F$7, AE7="X", 'Round Bonuses'!$F$6, AD7="X", 'Round Bonuses'!$F$5, AC7="X", 'Round Bonuses'!$F$4, AB7="X", 'Round Bonuses'!$F$3, TRUE, 0), IF(AA7="X", _xludf.IFS(AD7="X", 'Round Bonuses'!$E$4, AF7="X",'Round Bonuses'!$E$6,TRUE, 'Round Bonuses'!$E$7), 0) +IF(AB7="X", 'Round Bonuses'!$E$3, 0)+IF(AC7="X",'Round Bonuses'!$E$4, 0)+IF(AD7="X", 'Round Bonuses'!$E$5, 0)+IF(AE7="X", 'Round Bonuses'!$E$6, 0)+IF(AF7="X", 'Round Bonuses'!$E$7, 0)+IF(AG7="X", 'Round Bonuses'!$E$8, 0)+_xludf.IFS(AL7="W", 'Round Bonuses'!$G$14, AL7="X", 'Round Bonuses'!$G$13, AK7="X", 'Round Bonuses'!$G$12, AJ7="X", 'Round Bonuses'!$G$11, AI7="X", 'Round Bonuses'!$G$10, AH7="X", 'Round Bonuses'!$G$9, TRUE, 0))+_xludf.IFS(N7="W", 'Round Bonuses'!$C$13, N7="X", 'Round Bonuses'!$C$12, M7="X", 'Round Bonuses'!$C$11, L7="X", 'Round Bonuses'!$C$10, K7="X", 'Round Bonuses'!$C$9, J7="X", 'Round Bonuses'!$C$8, I7="X", 'Round Bonuses'!$C$7, H7="X", 'Round Bonuses'!$C$6, G7="X", 'Round Bonuses'!$C$5, F7="X", 'Round Bonuses'!$C$4, E7="X", 'Round Bonuses'!$C$3, D7="X", 'Round Bonuses'!$C$3, TRUE, 0)</f>
        <v>#NAME?</v>
      </c>
      <c r="BA7" s="2">
        <f t="shared" ca="1" si="1"/>
        <v>28.883749999999889</v>
      </c>
      <c r="BB7" s="10" t="e">
        <f t="shared" ca="1" si="2"/>
        <v>#NAME?</v>
      </c>
      <c r="BD7" s="11" t="str">
        <f t="shared" ca="1" si="3"/>
        <v>Ajax</v>
      </c>
      <c r="BE7" s="2" t="str">
        <f t="shared" ca="1" si="4"/>
        <v>Netherlands</v>
      </c>
      <c r="BF7" s="2" t="e">
        <f t="shared" ca="1" si="5"/>
        <v>#NAME?</v>
      </c>
      <c r="BG7" s="2">
        <f t="shared" ca="1" si="6"/>
        <v>12</v>
      </c>
      <c r="BH7" s="2" t="s">
        <v>22</v>
      </c>
      <c r="BI7" s="2" t="s">
        <v>23</v>
      </c>
      <c r="BJ7" s="7">
        <v>15.05275</v>
      </c>
      <c r="BK7" s="2">
        <v>10</v>
      </c>
      <c r="BL7" s="2">
        <f t="shared" si="10"/>
        <v>5</v>
      </c>
      <c r="BM7" s="2" t="str">
        <f t="shared" si="7"/>
        <v>Bayern Munich</v>
      </c>
      <c r="BN7" s="7">
        <f t="shared" ref="BN7:BO7" si="14">BJ7</f>
        <v>15.05275</v>
      </c>
      <c r="BO7" s="2">
        <f t="shared" si="14"/>
        <v>10</v>
      </c>
      <c r="BS7" s="2" t="str">
        <f t="shared" si="9"/>
        <v>Germany</v>
      </c>
    </row>
    <row r="8" spans="1:71" ht="13.8" x14ac:dyDescent="0.45">
      <c r="A8" s="2" t="str">
        <f ca="1">IFERROR(__xludf.DUMMYFUNCTION("""COMPUTED_VALUE"""),"Alanyaspor")</f>
        <v>Alanyaspor</v>
      </c>
      <c r="B8" s="2">
        <f ca="1">IFERROR(__xludf.DUMMYFUNCTION("""COMPUTED_VALUE"""),0.86)</f>
        <v>0.86</v>
      </c>
      <c r="C8" s="2" t="str">
        <f ca="1">IFERROR(__xludf.DUMMYFUNCTION("""COMPUTED_VALUE"""),"Turkey")</f>
        <v>Turkey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5">
        <f ca="1">IFERROR(__xludf.DUMMYFUNCTION("""COMPUTED_VALUE"""),0)</f>
        <v>0</v>
      </c>
      <c r="P8" s="2">
        <f ca="1">IFERROR(__xludf.DUMMYFUNCTION("""COMPUTED_VALUE"""),0)</f>
        <v>0</v>
      </c>
      <c r="Q8" s="2">
        <f ca="1">IFERROR(__xludf.DUMMYFUNCTION("""COMPUTED_VALUE"""),0)</f>
        <v>0</v>
      </c>
      <c r="R8" s="2">
        <f ca="1">IFERROR(__xludf.DUMMYFUNCTION("""COMPUTED_VALUE"""),0)</f>
        <v>0</v>
      </c>
      <c r="S8" s="2">
        <f ca="1">IFERROR(__xludf.DUMMYFUNCTION("""COMPUTED_VALUE"""),0)</f>
        <v>0</v>
      </c>
      <c r="T8" s="2">
        <f ca="1">IFERROR(__xludf.DUMMYFUNCTION("""COMPUTED_VALUE"""),0)</f>
        <v>0</v>
      </c>
      <c r="U8" s="2">
        <f ca="1">IFERROR(__xludf.DUMMYFUNCTION("""COMPUTED_VALUE"""),0)</f>
        <v>0</v>
      </c>
      <c r="V8" s="2">
        <f ca="1">IFERROR(__xludf.DUMMYFUNCTION("""COMPUTED_VALUE"""),0)</f>
        <v>0</v>
      </c>
      <c r="W8" s="2">
        <f ca="1">IFERROR(__xludf.DUMMYFUNCTION("""COMPUTED_VALUE"""),0)</f>
        <v>0</v>
      </c>
      <c r="X8" s="2">
        <f ca="1">IFERROR(__xludf.DUMMYFUNCTION("""COMPUTED_VALUE"""),0)</f>
        <v>0</v>
      </c>
      <c r="Y8" s="2">
        <f ca="1">IFERROR(__xludf.DUMMYFUNCTION("""COMPUTED_VALUE"""),0)</f>
        <v>0</v>
      </c>
      <c r="AB8" s="2"/>
      <c r="AC8" s="2"/>
      <c r="AD8" s="2"/>
      <c r="AE8" s="2" t="str">
        <f ca="1">IFERROR(__xludf.DUMMYFUNCTION("""COMPUTED_VALUE"""),"X")</f>
        <v>X</v>
      </c>
      <c r="AF8" s="2"/>
      <c r="AG8" s="2"/>
      <c r="AH8" s="2"/>
      <c r="AI8" s="2"/>
      <c r="AJ8" s="2"/>
      <c r="AK8" s="2"/>
      <c r="AL8" s="2"/>
      <c r="AM8" s="2">
        <f ca="1">IFERROR(__xludf.DUMMYFUNCTION("""COMPUTED_VALUE"""),0)</f>
        <v>0</v>
      </c>
      <c r="AN8" s="2">
        <f ca="1">IFERROR(__xludf.DUMMYFUNCTION("""COMPUTED_VALUE"""),0)</f>
        <v>0</v>
      </c>
      <c r="AO8" s="2">
        <f ca="1">IFERROR(__xludf.DUMMYFUNCTION("""COMPUTED_VALUE"""),0)</f>
        <v>0</v>
      </c>
      <c r="AP8" s="2">
        <f ca="1">IFERROR(__xludf.DUMMYFUNCTION("""COMPUTED_VALUE"""),0.625)</f>
        <v>0.625</v>
      </c>
      <c r="AQ8" s="2">
        <f ca="1">IFERROR(__xludf.DUMMYFUNCTION("""COMPUTED_VALUE"""),0)</f>
        <v>0</v>
      </c>
      <c r="AR8" s="2">
        <f ca="1">IFERROR(__xludf.DUMMYFUNCTION("""COMPUTED_VALUE"""),0)</f>
        <v>0</v>
      </c>
      <c r="AS8" s="2">
        <f ca="1">IFERROR(__xludf.DUMMYFUNCTION("""COMPUTED_VALUE"""),0)</f>
        <v>0</v>
      </c>
      <c r="AT8" s="2">
        <f ca="1">IFERROR(__xludf.DUMMYFUNCTION("""COMPUTED_VALUE"""),0)</f>
        <v>0</v>
      </c>
      <c r="AU8" s="2">
        <f ca="1">IFERROR(__xludf.DUMMYFUNCTION("""COMPUTED_VALUE"""),0)</f>
        <v>0</v>
      </c>
      <c r="AV8" s="2">
        <f ca="1">IFERROR(__xludf.DUMMYFUNCTION("""COMPUTED_VALUE"""),0)</f>
        <v>0</v>
      </c>
      <c r="AW8" s="2">
        <f ca="1">IFERROR(__xludf.DUMMYFUNCTION("""COMPUTED_VALUE"""),0)</f>
        <v>0</v>
      </c>
      <c r="AY8" s="2">
        <f t="shared" ca="1" si="0"/>
        <v>1</v>
      </c>
      <c r="AZ8" s="2" t="e">
        <f ca="1">IF(NOT(COUNTA(D8:J8)), _xludf.IFS(AL8="W", 'Round Bonuses'!$F$14, AL8="X", 'Round Bonuses'!$F$13, AK8="X", 'Round Bonuses'!$F$12, AJ8="X", 'Round Bonuses'!$F$11, AI8="X", 'Round Bonuses'!$F$10, AH8="X", 'Round Bonuses'!$F$9, AG8="X", 'Round Bonuses'!$F$8, AF8="X", 'Round Bonuses'!$F$7, AE8="X", 'Round Bonuses'!$F$6, AD8="X", 'Round Bonuses'!$F$5, AC8="X", 'Round Bonuses'!$F$4, AB8="X", 'Round Bonuses'!$F$3, TRUE, 0), IF(AA8="X", _xludf.IFS(AD8="X", 'Round Bonuses'!$E$4, AF8="X",'Round Bonuses'!$E$6,TRUE, 'Round Bonuses'!$E$7), 0) +IF(AB8="X", 'Round Bonuses'!$E$3, 0)+IF(AC8="X",'Round Bonuses'!$E$4, 0)+IF(AD8="X", 'Round Bonuses'!$E$5, 0)+IF(AE8="X", 'Round Bonuses'!$E$6, 0)+IF(AF8="X", 'Round Bonuses'!$E$7, 0)+IF(AG8="X", 'Round Bonuses'!$E$8, 0)+_xludf.IFS(AL8="W", 'Round Bonuses'!$G$14, AL8="X", 'Round Bonuses'!$G$13, AK8="X", 'Round Bonuses'!$G$12, AJ8="X", 'Round Bonuses'!$G$11, AI8="X", 'Round Bonuses'!$G$10, AH8="X", 'Round Bonuses'!$G$9, TRUE, 0))+_xludf.IFS(N8="W", 'Round Bonuses'!$C$13, N8="X", 'Round Bonuses'!$C$12, M8="X", 'Round Bonuses'!$C$11, L8="X", 'Round Bonuses'!$C$10, K8="X", 'Round Bonuses'!$C$9, J8="X", 'Round Bonuses'!$C$8, I8="X", 'Round Bonuses'!$C$7, H8="X", 'Round Bonuses'!$C$6, G8="X", 'Round Bonuses'!$C$5, F8="X", 'Round Bonuses'!$C$4, E8="X", 'Round Bonuses'!$C$3, D8="X", 'Round Bonuses'!$C$3, TRUE, 0)</f>
        <v>#NAME?</v>
      </c>
      <c r="BA8" s="2">
        <f t="shared" ca="1" si="1"/>
        <v>0.625</v>
      </c>
      <c r="BB8" s="10" t="e">
        <f t="shared" ca="1" si="2"/>
        <v>#NAME?</v>
      </c>
      <c r="BD8" s="11" t="str">
        <f t="shared" ca="1" si="3"/>
        <v>Alanyaspor</v>
      </c>
      <c r="BE8" s="2" t="str">
        <f t="shared" ca="1" si="4"/>
        <v>Turkey</v>
      </c>
      <c r="BF8" s="2" t="e">
        <f t="shared" ca="1" si="5"/>
        <v>#NAME?</v>
      </c>
      <c r="BG8" s="2">
        <f t="shared" ca="1" si="6"/>
        <v>1</v>
      </c>
      <c r="BH8" s="2" t="s">
        <v>24</v>
      </c>
      <c r="BI8" s="2" t="s">
        <v>16</v>
      </c>
      <c r="BJ8" s="7">
        <v>14.803916666666666</v>
      </c>
      <c r="BK8" s="2">
        <v>15</v>
      </c>
      <c r="BL8" s="2">
        <f t="shared" si="10"/>
        <v>6</v>
      </c>
      <c r="BM8" s="2" t="str">
        <f t="shared" si="7"/>
        <v>Manchester United</v>
      </c>
      <c r="BN8" s="7">
        <f t="shared" ref="BN8:BO8" si="15">BJ8</f>
        <v>14.803916666666666</v>
      </c>
      <c r="BO8" s="2">
        <f t="shared" si="15"/>
        <v>15</v>
      </c>
      <c r="BS8" s="2" t="str">
        <f t="shared" si="9"/>
        <v>England</v>
      </c>
    </row>
    <row r="9" spans="1:71" ht="13.8" x14ac:dyDescent="0.45">
      <c r="A9" s="2" t="str">
        <f ca="1">IFERROR(__xludf.DUMMYFUNCTION("""COMPUTED_VALUE"""),"Alashkert")</f>
        <v>Alashkert</v>
      </c>
      <c r="B9" s="2">
        <f ca="1">IFERROR(__xludf.DUMMYFUNCTION("""COMPUTED_VALUE"""),0.54)</f>
        <v>0.54</v>
      </c>
      <c r="C9" s="2" t="str">
        <f ca="1">IFERROR(__xludf.DUMMYFUNCTION("""COMPUTED_VALUE"""),"Armenia")</f>
        <v>Armenia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5">
        <f ca="1">IFERROR(__xludf.DUMMYFUNCTION("""COMPUTED_VALUE"""),0)</f>
        <v>0</v>
      </c>
      <c r="P9" s="2">
        <f ca="1">IFERROR(__xludf.DUMMYFUNCTION("""COMPUTED_VALUE"""),0)</f>
        <v>0</v>
      </c>
      <c r="Q9" s="2">
        <f ca="1">IFERROR(__xludf.DUMMYFUNCTION("""COMPUTED_VALUE"""),0)</f>
        <v>0</v>
      </c>
      <c r="R9" s="2">
        <f ca="1">IFERROR(__xludf.DUMMYFUNCTION("""COMPUTED_VALUE"""),0)</f>
        <v>0</v>
      </c>
      <c r="S9" s="2">
        <f ca="1">IFERROR(__xludf.DUMMYFUNCTION("""COMPUTED_VALUE"""),0)</f>
        <v>0</v>
      </c>
      <c r="T9" s="2">
        <f ca="1">IFERROR(__xludf.DUMMYFUNCTION("""COMPUTED_VALUE"""),0)</f>
        <v>0</v>
      </c>
      <c r="U9" s="2">
        <f ca="1">IFERROR(__xludf.DUMMYFUNCTION("""COMPUTED_VALUE"""),0)</f>
        <v>0</v>
      </c>
      <c r="V9" s="2">
        <f ca="1">IFERROR(__xludf.DUMMYFUNCTION("""COMPUTED_VALUE"""),0)</f>
        <v>0</v>
      </c>
      <c r="W9" s="2">
        <f ca="1">IFERROR(__xludf.DUMMYFUNCTION("""COMPUTED_VALUE"""),0)</f>
        <v>0</v>
      </c>
      <c r="X9" s="2">
        <f ca="1">IFERROR(__xludf.DUMMYFUNCTION("""COMPUTED_VALUE"""),0)</f>
        <v>0</v>
      </c>
      <c r="Y9" s="2">
        <f ca="1">IFERROR(__xludf.DUMMYFUNCTION("""COMPUTED_VALUE"""),0)</f>
        <v>0</v>
      </c>
      <c r="AB9" s="2"/>
      <c r="AC9" s="2" t="str">
        <f ca="1">IFERROR(__xludf.DUMMYFUNCTION("""COMPUTED_VALUE"""),"X")</f>
        <v>X</v>
      </c>
      <c r="AD9" s="2"/>
      <c r="AE9" s="2"/>
      <c r="AF9" s="2"/>
      <c r="AG9" s="2"/>
      <c r="AH9" s="2"/>
      <c r="AI9" s="2"/>
      <c r="AJ9" s="2"/>
      <c r="AK9" s="2"/>
      <c r="AL9" s="2"/>
      <c r="AM9" s="2">
        <f ca="1">IFERROR(__xludf.DUMMYFUNCTION("""COMPUTED_VALUE"""),0)</f>
        <v>0</v>
      </c>
      <c r="AN9" s="2">
        <f ca="1">IFERROR(__xludf.DUMMYFUNCTION("""COMPUTED_VALUE"""),0.504999999999999)</f>
        <v>0.50499999999999901</v>
      </c>
      <c r="AO9" s="2">
        <f ca="1">IFERROR(__xludf.DUMMYFUNCTION("""COMPUTED_VALUE"""),0)</f>
        <v>0</v>
      </c>
      <c r="AP9" s="2">
        <f ca="1">IFERROR(__xludf.DUMMYFUNCTION("""COMPUTED_VALUE"""),0)</f>
        <v>0</v>
      </c>
      <c r="AQ9" s="2">
        <f ca="1">IFERROR(__xludf.DUMMYFUNCTION("""COMPUTED_VALUE"""),0)</f>
        <v>0</v>
      </c>
      <c r="AR9" s="2">
        <f ca="1">IFERROR(__xludf.DUMMYFUNCTION("""COMPUTED_VALUE"""),0)</f>
        <v>0</v>
      </c>
      <c r="AS9" s="2">
        <f ca="1">IFERROR(__xludf.DUMMYFUNCTION("""COMPUTED_VALUE"""),0)</f>
        <v>0</v>
      </c>
      <c r="AT9" s="2">
        <f ca="1">IFERROR(__xludf.DUMMYFUNCTION("""COMPUTED_VALUE"""),0)</f>
        <v>0</v>
      </c>
      <c r="AU9" s="2">
        <f ca="1">IFERROR(__xludf.DUMMYFUNCTION("""COMPUTED_VALUE"""),0)</f>
        <v>0</v>
      </c>
      <c r="AV9" s="2">
        <f ca="1">IFERROR(__xludf.DUMMYFUNCTION("""COMPUTED_VALUE"""),0)</f>
        <v>0</v>
      </c>
      <c r="AW9" s="2">
        <f ca="1">IFERROR(__xludf.DUMMYFUNCTION("""COMPUTED_VALUE"""),0)</f>
        <v>0</v>
      </c>
      <c r="AY9" s="2">
        <f t="shared" ca="1" si="0"/>
        <v>1</v>
      </c>
      <c r="AZ9" s="2" t="e">
        <f ca="1">IF(NOT(COUNTA(D9:J9)), _xludf.IFS(AL9="W", 'Round Bonuses'!$F$14, AL9="X", 'Round Bonuses'!$F$13, AK9="X", 'Round Bonuses'!$F$12, AJ9="X", 'Round Bonuses'!$F$11, AI9="X", 'Round Bonuses'!$F$10, AH9="X", 'Round Bonuses'!$F$9, AG9="X", 'Round Bonuses'!$F$8, AF9="X", 'Round Bonuses'!$F$7, AE9="X", 'Round Bonuses'!$F$6, AD9="X", 'Round Bonuses'!$F$5, AC9="X", 'Round Bonuses'!$F$4, AB9="X", 'Round Bonuses'!$F$3, TRUE, 0), IF(AA9="X", _xludf.IFS(AD9="X", 'Round Bonuses'!$E$4, AF9="X",'Round Bonuses'!$E$6,TRUE, 'Round Bonuses'!$E$7), 0) +IF(AB9="X", 'Round Bonuses'!$E$3, 0)+IF(AC9="X",'Round Bonuses'!$E$4, 0)+IF(AD9="X", 'Round Bonuses'!$E$5, 0)+IF(AE9="X", 'Round Bonuses'!$E$6, 0)+IF(AF9="X", 'Round Bonuses'!$E$7, 0)+IF(AG9="X", 'Round Bonuses'!$E$8, 0)+_xludf.IFS(AL9="W", 'Round Bonuses'!$G$14, AL9="X", 'Round Bonuses'!$G$13, AK9="X", 'Round Bonuses'!$G$12, AJ9="X", 'Round Bonuses'!$G$11, AI9="X", 'Round Bonuses'!$G$10, AH9="X", 'Round Bonuses'!$G$9, TRUE, 0))+_xludf.IFS(N9="W", 'Round Bonuses'!$C$13, N9="X", 'Round Bonuses'!$C$12, M9="X", 'Round Bonuses'!$C$11, L9="X", 'Round Bonuses'!$C$10, K9="X", 'Round Bonuses'!$C$9, J9="X", 'Round Bonuses'!$C$8, I9="X", 'Round Bonuses'!$C$7, H9="X", 'Round Bonuses'!$C$6, G9="X", 'Round Bonuses'!$C$5, F9="X", 'Round Bonuses'!$C$4, E9="X", 'Round Bonuses'!$C$3, D9="X", 'Round Bonuses'!$C$3, TRUE, 0)</f>
        <v>#NAME?</v>
      </c>
      <c r="BA9" s="2">
        <f t="shared" ca="1" si="1"/>
        <v>0.50499999999999901</v>
      </c>
      <c r="BB9" s="10" t="e">
        <f t="shared" ca="1" si="2"/>
        <v>#NAME?</v>
      </c>
      <c r="BD9" s="11" t="str">
        <f t="shared" ca="1" si="3"/>
        <v>Alashkert</v>
      </c>
      <c r="BE9" s="2" t="str">
        <f t="shared" ca="1" si="4"/>
        <v>Armenia</v>
      </c>
      <c r="BF9" s="2" t="e">
        <f t="shared" ca="1" si="5"/>
        <v>#NAME?</v>
      </c>
      <c r="BG9" s="2">
        <f t="shared" ca="1" si="6"/>
        <v>1</v>
      </c>
      <c r="BH9" s="2" t="s">
        <v>25</v>
      </c>
      <c r="BI9" s="2" t="s">
        <v>16</v>
      </c>
      <c r="BJ9" s="7">
        <v>14.439624999999999</v>
      </c>
      <c r="BK9" s="2">
        <v>10</v>
      </c>
      <c r="BL9" s="2">
        <f t="shared" si="10"/>
        <v>7</v>
      </c>
      <c r="BM9" s="2" t="str">
        <f t="shared" si="7"/>
        <v>Liverpool</v>
      </c>
      <c r="BN9" s="7">
        <f t="shared" ref="BN9:BO9" si="16">BJ9</f>
        <v>14.439624999999999</v>
      </c>
      <c r="BO9" s="2">
        <f t="shared" si="16"/>
        <v>10</v>
      </c>
      <c r="BS9" s="2" t="str">
        <f t="shared" si="9"/>
        <v>England</v>
      </c>
    </row>
    <row r="10" spans="1:71" ht="13.8" x14ac:dyDescent="0.45">
      <c r="A10" s="2" t="str">
        <f ca="1">IFERROR(__xludf.DUMMYFUNCTION("""COMPUTED_VALUE"""),"Anorthosis")</f>
        <v>Anorthosis</v>
      </c>
      <c r="B10" s="2">
        <f ca="1">IFERROR(__xludf.DUMMYFUNCTION("""COMPUTED_VALUE"""),0.81)</f>
        <v>0.81</v>
      </c>
      <c r="C10" s="2" t="str">
        <f ca="1">IFERROR(__xludf.DUMMYFUNCTION("""COMPUTED_VALUE"""),"Cyprus")</f>
        <v>Cyprus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5">
        <f ca="1">IFERROR(__xludf.DUMMYFUNCTION("""COMPUTED_VALUE"""),0)</f>
        <v>0</v>
      </c>
      <c r="P10" s="2">
        <f ca="1">IFERROR(__xludf.DUMMYFUNCTION("""COMPUTED_VALUE"""),0)</f>
        <v>0</v>
      </c>
      <c r="Q10" s="2">
        <f ca="1">IFERROR(__xludf.DUMMYFUNCTION("""COMPUTED_VALUE"""),0)</f>
        <v>0</v>
      </c>
      <c r="R10" s="2">
        <f ca="1">IFERROR(__xludf.DUMMYFUNCTION("""COMPUTED_VALUE"""),0)</f>
        <v>0</v>
      </c>
      <c r="S10" s="2">
        <f ca="1">IFERROR(__xludf.DUMMYFUNCTION("""COMPUTED_VALUE"""),0)</f>
        <v>0</v>
      </c>
      <c r="T10" s="2">
        <f ca="1">IFERROR(__xludf.DUMMYFUNCTION("""COMPUTED_VALUE"""),0)</f>
        <v>0</v>
      </c>
      <c r="U10" s="2">
        <f ca="1">IFERROR(__xludf.DUMMYFUNCTION("""COMPUTED_VALUE"""),0)</f>
        <v>0</v>
      </c>
      <c r="V10" s="2">
        <f ca="1">IFERROR(__xludf.DUMMYFUNCTION("""COMPUTED_VALUE"""),0)</f>
        <v>0</v>
      </c>
      <c r="W10" s="2">
        <f ca="1">IFERROR(__xludf.DUMMYFUNCTION("""COMPUTED_VALUE"""),0)</f>
        <v>0</v>
      </c>
      <c r="X10" s="2">
        <f ca="1">IFERROR(__xludf.DUMMYFUNCTION("""COMPUTED_VALUE"""),0)</f>
        <v>0</v>
      </c>
      <c r="Y10" s="2">
        <f ca="1">IFERROR(__xludf.DUMMYFUNCTION("""COMPUTED_VALUE"""),0)</f>
        <v>0</v>
      </c>
      <c r="AB10" s="2"/>
      <c r="AC10" s="2"/>
      <c r="AD10" s="2"/>
      <c r="AE10" s="2" t="str">
        <f ca="1">IFERROR(__xludf.DUMMYFUNCTION("""COMPUTED_VALUE"""),"X")</f>
        <v>X</v>
      </c>
      <c r="AF10" s="2"/>
      <c r="AG10" s="2"/>
      <c r="AH10" s="2"/>
      <c r="AI10" s="2"/>
      <c r="AJ10" s="2"/>
      <c r="AK10" s="2"/>
      <c r="AL10" s="2"/>
      <c r="AM10" s="2">
        <f ca="1">IFERROR(__xludf.DUMMYFUNCTION("""COMPUTED_VALUE"""),0)</f>
        <v>0</v>
      </c>
      <c r="AN10" s="2">
        <f ca="1">IFERROR(__xludf.DUMMYFUNCTION("""COMPUTED_VALUE"""),0)</f>
        <v>0</v>
      </c>
      <c r="AO10" s="2">
        <f ca="1">IFERROR(__xludf.DUMMYFUNCTION("""COMPUTED_VALUE"""),0)</f>
        <v>0</v>
      </c>
      <c r="AP10" s="2">
        <f ca="1">IFERROR(__xludf.DUMMYFUNCTION("""COMPUTED_VALUE"""),0.684999999999999)</f>
        <v>0.68499999999999905</v>
      </c>
      <c r="AQ10" s="2">
        <f ca="1">IFERROR(__xludf.DUMMYFUNCTION("""COMPUTED_VALUE"""),0)</f>
        <v>0</v>
      </c>
      <c r="AR10" s="2">
        <f ca="1">IFERROR(__xludf.DUMMYFUNCTION("""COMPUTED_VALUE"""),0)</f>
        <v>0</v>
      </c>
      <c r="AS10" s="2">
        <f ca="1">IFERROR(__xludf.DUMMYFUNCTION("""COMPUTED_VALUE"""),0)</f>
        <v>0</v>
      </c>
      <c r="AT10" s="2">
        <f ca="1">IFERROR(__xludf.DUMMYFUNCTION("""COMPUTED_VALUE"""),0)</f>
        <v>0</v>
      </c>
      <c r="AU10" s="2">
        <f ca="1">IFERROR(__xludf.DUMMYFUNCTION("""COMPUTED_VALUE"""),0)</f>
        <v>0</v>
      </c>
      <c r="AV10" s="2">
        <f ca="1">IFERROR(__xludf.DUMMYFUNCTION("""COMPUTED_VALUE"""),0)</f>
        <v>0</v>
      </c>
      <c r="AW10" s="2">
        <f ca="1">IFERROR(__xludf.DUMMYFUNCTION("""COMPUTED_VALUE"""),0)</f>
        <v>0</v>
      </c>
      <c r="AY10" s="2">
        <f t="shared" ca="1" si="0"/>
        <v>1</v>
      </c>
      <c r="AZ10" s="2" t="e">
        <f ca="1">IF(NOT(COUNTA(D10:J10)), _xludf.IFS(AL10="W", 'Round Bonuses'!$F$14, AL10="X", 'Round Bonuses'!$F$13, AK10="X", 'Round Bonuses'!$F$12, AJ10="X", 'Round Bonuses'!$F$11, AI10="X", 'Round Bonuses'!$F$10, AH10="X", 'Round Bonuses'!$F$9, AG10="X", 'Round Bonuses'!$F$8, AF10="X", 'Round Bonuses'!$F$7, AE10="X", 'Round Bonuses'!$F$6, AD10="X", 'Round Bonuses'!$F$5, AC10="X", 'Round Bonuses'!$F$4, AB10="X", 'Round Bonuses'!$F$3, TRUE, 0), IF(AA10="X", _xludf.IFS(AD10="X", 'Round Bonuses'!$E$4, AF10="X",'Round Bonuses'!$E$6,TRUE, 'Round Bonuses'!$E$7), 0) +IF(AB10="X", 'Round Bonuses'!$E$3, 0)+IF(AC10="X",'Round Bonuses'!$E$4, 0)+IF(AD10="X", 'Round Bonuses'!$E$5, 0)+IF(AE10="X", 'Round Bonuses'!$E$6, 0)+IF(AF10="X", 'Round Bonuses'!$E$7, 0)+IF(AG10="X", 'Round Bonuses'!$E$8, 0)+_xludf.IFS(AL10="W", 'Round Bonuses'!$G$14, AL10="X", 'Round Bonuses'!$G$13, AK10="X", 'Round Bonuses'!$G$12, AJ10="X", 'Round Bonuses'!$G$11, AI10="X", 'Round Bonuses'!$G$10, AH10="X", 'Round Bonuses'!$G$9, TRUE, 0))+_xludf.IFS(N10="W", 'Round Bonuses'!$C$13, N10="X", 'Round Bonuses'!$C$12, M10="X", 'Round Bonuses'!$C$11, L10="X", 'Round Bonuses'!$C$10, K10="X", 'Round Bonuses'!$C$9, J10="X", 'Round Bonuses'!$C$8, I10="X", 'Round Bonuses'!$C$7, H10="X", 'Round Bonuses'!$C$6, G10="X", 'Round Bonuses'!$C$5, F10="X", 'Round Bonuses'!$C$4, E10="X", 'Round Bonuses'!$C$3, D10="X", 'Round Bonuses'!$C$3, TRUE, 0)</f>
        <v>#NAME?</v>
      </c>
      <c r="BA10" s="2">
        <f t="shared" ca="1" si="1"/>
        <v>0.68499999999999905</v>
      </c>
      <c r="BB10" s="10" t="e">
        <f t="shared" ca="1" si="2"/>
        <v>#NAME?</v>
      </c>
      <c r="BD10" s="11" t="str">
        <f t="shared" ca="1" si="3"/>
        <v>Anorthosis</v>
      </c>
      <c r="BE10" s="2" t="str">
        <f t="shared" ca="1" si="4"/>
        <v>Cyprus</v>
      </c>
      <c r="BF10" s="2" t="e">
        <f t="shared" ca="1" si="5"/>
        <v>#NAME?</v>
      </c>
      <c r="BG10" s="2">
        <f t="shared" ca="1" si="6"/>
        <v>1</v>
      </c>
      <c r="BH10" s="2" t="s">
        <v>26</v>
      </c>
      <c r="BI10" s="2" t="s">
        <v>27</v>
      </c>
      <c r="BJ10" s="7">
        <v>14.35425</v>
      </c>
      <c r="BK10" s="2">
        <v>10</v>
      </c>
      <c r="BL10" s="2">
        <f t="shared" si="10"/>
        <v>8</v>
      </c>
      <c r="BM10" s="2" t="str">
        <f t="shared" si="7"/>
        <v>Porto</v>
      </c>
      <c r="BN10" s="7">
        <f t="shared" ref="BN10:BO10" si="17">BJ10</f>
        <v>14.35425</v>
      </c>
      <c r="BO10" s="2">
        <f t="shared" si="17"/>
        <v>10</v>
      </c>
      <c r="BS10" s="2" t="str">
        <f t="shared" si="9"/>
        <v>Portugal</v>
      </c>
    </row>
    <row r="11" spans="1:71" ht="13.8" x14ac:dyDescent="0.45">
      <c r="A11" s="2" t="str">
        <f ca="1">IFERROR(__xludf.DUMMYFUNCTION("""COMPUTED_VALUE"""),"Antwerp")</f>
        <v>Antwerp</v>
      </c>
      <c r="B11" s="2">
        <f ca="1">IFERROR(__xludf.DUMMYFUNCTION("""COMPUTED_VALUE"""),0.89)</f>
        <v>0.89</v>
      </c>
      <c r="C11" s="2" t="str">
        <f ca="1">IFERROR(__xludf.DUMMYFUNCTION("""COMPUTED_VALUE"""),"Belgium")</f>
        <v>Belgium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5">
        <f ca="1">IFERROR(__xludf.DUMMYFUNCTION("""COMPUTED_VALUE"""),0)</f>
        <v>0</v>
      </c>
      <c r="P11" s="2">
        <f ca="1">IFERROR(__xludf.DUMMYFUNCTION("""COMPUTED_VALUE"""),0)</f>
        <v>0</v>
      </c>
      <c r="Q11" s="2">
        <f ca="1">IFERROR(__xludf.DUMMYFUNCTION("""COMPUTED_VALUE"""),0)</f>
        <v>0</v>
      </c>
      <c r="R11" s="2">
        <f ca="1">IFERROR(__xludf.DUMMYFUNCTION("""COMPUTED_VALUE"""),0)</f>
        <v>0</v>
      </c>
      <c r="S11" s="2">
        <f ca="1">IFERROR(__xludf.DUMMYFUNCTION("""COMPUTED_VALUE"""),0)</f>
        <v>0</v>
      </c>
      <c r="T11" s="2">
        <f ca="1">IFERROR(__xludf.DUMMYFUNCTION("""COMPUTED_VALUE"""),0)</f>
        <v>0</v>
      </c>
      <c r="U11" s="2">
        <f ca="1">IFERROR(__xludf.DUMMYFUNCTION("""COMPUTED_VALUE"""),0)</f>
        <v>0</v>
      </c>
      <c r="V11" s="2">
        <f ca="1">IFERROR(__xludf.DUMMYFUNCTION("""COMPUTED_VALUE"""),0)</f>
        <v>0</v>
      </c>
      <c r="W11" s="2">
        <f ca="1">IFERROR(__xludf.DUMMYFUNCTION("""COMPUTED_VALUE"""),0)</f>
        <v>0</v>
      </c>
      <c r="X11" s="2">
        <f ca="1">IFERROR(__xludf.DUMMYFUNCTION("""COMPUTED_VALUE"""),0)</f>
        <v>0</v>
      </c>
      <c r="Y11" s="2">
        <f ca="1">IFERROR(__xludf.DUMMYFUNCTION("""COMPUTED_VALUE"""),0)</f>
        <v>0</v>
      </c>
      <c r="AB11" s="2"/>
      <c r="AC11" s="2"/>
      <c r="AD11" s="2"/>
      <c r="AE11" s="2"/>
      <c r="AF11" s="2"/>
      <c r="AG11" s="2" t="str">
        <f ca="1">IFERROR(__xludf.DUMMYFUNCTION("""COMPUTED_VALUE"""),"X")</f>
        <v>X</v>
      </c>
      <c r="AH11" s="2" t="str">
        <f ca="1">IFERROR(__xludf.DUMMYFUNCTION("""COMPUTED_VALUE"""),"X")</f>
        <v>X</v>
      </c>
      <c r="AI11" s="2"/>
      <c r="AJ11" s="2"/>
      <c r="AK11" s="2"/>
      <c r="AL11" s="2"/>
      <c r="AM11" s="2">
        <f ca="1">IFERROR(__xludf.DUMMYFUNCTION("""COMPUTED_VALUE"""),0)</f>
        <v>0</v>
      </c>
      <c r="AN11" s="2">
        <f ca="1">IFERROR(__xludf.DUMMYFUNCTION("""COMPUTED_VALUE"""),0)</f>
        <v>0</v>
      </c>
      <c r="AO11" s="2">
        <f ca="1">IFERROR(__xludf.DUMMYFUNCTION("""COMPUTED_VALUE"""),0)</f>
        <v>0</v>
      </c>
      <c r="AP11" s="2">
        <f ca="1">IFERROR(__xludf.DUMMYFUNCTION("""COMPUTED_VALUE"""),0)</f>
        <v>0</v>
      </c>
      <c r="AQ11" s="2">
        <f ca="1">IFERROR(__xludf.DUMMYFUNCTION("""COMPUTED_VALUE"""),0)</f>
        <v>0</v>
      </c>
      <c r="AR11" s="2">
        <f ca="1">IFERROR(__xludf.DUMMYFUNCTION("""COMPUTED_VALUE"""),14.88375)</f>
        <v>14.883749999999999</v>
      </c>
      <c r="AS11" s="2">
        <f ca="1">IFERROR(__xludf.DUMMYFUNCTION("""COMPUTED_VALUE"""),1.08)</f>
        <v>1.08</v>
      </c>
      <c r="AT11" s="2">
        <f ca="1">IFERROR(__xludf.DUMMYFUNCTION("""COMPUTED_VALUE"""),0)</f>
        <v>0</v>
      </c>
      <c r="AU11" s="2">
        <f ca="1">IFERROR(__xludf.DUMMYFUNCTION("""COMPUTED_VALUE"""),0)</f>
        <v>0</v>
      </c>
      <c r="AV11" s="2">
        <f ca="1">IFERROR(__xludf.DUMMYFUNCTION("""COMPUTED_VALUE"""),0)</f>
        <v>0</v>
      </c>
      <c r="AW11" s="2">
        <f ca="1">IFERROR(__xludf.DUMMYFUNCTION("""COMPUTED_VALUE"""),0)</f>
        <v>0</v>
      </c>
      <c r="AY11" s="2">
        <f t="shared" ca="1" si="0"/>
        <v>8</v>
      </c>
      <c r="AZ11" s="2" t="e">
        <f ca="1">IF(NOT(COUNTA(D11:J11)), _xludf.IFS(AL11="W", 'Round Bonuses'!$F$14, AL11="X", 'Round Bonuses'!$F$13, AK11="X", 'Round Bonuses'!$F$12, AJ11="X", 'Round Bonuses'!$F$11, AI11="X", 'Round Bonuses'!$F$10, AH11="X", 'Round Bonuses'!$F$9, AG11="X", 'Round Bonuses'!$F$8, AF11="X", 'Round Bonuses'!$F$7, AE11="X", 'Round Bonuses'!$F$6, AD11="X", 'Round Bonuses'!$F$5, AC11="X", 'Round Bonuses'!$F$4, AB11="X", 'Round Bonuses'!$F$3, TRUE, 0), IF(AA11="X", _xludf.IFS(AD11="X", 'Round Bonuses'!$E$4, AF11="X",'Round Bonuses'!$E$6,TRUE, 'Round Bonuses'!$E$7), 0) +IF(AB11="X", 'Round Bonuses'!$E$3, 0)+IF(AC11="X",'Round Bonuses'!$E$4, 0)+IF(AD11="X", 'Round Bonuses'!$E$5, 0)+IF(AE11="X", 'Round Bonuses'!$E$6, 0)+IF(AF11="X", 'Round Bonuses'!$E$7, 0)+IF(AG11="X", 'Round Bonuses'!$E$8, 0)+_xludf.IFS(AL11="W", 'Round Bonuses'!$G$14, AL11="X", 'Round Bonuses'!$G$13, AK11="X", 'Round Bonuses'!$G$12, AJ11="X", 'Round Bonuses'!$G$11, AI11="X", 'Round Bonuses'!$G$10, AH11="X", 'Round Bonuses'!$G$9, TRUE, 0))+_xludf.IFS(N11="W", 'Round Bonuses'!$C$13, N11="X", 'Round Bonuses'!$C$12, M11="X", 'Round Bonuses'!$C$11, L11="X", 'Round Bonuses'!$C$10, K11="X", 'Round Bonuses'!$C$9, J11="X", 'Round Bonuses'!$C$8, I11="X", 'Round Bonuses'!$C$7, H11="X", 'Round Bonuses'!$C$6, G11="X", 'Round Bonuses'!$C$5, F11="X", 'Round Bonuses'!$C$4, E11="X", 'Round Bonuses'!$C$3, D11="X", 'Round Bonuses'!$C$3, TRUE, 0)</f>
        <v>#NAME?</v>
      </c>
      <c r="BA11" s="2">
        <f t="shared" ca="1" si="1"/>
        <v>15.963749999999999</v>
      </c>
      <c r="BB11" s="10" t="e">
        <f t="shared" ca="1" si="2"/>
        <v>#NAME?</v>
      </c>
      <c r="BD11" s="11" t="str">
        <f t="shared" ca="1" si="3"/>
        <v>Antwerp</v>
      </c>
      <c r="BE11" s="2" t="str">
        <f t="shared" ca="1" si="4"/>
        <v>Belgium</v>
      </c>
      <c r="BF11" s="2" t="e">
        <f t="shared" ca="1" si="5"/>
        <v>#NAME?</v>
      </c>
      <c r="BG11" s="2">
        <f t="shared" ca="1" si="6"/>
        <v>8</v>
      </c>
      <c r="BH11" s="2" t="s">
        <v>28</v>
      </c>
      <c r="BI11" s="2" t="s">
        <v>23</v>
      </c>
      <c r="BJ11" s="7">
        <v>14.206250000000001</v>
      </c>
      <c r="BK11" s="2">
        <v>10</v>
      </c>
      <c r="BL11" s="2">
        <f t="shared" si="10"/>
        <v>9</v>
      </c>
      <c r="BM11" s="2" t="str">
        <f t="shared" si="7"/>
        <v>Borussia Dortmund</v>
      </c>
      <c r="BN11" s="7">
        <f t="shared" ref="BN11:BO11" si="18">BJ11</f>
        <v>14.206250000000001</v>
      </c>
      <c r="BO11" s="2">
        <f t="shared" si="18"/>
        <v>10</v>
      </c>
      <c r="BS11" s="2" t="str">
        <f t="shared" si="9"/>
        <v>Germany</v>
      </c>
    </row>
    <row r="12" spans="1:71" ht="13.8" x14ac:dyDescent="0.45">
      <c r="A12" s="2" t="str">
        <f ca="1">IFERROR(__xludf.DUMMYFUNCTION("""COMPUTED_VALUE"""),"APOEL")</f>
        <v>APOEL</v>
      </c>
      <c r="B12" s="2">
        <f ca="1">IFERROR(__xludf.DUMMYFUNCTION("""COMPUTED_VALUE"""),0.8)</f>
        <v>0.8</v>
      </c>
      <c r="C12" s="2" t="str">
        <f ca="1">IFERROR(__xludf.DUMMYFUNCTION("""COMPUTED_VALUE"""),"Cyprus")</f>
        <v>Cyprus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5">
        <f ca="1">IFERROR(__xludf.DUMMYFUNCTION("""COMPUTED_VALUE"""),0)</f>
        <v>0</v>
      </c>
      <c r="P12" s="2">
        <f ca="1">IFERROR(__xludf.DUMMYFUNCTION("""COMPUTED_VALUE"""),0)</f>
        <v>0</v>
      </c>
      <c r="Q12" s="2">
        <f ca="1">IFERROR(__xludf.DUMMYFUNCTION("""COMPUTED_VALUE"""),0)</f>
        <v>0</v>
      </c>
      <c r="R12" s="2">
        <f ca="1">IFERROR(__xludf.DUMMYFUNCTION("""COMPUTED_VALUE"""),0)</f>
        <v>0</v>
      </c>
      <c r="S12" s="2">
        <f ca="1">IFERROR(__xludf.DUMMYFUNCTION("""COMPUTED_VALUE"""),0)</f>
        <v>0</v>
      </c>
      <c r="T12" s="2">
        <f ca="1">IFERROR(__xludf.DUMMYFUNCTION("""COMPUTED_VALUE"""),0)</f>
        <v>0</v>
      </c>
      <c r="U12" s="2">
        <f ca="1">IFERROR(__xludf.DUMMYFUNCTION("""COMPUTED_VALUE"""),0)</f>
        <v>0</v>
      </c>
      <c r="V12" s="2">
        <f ca="1">IFERROR(__xludf.DUMMYFUNCTION("""COMPUTED_VALUE"""),0)</f>
        <v>0</v>
      </c>
      <c r="W12" s="2">
        <f ca="1">IFERROR(__xludf.DUMMYFUNCTION("""COMPUTED_VALUE"""),0)</f>
        <v>0</v>
      </c>
      <c r="X12" s="2">
        <f ca="1">IFERROR(__xludf.DUMMYFUNCTION("""COMPUTED_VALUE"""),0)</f>
        <v>0</v>
      </c>
      <c r="Y12" s="2">
        <f ca="1">IFERROR(__xludf.DUMMYFUNCTION("""COMPUTED_VALUE"""),0)</f>
        <v>0</v>
      </c>
      <c r="AB12" s="2"/>
      <c r="AC12" s="2" t="str">
        <f ca="1">IFERROR(__xludf.DUMMYFUNCTION("""COMPUTED_VALUE"""),"X")</f>
        <v>X</v>
      </c>
      <c r="AD12" s="2" t="str">
        <f ca="1">IFERROR(__xludf.DUMMYFUNCTION("""COMPUTED_VALUE"""),"X")</f>
        <v>X</v>
      </c>
      <c r="AE12" s="2" t="str">
        <f ca="1">IFERROR(__xludf.DUMMYFUNCTION("""COMPUTED_VALUE"""),"X")</f>
        <v>X</v>
      </c>
      <c r="AF12" s="2" t="str">
        <f ca="1">IFERROR(__xludf.DUMMYFUNCTION("""COMPUTED_VALUE"""),"X")</f>
        <v>X</v>
      </c>
      <c r="AG12" s="2"/>
      <c r="AH12" s="2"/>
      <c r="AI12" s="2"/>
      <c r="AJ12" s="2"/>
      <c r="AK12" s="2"/>
      <c r="AL12" s="2"/>
      <c r="AM12" s="2">
        <f ca="1">IFERROR(__xludf.DUMMYFUNCTION("""COMPUTED_VALUE"""),0)</f>
        <v>0</v>
      </c>
      <c r="AN12" s="2">
        <f ca="1">IFERROR(__xludf.DUMMYFUNCTION("""COMPUTED_VALUE"""),1.95499999999999)</f>
        <v>1.9549999999999901</v>
      </c>
      <c r="AO12" s="2">
        <f ca="1">IFERROR(__xludf.DUMMYFUNCTION("""COMPUTED_VALUE"""),3.2375)</f>
        <v>3.2374999999999998</v>
      </c>
      <c r="AP12" s="2">
        <f ca="1">IFERROR(__xludf.DUMMYFUNCTION("""COMPUTED_VALUE"""),3.15)</f>
        <v>3.15</v>
      </c>
      <c r="AQ12" s="2">
        <f ca="1">IFERROR(__xludf.DUMMYFUNCTION("""COMPUTED_VALUE"""),0.705)</f>
        <v>0.70499999999999996</v>
      </c>
      <c r="AR12" s="2">
        <f ca="1">IFERROR(__xludf.DUMMYFUNCTION("""COMPUTED_VALUE"""),0)</f>
        <v>0</v>
      </c>
      <c r="AS12" s="2">
        <f ca="1">IFERROR(__xludf.DUMMYFUNCTION("""COMPUTED_VALUE"""),0)</f>
        <v>0</v>
      </c>
      <c r="AT12" s="2">
        <f ca="1">IFERROR(__xludf.DUMMYFUNCTION("""COMPUTED_VALUE"""),0)</f>
        <v>0</v>
      </c>
      <c r="AU12" s="2">
        <f ca="1">IFERROR(__xludf.DUMMYFUNCTION("""COMPUTED_VALUE"""),0)</f>
        <v>0</v>
      </c>
      <c r="AV12" s="2">
        <f ca="1">IFERROR(__xludf.DUMMYFUNCTION("""COMPUTED_VALUE"""),0)</f>
        <v>0</v>
      </c>
      <c r="AW12" s="2">
        <f ca="1">IFERROR(__xludf.DUMMYFUNCTION("""COMPUTED_VALUE"""),0)</f>
        <v>0</v>
      </c>
      <c r="AY12" s="2">
        <f t="shared" ca="1" si="0"/>
        <v>4</v>
      </c>
      <c r="AZ12" s="2" t="e">
        <f ca="1">IF(NOT(COUNTA(D12:J12)), _xludf.IFS(AL12="W", 'Round Bonuses'!$F$14, AL12="X", 'Round Bonuses'!$F$13, AK12="X", 'Round Bonuses'!$F$12, AJ12="X", 'Round Bonuses'!$F$11, AI12="X", 'Round Bonuses'!$F$10, AH12="X", 'Round Bonuses'!$F$9, AG12="X", 'Round Bonuses'!$F$8, AF12="X", 'Round Bonuses'!$F$7, AE12="X", 'Round Bonuses'!$F$6, AD12="X", 'Round Bonuses'!$F$5, AC12="X", 'Round Bonuses'!$F$4, AB12="X", 'Round Bonuses'!$F$3, TRUE, 0), IF(AA12="X", _xludf.IFS(AD12="X", 'Round Bonuses'!$E$4, AF12="X",'Round Bonuses'!$E$6,TRUE, 'Round Bonuses'!$E$7), 0) +IF(AB12="X", 'Round Bonuses'!$E$3, 0)+IF(AC12="X",'Round Bonuses'!$E$4, 0)+IF(AD12="X", 'Round Bonuses'!$E$5, 0)+IF(AE12="X", 'Round Bonuses'!$E$6, 0)+IF(AF12="X", 'Round Bonuses'!$E$7, 0)+IF(AG12="X", 'Round Bonuses'!$E$8, 0)+_xludf.IFS(AL12="W", 'Round Bonuses'!$G$14, AL12="X", 'Round Bonuses'!$G$13, AK12="X", 'Round Bonuses'!$G$12, AJ12="X", 'Round Bonuses'!$G$11, AI12="X", 'Round Bonuses'!$G$10, AH12="X", 'Round Bonuses'!$G$9, TRUE, 0))+_xludf.IFS(N12="W", 'Round Bonuses'!$C$13, N12="X", 'Round Bonuses'!$C$12, M12="X", 'Round Bonuses'!$C$11, L12="X", 'Round Bonuses'!$C$10, K12="X", 'Round Bonuses'!$C$9, J12="X", 'Round Bonuses'!$C$8, I12="X", 'Round Bonuses'!$C$7, H12="X", 'Round Bonuses'!$C$6, G12="X", 'Round Bonuses'!$C$5, F12="X", 'Round Bonuses'!$C$4, E12="X", 'Round Bonuses'!$C$3, D12="X", 'Round Bonuses'!$C$3, TRUE, 0)</f>
        <v>#NAME?</v>
      </c>
      <c r="BA12" s="2">
        <f t="shared" ca="1" si="1"/>
        <v>9.0474999999999905</v>
      </c>
      <c r="BB12" s="10" t="e">
        <f t="shared" ca="1" si="2"/>
        <v>#NAME?</v>
      </c>
      <c r="BD12" s="11" t="str">
        <f t="shared" ca="1" si="3"/>
        <v>APOEL</v>
      </c>
      <c r="BE12" s="2" t="str">
        <f t="shared" ca="1" si="4"/>
        <v>Cyprus</v>
      </c>
      <c r="BF12" s="2" t="e">
        <f t="shared" ca="1" si="5"/>
        <v>#NAME?</v>
      </c>
      <c r="BG12" s="2">
        <f t="shared" ca="1" si="6"/>
        <v>4</v>
      </c>
      <c r="BH12" s="2" t="s">
        <v>29</v>
      </c>
      <c r="BI12" s="2" t="s">
        <v>19</v>
      </c>
      <c r="BJ12" s="7">
        <v>13.068166666666666</v>
      </c>
      <c r="BK12" s="2">
        <v>15</v>
      </c>
      <c r="BL12" s="2">
        <f t="shared" si="10"/>
        <v>10</v>
      </c>
      <c r="BM12" s="2" t="str">
        <f t="shared" si="7"/>
        <v>Villarreal</v>
      </c>
      <c r="BN12" s="7">
        <f t="shared" ref="BN12:BO12" si="19">BJ12</f>
        <v>13.068166666666666</v>
      </c>
      <c r="BO12" s="2">
        <f t="shared" si="19"/>
        <v>15</v>
      </c>
      <c r="BS12" s="2" t="str">
        <f t="shared" si="9"/>
        <v>Spain</v>
      </c>
    </row>
    <row r="13" spans="1:71" ht="13.8" x14ac:dyDescent="0.45">
      <c r="A13" s="2" t="str">
        <f ca="1">IFERROR(__xludf.DUMMYFUNCTION("""COMPUTED_VALUE"""),"Apollon Limassol")</f>
        <v>Apollon Limassol</v>
      </c>
      <c r="B13" s="2">
        <f ca="1">IFERROR(__xludf.DUMMYFUNCTION("""COMPUTED_VALUE"""),0.79)</f>
        <v>0.79</v>
      </c>
      <c r="C13" s="2" t="str">
        <f ca="1">IFERROR(__xludf.DUMMYFUNCTION("""COMPUTED_VALUE"""),"Cyprus")</f>
        <v>Cyprus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">
        <f ca="1">IFERROR(__xludf.DUMMYFUNCTION("""COMPUTED_VALUE"""),0)</f>
        <v>0</v>
      </c>
      <c r="P13" s="2">
        <f ca="1">IFERROR(__xludf.DUMMYFUNCTION("""COMPUTED_VALUE"""),0)</f>
        <v>0</v>
      </c>
      <c r="Q13" s="2">
        <f ca="1">IFERROR(__xludf.DUMMYFUNCTION("""COMPUTED_VALUE"""),0)</f>
        <v>0</v>
      </c>
      <c r="R13" s="2">
        <f ca="1">IFERROR(__xludf.DUMMYFUNCTION("""COMPUTED_VALUE"""),0)</f>
        <v>0</v>
      </c>
      <c r="S13" s="2">
        <f ca="1">IFERROR(__xludf.DUMMYFUNCTION("""COMPUTED_VALUE"""),0)</f>
        <v>0</v>
      </c>
      <c r="T13" s="2">
        <f ca="1">IFERROR(__xludf.DUMMYFUNCTION("""COMPUTED_VALUE"""),0)</f>
        <v>0</v>
      </c>
      <c r="U13" s="2">
        <f ca="1">IFERROR(__xludf.DUMMYFUNCTION("""COMPUTED_VALUE"""),0)</f>
        <v>0</v>
      </c>
      <c r="V13" s="2">
        <f ca="1">IFERROR(__xludf.DUMMYFUNCTION("""COMPUTED_VALUE"""),0)</f>
        <v>0</v>
      </c>
      <c r="W13" s="2">
        <f ca="1">IFERROR(__xludf.DUMMYFUNCTION("""COMPUTED_VALUE"""),0)</f>
        <v>0</v>
      </c>
      <c r="X13" s="2">
        <f ca="1">IFERROR(__xludf.DUMMYFUNCTION("""COMPUTED_VALUE"""),0)</f>
        <v>0</v>
      </c>
      <c r="Y13" s="2">
        <f ca="1">IFERROR(__xludf.DUMMYFUNCTION("""COMPUTED_VALUE"""),0)</f>
        <v>0</v>
      </c>
      <c r="AB13" s="2"/>
      <c r="AC13" s="2" t="str">
        <f ca="1">IFERROR(__xludf.DUMMYFUNCTION("""COMPUTED_VALUE"""),"X")</f>
        <v>X</v>
      </c>
      <c r="AD13" s="2" t="str">
        <f ca="1">IFERROR(__xludf.DUMMYFUNCTION("""COMPUTED_VALUE"""),"X")</f>
        <v>X</v>
      </c>
      <c r="AE13" s="2" t="str">
        <f ca="1">IFERROR(__xludf.DUMMYFUNCTION("""COMPUTED_VALUE"""),"X")</f>
        <v>X</v>
      </c>
      <c r="AF13" s="2"/>
      <c r="AG13" s="2"/>
      <c r="AH13" s="2"/>
      <c r="AI13" s="2"/>
      <c r="AJ13" s="2"/>
      <c r="AK13" s="2"/>
      <c r="AL13" s="2"/>
      <c r="AM13" s="2">
        <f ca="1">IFERROR(__xludf.DUMMYFUNCTION("""COMPUTED_VALUE"""),0)</f>
        <v>0</v>
      </c>
      <c r="AN13" s="2">
        <f ca="1">IFERROR(__xludf.DUMMYFUNCTION("""COMPUTED_VALUE"""),2.295)</f>
        <v>2.2949999999999999</v>
      </c>
      <c r="AO13" s="2">
        <f ca="1">IFERROR(__xludf.DUMMYFUNCTION("""COMPUTED_VALUE"""),3.34125)</f>
        <v>3.3412500000000001</v>
      </c>
      <c r="AP13" s="2">
        <f ca="1">IFERROR(__xludf.DUMMYFUNCTION("""COMPUTED_VALUE"""),0.114999999999999)</f>
        <v>0.11499999999999901</v>
      </c>
      <c r="AQ13" s="2">
        <f ca="1">IFERROR(__xludf.DUMMYFUNCTION("""COMPUTED_VALUE"""),0)</f>
        <v>0</v>
      </c>
      <c r="AR13" s="2">
        <f ca="1">IFERROR(__xludf.DUMMYFUNCTION("""COMPUTED_VALUE"""),0)</f>
        <v>0</v>
      </c>
      <c r="AS13" s="2">
        <f ca="1">IFERROR(__xludf.DUMMYFUNCTION("""COMPUTED_VALUE"""),0)</f>
        <v>0</v>
      </c>
      <c r="AT13" s="2">
        <f ca="1">IFERROR(__xludf.DUMMYFUNCTION("""COMPUTED_VALUE"""),0)</f>
        <v>0</v>
      </c>
      <c r="AU13" s="2">
        <f ca="1">IFERROR(__xludf.DUMMYFUNCTION("""COMPUTED_VALUE"""),0)</f>
        <v>0</v>
      </c>
      <c r="AV13" s="2">
        <f ca="1">IFERROR(__xludf.DUMMYFUNCTION("""COMPUTED_VALUE"""),0)</f>
        <v>0</v>
      </c>
      <c r="AW13" s="2">
        <f ca="1">IFERROR(__xludf.DUMMYFUNCTION("""COMPUTED_VALUE"""),0)</f>
        <v>0</v>
      </c>
      <c r="AY13" s="2">
        <f t="shared" ca="1" si="0"/>
        <v>3</v>
      </c>
      <c r="AZ13" s="2" t="e">
        <f ca="1">IF(NOT(COUNTA(D13:J13)), _xludf.IFS(AL13="W", 'Round Bonuses'!$F$14, AL13="X", 'Round Bonuses'!$F$13, AK13="X", 'Round Bonuses'!$F$12, AJ13="X", 'Round Bonuses'!$F$11, AI13="X", 'Round Bonuses'!$F$10, AH13="X", 'Round Bonuses'!$F$9, AG13="X", 'Round Bonuses'!$F$8, AF13="X", 'Round Bonuses'!$F$7, AE13="X", 'Round Bonuses'!$F$6, AD13="X", 'Round Bonuses'!$F$5, AC13="X", 'Round Bonuses'!$F$4, AB13="X", 'Round Bonuses'!$F$3, TRUE, 0), IF(AA13="X", _xludf.IFS(AD13="X", 'Round Bonuses'!$E$4, AF13="X",'Round Bonuses'!$E$6,TRUE, 'Round Bonuses'!$E$7), 0) +IF(AB13="X", 'Round Bonuses'!$E$3, 0)+IF(AC13="X",'Round Bonuses'!$E$4, 0)+IF(AD13="X", 'Round Bonuses'!$E$5, 0)+IF(AE13="X", 'Round Bonuses'!$E$6, 0)+IF(AF13="X", 'Round Bonuses'!$E$7, 0)+IF(AG13="X", 'Round Bonuses'!$E$8, 0)+_xludf.IFS(AL13="W", 'Round Bonuses'!$G$14, AL13="X", 'Round Bonuses'!$G$13, AK13="X", 'Round Bonuses'!$G$12, AJ13="X", 'Round Bonuses'!$G$11, AI13="X", 'Round Bonuses'!$G$10, AH13="X", 'Round Bonuses'!$G$9, TRUE, 0))+_xludf.IFS(N13="W", 'Round Bonuses'!$C$13, N13="X", 'Round Bonuses'!$C$12, M13="X", 'Round Bonuses'!$C$11, L13="X", 'Round Bonuses'!$C$10, K13="X", 'Round Bonuses'!$C$9, J13="X", 'Round Bonuses'!$C$8, I13="X", 'Round Bonuses'!$C$7, H13="X", 'Round Bonuses'!$C$6, G13="X", 'Round Bonuses'!$C$5, F13="X", 'Round Bonuses'!$C$4, E13="X", 'Round Bonuses'!$C$3, D13="X", 'Round Bonuses'!$C$3, TRUE, 0)</f>
        <v>#NAME?</v>
      </c>
      <c r="BA13" s="2">
        <f t="shared" ca="1" si="1"/>
        <v>5.7512499999999998</v>
      </c>
      <c r="BB13" s="10" t="e">
        <f t="shared" ca="1" si="2"/>
        <v>#NAME?</v>
      </c>
      <c r="BD13" s="11" t="str">
        <f t="shared" ca="1" si="3"/>
        <v>Apollon Limassol</v>
      </c>
      <c r="BE13" s="2" t="str">
        <f t="shared" ca="1" si="4"/>
        <v>Cyprus</v>
      </c>
      <c r="BF13" s="2" t="e">
        <f t="shared" ca="1" si="5"/>
        <v>#NAME?</v>
      </c>
      <c r="BG13" s="2">
        <f t="shared" ca="1" si="6"/>
        <v>3</v>
      </c>
      <c r="BH13" s="2" t="s">
        <v>30</v>
      </c>
      <c r="BI13" s="2" t="s">
        <v>31</v>
      </c>
      <c r="BJ13" s="7">
        <v>12.506979166666666</v>
      </c>
      <c r="BK13" s="2">
        <v>12</v>
      </c>
      <c r="BL13" s="2">
        <f t="shared" si="10"/>
        <v>11</v>
      </c>
      <c r="BM13" s="2" t="str">
        <f t="shared" si="7"/>
        <v>Ajax</v>
      </c>
      <c r="BN13" s="7">
        <f t="shared" ref="BN13:BO13" si="20">BJ13</f>
        <v>12.506979166666666</v>
      </c>
      <c r="BO13" s="2">
        <f t="shared" si="20"/>
        <v>12</v>
      </c>
      <c r="BS13" s="2" t="str">
        <f t="shared" si="9"/>
        <v>Netherlands</v>
      </c>
    </row>
    <row r="14" spans="1:71" ht="13.8" x14ac:dyDescent="0.45">
      <c r="A14" s="2" t="str">
        <f ca="1">IFERROR(__xludf.DUMMYFUNCTION("""COMPUTED_VALUE"""),"Ararat-Armenia")</f>
        <v>Ararat-Armenia</v>
      </c>
      <c r="B14" s="2">
        <f ca="1">IFERROR(__xludf.DUMMYFUNCTION("""COMPUTED_VALUE"""),0.56)</f>
        <v>0.56000000000000005</v>
      </c>
      <c r="C14" s="2" t="str">
        <f ca="1">IFERROR(__xludf.DUMMYFUNCTION("""COMPUTED_VALUE"""),"Armenia")</f>
        <v>Armenia</v>
      </c>
      <c r="D14" s="2"/>
      <c r="E14" s="2"/>
      <c r="F14" s="2" t="str">
        <f ca="1">IFERROR(__xludf.DUMMYFUNCTION("""COMPUTED_VALUE"""),"X")</f>
        <v>X</v>
      </c>
      <c r="G14" s="2"/>
      <c r="H14" s="2"/>
      <c r="I14" s="2"/>
      <c r="J14" s="2"/>
      <c r="K14" s="2"/>
      <c r="L14" s="2"/>
      <c r="M14" s="2"/>
      <c r="N14" s="2"/>
      <c r="O14" s="5">
        <f ca="1">IFERROR(__xludf.DUMMYFUNCTION("""COMPUTED_VALUE"""),0)</f>
        <v>0</v>
      </c>
      <c r="P14" s="2">
        <f ca="1">IFERROR(__xludf.DUMMYFUNCTION("""COMPUTED_VALUE"""),0)</f>
        <v>0</v>
      </c>
      <c r="Q14" s="2">
        <f ca="1">IFERROR(__xludf.DUMMYFUNCTION("""COMPUTED_VALUE"""),0.695)</f>
        <v>0.69499999999999995</v>
      </c>
      <c r="R14" s="2">
        <f ca="1">IFERROR(__xludf.DUMMYFUNCTION("""COMPUTED_VALUE"""),0)</f>
        <v>0</v>
      </c>
      <c r="S14" s="2">
        <f ca="1">IFERROR(__xludf.DUMMYFUNCTION("""COMPUTED_VALUE"""),0)</f>
        <v>0</v>
      </c>
      <c r="T14" s="2">
        <f ca="1">IFERROR(__xludf.DUMMYFUNCTION("""COMPUTED_VALUE"""),0)</f>
        <v>0</v>
      </c>
      <c r="U14" s="2">
        <f ca="1">IFERROR(__xludf.DUMMYFUNCTION("""COMPUTED_VALUE"""),0)</f>
        <v>0</v>
      </c>
      <c r="V14" s="2">
        <f ca="1">IFERROR(__xludf.DUMMYFUNCTION("""COMPUTED_VALUE"""),0)</f>
        <v>0</v>
      </c>
      <c r="W14" s="2">
        <f ca="1">IFERROR(__xludf.DUMMYFUNCTION("""COMPUTED_VALUE"""),0)</f>
        <v>0</v>
      </c>
      <c r="X14" s="2">
        <f ca="1">IFERROR(__xludf.DUMMYFUNCTION("""COMPUTED_VALUE"""),0)</f>
        <v>0</v>
      </c>
      <c r="Y14" s="2">
        <f ca="1">IFERROR(__xludf.DUMMYFUNCTION("""COMPUTED_VALUE"""),0)</f>
        <v>0</v>
      </c>
      <c r="AB14" s="2"/>
      <c r="AC14" s="2"/>
      <c r="AD14" s="2" t="str">
        <f ca="1">IFERROR(__xludf.DUMMYFUNCTION("""COMPUTED_VALUE"""),"X")</f>
        <v>X</v>
      </c>
      <c r="AE14" s="2" t="str">
        <f ca="1">IFERROR(__xludf.DUMMYFUNCTION("""COMPUTED_VALUE"""),"X")</f>
        <v>X</v>
      </c>
      <c r="AF14" s="2" t="str">
        <f ca="1">IFERROR(__xludf.DUMMYFUNCTION("""COMPUTED_VALUE"""),"X")</f>
        <v>X</v>
      </c>
      <c r="AG14" s="2"/>
      <c r="AH14" s="2"/>
      <c r="AI14" s="2"/>
      <c r="AJ14" s="2"/>
      <c r="AK14" s="2"/>
      <c r="AL14" s="2"/>
      <c r="AM14" s="2">
        <f ca="1">IFERROR(__xludf.DUMMYFUNCTION("""COMPUTED_VALUE"""),0)</f>
        <v>0</v>
      </c>
      <c r="AN14" s="2">
        <f ca="1">IFERROR(__xludf.DUMMYFUNCTION("""COMPUTED_VALUE"""),0)</f>
        <v>0</v>
      </c>
      <c r="AO14" s="2">
        <f ca="1">IFERROR(__xludf.DUMMYFUNCTION("""COMPUTED_VALUE"""),2.35125)</f>
        <v>2.3512499999999998</v>
      </c>
      <c r="AP14" s="2">
        <f ca="1">IFERROR(__xludf.DUMMYFUNCTION("""COMPUTED_VALUE"""),2.84625)</f>
        <v>2.8462499999999999</v>
      </c>
      <c r="AQ14" s="2">
        <f ca="1">IFERROR(__xludf.DUMMYFUNCTION("""COMPUTED_VALUE"""),0.685)</f>
        <v>0.68500000000000005</v>
      </c>
      <c r="AR14" s="2">
        <f ca="1">IFERROR(__xludf.DUMMYFUNCTION("""COMPUTED_VALUE"""),0)</f>
        <v>0</v>
      </c>
      <c r="AS14" s="2">
        <f ca="1">IFERROR(__xludf.DUMMYFUNCTION("""COMPUTED_VALUE"""),0)</f>
        <v>0</v>
      </c>
      <c r="AT14" s="2">
        <f ca="1">IFERROR(__xludf.DUMMYFUNCTION("""COMPUTED_VALUE"""),0)</f>
        <v>0</v>
      </c>
      <c r="AU14" s="2">
        <f ca="1">IFERROR(__xludf.DUMMYFUNCTION("""COMPUTED_VALUE"""),0)</f>
        <v>0</v>
      </c>
      <c r="AV14" s="2">
        <f ca="1">IFERROR(__xludf.DUMMYFUNCTION("""COMPUTED_VALUE"""),0)</f>
        <v>0</v>
      </c>
      <c r="AW14" s="2">
        <f ca="1">IFERROR(__xludf.DUMMYFUNCTION("""COMPUTED_VALUE"""),0)</f>
        <v>0</v>
      </c>
      <c r="AY14" s="2">
        <f t="shared" ca="1" si="0"/>
        <v>4</v>
      </c>
      <c r="AZ14" s="2" t="e">
        <f ca="1">IF(NOT(COUNTA(D14:J14)), _xludf.IFS(AL14="W", 'Round Bonuses'!$F$14, AL14="X", 'Round Bonuses'!$F$13, AK14="X", 'Round Bonuses'!$F$12, AJ14="X", 'Round Bonuses'!$F$11, AI14="X", 'Round Bonuses'!$F$10, AH14="X", 'Round Bonuses'!$F$9, AG14="X", 'Round Bonuses'!$F$8, AF14="X", 'Round Bonuses'!$F$7, AE14="X", 'Round Bonuses'!$F$6, AD14="X", 'Round Bonuses'!$F$5, AC14="X", 'Round Bonuses'!$F$4, AB14="X", 'Round Bonuses'!$F$3, TRUE, 0), IF(AA14="X", _xludf.IFS(AD14="X", 'Round Bonuses'!$E$4, AF14="X",'Round Bonuses'!$E$6,TRUE, 'Round Bonuses'!$E$7), 0) +IF(AB14="X", 'Round Bonuses'!$E$3, 0)+IF(AC14="X",'Round Bonuses'!$E$4, 0)+IF(AD14="X", 'Round Bonuses'!$E$5, 0)+IF(AE14="X", 'Round Bonuses'!$E$6, 0)+IF(AF14="X", 'Round Bonuses'!$E$7, 0)+IF(AG14="X", 'Round Bonuses'!$E$8, 0)+_xludf.IFS(AL14="W", 'Round Bonuses'!$G$14, AL14="X", 'Round Bonuses'!$G$13, AK14="X", 'Round Bonuses'!$G$12, AJ14="X", 'Round Bonuses'!$G$11, AI14="X", 'Round Bonuses'!$G$10, AH14="X", 'Round Bonuses'!$G$9, TRUE, 0))+_xludf.IFS(N14="W", 'Round Bonuses'!$C$13, N14="X", 'Round Bonuses'!$C$12, M14="X", 'Round Bonuses'!$C$11, L14="X", 'Round Bonuses'!$C$10, K14="X", 'Round Bonuses'!$C$9, J14="X", 'Round Bonuses'!$C$8, I14="X", 'Round Bonuses'!$C$7, H14="X", 'Round Bonuses'!$C$6, G14="X", 'Round Bonuses'!$C$5, F14="X", 'Round Bonuses'!$C$4, E14="X", 'Round Bonuses'!$C$3, D14="X", 'Round Bonuses'!$C$3, TRUE, 0)</f>
        <v>#NAME?</v>
      </c>
      <c r="BA14" s="2">
        <f t="shared" ca="1" si="1"/>
        <v>6.5775000000000006</v>
      </c>
      <c r="BB14" s="10" t="e">
        <f t="shared" ca="1" si="2"/>
        <v>#NAME?</v>
      </c>
      <c r="BD14" s="11" t="str">
        <f t="shared" ca="1" si="3"/>
        <v>Ararat-Armenia</v>
      </c>
      <c r="BE14" s="2" t="str">
        <f t="shared" ca="1" si="4"/>
        <v>Armenia</v>
      </c>
      <c r="BF14" s="2" t="e">
        <f t="shared" ca="1" si="5"/>
        <v>#NAME?</v>
      </c>
      <c r="BG14" s="2">
        <f t="shared" ca="1" si="6"/>
        <v>4</v>
      </c>
      <c r="BH14" s="2" t="s">
        <v>32</v>
      </c>
      <c r="BI14" s="2" t="s">
        <v>33</v>
      </c>
      <c r="BJ14" s="7">
        <v>12.489531249999999</v>
      </c>
      <c r="BK14" s="2">
        <v>8</v>
      </c>
      <c r="BL14" s="2">
        <f t="shared" si="10"/>
        <v>12</v>
      </c>
      <c r="BM14" s="2" t="str">
        <f t="shared" si="7"/>
        <v>Juventus</v>
      </c>
      <c r="BN14" s="7">
        <f t="shared" ref="BN14:BO14" si="21">BJ14</f>
        <v>12.489531249999999</v>
      </c>
      <c r="BO14" s="2">
        <f t="shared" si="21"/>
        <v>8</v>
      </c>
      <c r="BS14" s="2" t="str">
        <f t="shared" si="9"/>
        <v>Italy</v>
      </c>
    </row>
    <row r="15" spans="1:71" ht="13.8" x14ac:dyDescent="0.45">
      <c r="A15" s="2" t="str">
        <f ca="1">IFERROR(__xludf.DUMMYFUNCTION("""COMPUTED_VALUE"""),"Aris")</f>
        <v>Aris</v>
      </c>
      <c r="B15" s="2">
        <f ca="1">IFERROR(__xludf.DUMMYFUNCTION("""COMPUTED_VALUE"""),0.82)</f>
        <v>0.82</v>
      </c>
      <c r="C15" s="2" t="str">
        <f ca="1">IFERROR(__xludf.DUMMYFUNCTION("""COMPUTED_VALUE"""),"Greece")</f>
        <v>Greece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5">
        <f ca="1">IFERROR(__xludf.DUMMYFUNCTION("""COMPUTED_VALUE"""),0)</f>
        <v>0</v>
      </c>
      <c r="P15" s="2">
        <f ca="1">IFERROR(__xludf.DUMMYFUNCTION("""COMPUTED_VALUE"""),0)</f>
        <v>0</v>
      </c>
      <c r="Q15" s="2">
        <f ca="1">IFERROR(__xludf.DUMMYFUNCTION("""COMPUTED_VALUE"""),0)</f>
        <v>0</v>
      </c>
      <c r="R15" s="2">
        <f ca="1">IFERROR(__xludf.DUMMYFUNCTION("""COMPUTED_VALUE"""),0)</f>
        <v>0</v>
      </c>
      <c r="S15" s="2">
        <f ca="1">IFERROR(__xludf.DUMMYFUNCTION("""COMPUTED_VALUE"""),0)</f>
        <v>0</v>
      </c>
      <c r="T15" s="2">
        <f ca="1">IFERROR(__xludf.DUMMYFUNCTION("""COMPUTED_VALUE"""),0)</f>
        <v>0</v>
      </c>
      <c r="U15" s="2">
        <f ca="1">IFERROR(__xludf.DUMMYFUNCTION("""COMPUTED_VALUE"""),0)</f>
        <v>0</v>
      </c>
      <c r="V15" s="2">
        <f ca="1">IFERROR(__xludf.DUMMYFUNCTION("""COMPUTED_VALUE"""),0)</f>
        <v>0</v>
      </c>
      <c r="W15" s="2">
        <f ca="1">IFERROR(__xludf.DUMMYFUNCTION("""COMPUTED_VALUE"""),0)</f>
        <v>0</v>
      </c>
      <c r="X15" s="2">
        <f ca="1">IFERROR(__xludf.DUMMYFUNCTION("""COMPUTED_VALUE"""),0)</f>
        <v>0</v>
      </c>
      <c r="Y15" s="2">
        <f ca="1">IFERROR(__xludf.DUMMYFUNCTION("""COMPUTED_VALUE"""),0)</f>
        <v>0</v>
      </c>
      <c r="AB15" s="2"/>
      <c r="AC15" s="2"/>
      <c r="AD15" s="2" t="str">
        <f ca="1">IFERROR(__xludf.DUMMYFUNCTION("""COMPUTED_VALUE"""),"X")</f>
        <v>X</v>
      </c>
      <c r="AE15" s="2"/>
      <c r="AF15" s="2"/>
      <c r="AG15" s="2"/>
      <c r="AH15" s="2"/>
      <c r="AI15" s="2"/>
      <c r="AJ15" s="2"/>
      <c r="AK15" s="2"/>
      <c r="AL15" s="2"/>
      <c r="AM15" s="2">
        <f ca="1">IFERROR(__xludf.DUMMYFUNCTION("""COMPUTED_VALUE"""),0)</f>
        <v>0</v>
      </c>
      <c r="AN15" s="2">
        <f ca="1">IFERROR(__xludf.DUMMYFUNCTION("""COMPUTED_VALUE"""),0)</f>
        <v>0</v>
      </c>
      <c r="AO15" s="2">
        <f ca="1">IFERROR(__xludf.DUMMYFUNCTION("""COMPUTED_VALUE"""),0.745)</f>
        <v>0.745</v>
      </c>
      <c r="AP15" s="2">
        <f ca="1">IFERROR(__xludf.DUMMYFUNCTION("""COMPUTED_VALUE"""),0)</f>
        <v>0</v>
      </c>
      <c r="AQ15" s="2">
        <f ca="1">IFERROR(__xludf.DUMMYFUNCTION("""COMPUTED_VALUE"""),0)</f>
        <v>0</v>
      </c>
      <c r="AR15" s="2">
        <f ca="1">IFERROR(__xludf.DUMMYFUNCTION("""COMPUTED_VALUE"""),0)</f>
        <v>0</v>
      </c>
      <c r="AS15" s="2">
        <f ca="1">IFERROR(__xludf.DUMMYFUNCTION("""COMPUTED_VALUE"""),0)</f>
        <v>0</v>
      </c>
      <c r="AT15" s="2">
        <f ca="1">IFERROR(__xludf.DUMMYFUNCTION("""COMPUTED_VALUE"""),0)</f>
        <v>0</v>
      </c>
      <c r="AU15" s="2">
        <f ca="1">IFERROR(__xludf.DUMMYFUNCTION("""COMPUTED_VALUE"""),0)</f>
        <v>0</v>
      </c>
      <c r="AV15" s="2">
        <f ca="1">IFERROR(__xludf.DUMMYFUNCTION("""COMPUTED_VALUE"""),0)</f>
        <v>0</v>
      </c>
      <c r="AW15" s="2">
        <f ca="1">IFERROR(__xludf.DUMMYFUNCTION("""COMPUTED_VALUE"""),0)</f>
        <v>0</v>
      </c>
      <c r="AY15" s="2">
        <f t="shared" ca="1" si="0"/>
        <v>1</v>
      </c>
      <c r="AZ15" s="2" t="e">
        <f ca="1">IF(NOT(COUNTA(D15:J15)), _xludf.IFS(AL15="W", 'Round Bonuses'!$F$14, AL15="X", 'Round Bonuses'!$F$13, AK15="X", 'Round Bonuses'!$F$12, AJ15="X", 'Round Bonuses'!$F$11, AI15="X", 'Round Bonuses'!$F$10, AH15="X", 'Round Bonuses'!$F$9, AG15="X", 'Round Bonuses'!$F$8, AF15="X", 'Round Bonuses'!$F$7, AE15="X", 'Round Bonuses'!$F$6, AD15="X", 'Round Bonuses'!$F$5, AC15="X", 'Round Bonuses'!$F$4, AB15="X", 'Round Bonuses'!$F$3, TRUE, 0), IF(AA15="X", _xludf.IFS(AD15="X", 'Round Bonuses'!$E$4, AF15="X",'Round Bonuses'!$E$6,TRUE, 'Round Bonuses'!$E$7), 0) +IF(AB15="X", 'Round Bonuses'!$E$3, 0)+IF(AC15="X",'Round Bonuses'!$E$4, 0)+IF(AD15="X", 'Round Bonuses'!$E$5, 0)+IF(AE15="X", 'Round Bonuses'!$E$6, 0)+IF(AF15="X", 'Round Bonuses'!$E$7, 0)+IF(AG15="X", 'Round Bonuses'!$E$8, 0)+_xludf.IFS(AL15="W", 'Round Bonuses'!$G$14, AL15="X", 'Round Bonuses'!$G$13, AK15="X", 'Round Bonuses'!$G$12, AJ15="X", 'Round Bonuses'!$G$11, AI15="X", 'Round Bonuses'!$G$10, AH15="X", 'Round Bonuses'!$G$9, TRUE, 0))+_xludf.IFS(N15="W", 'Round Bonuses'!$C$13, N15="X", 'Round Bonuses'!$C$12, M15="X", 'Round Bonuses'!$C$11, L15="X", 'Round Bonuses'!$C$10, K15="X", 'Round Bonuses'!$C$9, J15="X", 'Round Bonuses'!$C$8, I15="X", 'Round Bonuses'!$C$7, H15="X", 'Round Bonuses'!$C$6, G15="X", 'Round Bonuses'!$C$5, F15="X", 'Round Bonuses'!$C$4, E15="X", 'Round Bonuses'!$C$3, D15="X", 'Round Bonuses'!$C$3, TRUE, 0)</f>
        <v>#NAME?</v>
      </c>
      <c r="BA15" s="2">
        <f t="shared" ca="1" si="1"/>
        <v>0.745</v>
      </c>
      <c r="BB15" s="10" t="e">
        <f t="shared" ca="1" si="2"/>
        <v>#NAME?</v>
      </c>
      <c r="BD15" s="11" t="str">
        <f t="shared" ca="1" si="3"/>
        <v>Aris</v>
      </c>
      <c r="BE15" s="2" t="str">
        <f t="shared" ca="1" si="4"/>
        <v>Greece</v>
      </c>
      <c r="BF15" s="2" t="e">
        <f t="shared" ca="1" si="5"/>
        <v>#NAME?</v>
      </c>
      <c r="BG15" s="2">
        <f t="shared" ca="1" si="6"/>
        <v>1</v>
      </c>
      <c r="BH15" s="2" t="s">
        <v>34</v>
      </c>
      <c r="BI15" s="2" t="s">
        <v>19</v>
      </c>
      <c r="BJ15" s="7">
        <v>12.212656249999998</v>
      </c>
      <c r="BK15" s="2">
        <v>8</v>
      </c>
      <c r="BL15" s="2">
        <f t="shared" si="10"/>
        <v>13</v>
      </c>
      <c r="BM15" s="2" t="str">
        <f t="shared" si="7"/>
        <v>Barcelona</v>
      </c>
      <c r="BN15" s="7">
        <f t="shared" ref="BN15:BO15" si="22">BJ15</f>
        <v>12.212656249999998</v>
      </c>
      <c r="BO15" s="2">
        <f t="shared" si="22"/>
        <v>8</v>
      </c>
      <c r="BS15" s="2" t="str">
        <f t="shared" si="9"/>
        <v>Spain</v>
      </c>
    </row>
    <row r="16" spans="1:71" ht="13.8" x14ac:dyDescent="0.45">
      <c r="A16" s="2" t="str">
        <f ca="1">IFERROR(__xludf.DUMMYFUNCTION("""COMPUTED_VALUE"""),"Arsenal")</f>
        <v>Arsenal</v>
      </c>
      <c r="B16" s="2">
        <f ca="1">IFERROR(__xludf.DUMMYFUNCTION("""COMPUTED_VALUE"""),0.929999999999999)</f>
        <v>0.92999999999999905</v>
      </c>
      <c r="C16" s="2" t="str">
        <f ca="1">IFERROR(__xludf.DUMMYFUNCTION("""COMPUTED_VALUE"""),"England")</f>
        <v>England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5">
        <f ca="1">IFERROR(__xludf.DUMMYFUNCTION("""COMPUTED_VALUE"""),0)</f>
        <v>0</v>
      </c>
      <c r="P16" s="2">
        <f ca="1">IFERROR(__xludf.DUMMYFUNCTION("""COMPUTED_VALUE"""),0)</f>
        <v>0</v>
      </c>
      <c r="Q16" s="2">
        <f ca="1">IFERROR(__xludf.DUMMYFUNCTION("""COMPUTED_VALUE"""),0)</f>
        <v>0</v>
      </c>
      <c r="R16" s="2">
        <f ca="1">IFERROR(__xludf.DUMMYFUNCTION("""COMPUTED_VALUE"""),0)</f>
        <v>0</v>
      </c>
      <c r="S16" s="2">
        <f ca="1">IFERROR(__xludf.DUMMYFUNCTION("""COMPUTED_VALUE"""),0)</f>
        <v>0</v>
      </c>
      <c r="T16" s="2">
        <f ca="1">IFERROR(__xludf.DUMMYFUNCTION("""COMPUTED_VALUE"""),0)</f>
        <v>0</v>
      </c>
      <c r="U16" s="2">
        <f ca="1">IFERROR(__xludf.DUMMYFUNCTION("""COMPUTED_VALUE"""),0)</f>
        <v>0</v>
      </c>
      <c r="V16" s="2">
        <f ca="1">IFERROR(__xludf.DUMMYFUNCTION("""COMPUTED_VALUE"""),0)</f>
        <v>0</v>
      </c>
      <c r="W16" s="2">
        <f ca="1">IFERROR(__xludf.DUMMYFUNCTION("""COMPUTED_VALUE"""),0)</f>
        <v>0</v>
      </c>
      <c r="X16" s="2">
        <f ca="1">IFERROR(__xludf.DUMMYFUNCTION("""COMPUTED_VALUE"""),0)</f>
        <v>0</v>
      </c>
      <c r="Y16" s="2">
        <f ca="1">IFERROR(__xludf.DUMMYFUNCTION("""COMPUTED_VALUE"""),0)</f>
        <v>0</v>
      </c>
      <c r="AB16" s="2"/>
      <c r="AC16" s="2"/>
      <c r="AD16" s="2"/>
      <c r="AE16" s="2"/>
      <c r="AF16" s="2"/>
      <c r="AG16" s="2" t="str">
        <f ca="1">IFERROR(__xludf.DUMMYFUNCTION("""COMPUTED_VALUE"""),"X")</f>
        <v>X</v>
      </c>
      <c r="AH16" s="2" t="str">
        <f ca="1">IFERROR(__xludf.DUMMYFUNCTION("""COMPUTED_VALUE"""),"X")</f>
        <v>X</v>
      </c>
      <c r="AI16" s="2" t="str">
        <f ca="1">IFERROR(__xludf.DUMMYFUNCTION("""COMPUTED_VALUE"""),"X")</f>
        <v>X</v>
      </c>
      <c r="AJ16" s="2" t="str">
        <f ca="1">IFERROR(__xludf.DUMMYFUNCTION("""COMPUTED_VALUE"""),"X")</f>
        <v>X</v>
      </c>
      <c r="AK16" s="2" t="str">
        <f ca="1">IFERROR(__xludf.DUMMYFUNCTION("""COMPUTED_VALUE"""),"X")</f>
        <v>X</v>
      </c>
      <c r="AL16" s="2"/>
      <c r="AM16" s="2">
        <f ca="1">IFERROR(__xludf.DUMMYFUNCTION("""COMPUTED_VALUE"""),0)</f>
        <v>0</v>
      </c>
      <c r="AN16" s="2">
        <f ca="1">IFERROR(__xludf.DUMMYFUNCTION("""COMPUTED_VALUE"""),0)</f>
        <v>0</v>
      </c>
      <c r="AO16" s="2">
        <f ca="1">IFERROR(__xludf.DUMMYFUNCTION("""COMPUTED_VALUE"""),0)</f>
        <v>0</v>
      </c>
      <c r="AP16" s="2">
        <f ca="1">IFERROR(__xludf.DUMMYFUNCTION("""COMPUTED_VALUE"""),0)</f>
        <v>0</v>
      </c>
      <c r="AQ16" s="2">
        <f ca="1">IFERROR(__xludf.DUMMYFUNCTION("""COMPUTED_VALUE"""),0)</f>
        <v>0</v>
      </c>
      <c r="AR16" s="2">
        <f ca="1">IFERROR(__xludf.DUMMYFUNCTION("""COMPUTED_VALUE"""),19.56625)</f>
        <v>19.56625</v>
      </c>
      <c r="AS16" s="2">
        <f ca="1">IFERROR(__xludf.DUMMYFUNCTION("""COMPUTED_VALUE"""),5.635)</f>
        <v>5.6349999999999998</v>
      </c>
      <c r="AT16" s="2">
        <f ca="1">IFERROR(__xludf.DUMMYFUNCTION("""COMPUTED_VALUE"""),4.39)</f>
        <v>4.3899999999999997</v>
      </c>
      <c r="AU16" s="2">
        <f ca="1">IFERROR(__xludf.DUMMYFUNCTION("""COMPUTED_VALUE"""),5.655)</f>
        <v>5.6550000000000002</v>
      </c>
      <c r="AV16" s="2">
        <f ca="1">IFERROR(__xludf.DUMMYFUNCTION("""COMPUTED_VALUE"""),2.72499999999999)</f>
        <v>2.7249999999999899</v>
      </c>
      <c r="AW16" s="2">
        <f ca="1">IFERROR(__xludf.DUMMYFUNCTION("""COMPUTED_VALUE"""),0)</f>
        <v>0</v>
      </c>
      <c r="AY16" s="2">
        <f t="shared" ca="1" si="0"/>
        <v>14</v>
      </c>
      <c r="AZ16" s="2" t="e">
        <f ca="1">IF(NOT(COUNTA(D16:J16)), _xludf.IFS(AL16="W", 'Round Bonuses'!$F$14, AL16="X", 'Round Bonuses'!$F$13, AK16="X", 'Round Bonuses'!$F$12, AJ16="X", 'Round Bonuses'!$F$11, AI16="X", 'Round Bonuses'!$F$10, AH16="X", 'Round Bonuses'!$F$9, AG16="X", 'Round Bonuses'!$F$8, AF16="X", 'Round Bonuses'!$F$7, AE16="X", 'Round Bonuses'!$F$6, AD16="X", 'Round Bonuses'!$F$5, AC16="X", 'Round Bonuses'!$F$4, AB16="X", 'Round Bonuses'!$F$3, TRUE, 0), IF(AA16="X", _xludf.IFS(AD16="X", 'Round Bonuses'!$E$4, AF16="X",'Round Bonuses'!$E$6,TRUE, 'Round Bonuses'!$E$7), 0) +IF(AB16="X", 'Round Bonuses'!$E$3, 0)+IF(AC16="X",'Round Bonuses'!$E$4, 0)+IF(AD16="X", 'Round Bonuses'!$E$5, 0)+IF(AE16="X", 'Round Bonuses'!$E$6, 0)+IF(AF16="X", 'Round Bonuses'!$E$7, 0)+IF(AG16="X", 'Round Bonuses'!$E$8, 0)+_xludf.IFS(AL16="W", 'Round Bonuses'!$G$14, AL16="X", 'Round Bonuses'!$G$13, AK16="X", 'Round Bonuses'!$G$12, AJ16="X", 'Round Bonuses'!$G$11, AI16="X", 'Round Bonuses'!$G$10, AH16="X", 'Round Bonuses'!$G$9, TRUE, 0))+_xludf.IFS(N16="W", 'Round Bonuses'!$C$13, N16="X", 'Round Bonuses'!$C$12, M16="X", 'Round Bonuses'!$C$11, L16="X", 'Round Bonuses'!$C$10, K16="X", 'Round Bonuses'!$C$9, J16="X", 'Round Bonuses'!$C$8, I16="X", 'Round Bonuses'!$C$7, H16="X", 'Round Bonuses'!$C$6, G16="X", 'Round Bonuses'!$C$5, F16="X", 'Round Bonuses'!$C$4, E16="X", 'Round Bonuses'!$C$3, D16="X", 'Round Bonuses'!$C$3, TRUE, 0)</f>
        <v>#NAME?</v>
      </c>
      <c r="BA16" s="2">
        <f t="shared" ca="1" si="1"/>
        <v>37.971249999999991</v>
      </c>
      <c r="BB16" s="10" t="e">
        <f t="shared" ca="1" si="2"/>
        <v>#NAME?</v>
      </c>
      <c r="BD16" s="11" t="str">
        <f t="shared" ca="1" si="3"/>
        <v>Arsenal</v>
      </c>
      <c r="BE16" s="2" t="str">
        <f t="shared" ca="1" si="4"/>
        <v>England</v>
      </c>
      <c r="BF16" s="2" t="e">
        <f t="shared" ca="1" si="5"/>
        <v>#NAME?</v>
      </c>
      <c r="BG16" s="2">
        <f t="shared" ca="1" si="6"/>
        <v>14</v>
      </c>
      <c r="BH16" s="2" t="s">
        <v>35</v>
      </c>
      <c r="BI16" s="2" t="s">
        <v>19</v>
      </c>
      <c r="BJ16" s="7">
        <v>12.15671875</v>
      </c>
      <c r="BK16" s="2">
        <v>8</v>
      </c>
      <c r="BL16" s="2">
        <f t="shared" si="10"/>
        <v>14</v>
      </c>
      <c r="BM16" s="2" t="str">
        <f t="shared" si="7"/>
        <v>Sevilla</v>
      </c>
      <c r="BN16" s="7">
        <f t="shared" ref="BN16:BO16" si="23">BJ16</f>
        <v>12.15671875</v>
      </c>
      <c r="BO16" s="2">
        <f t="shared" si="23"/>
        <v>8</v>
      </c>
      <c r="BS16" s="2" t="str">
        <f t="shared" si="9"/>
        <v>Spain</v>
      </c>
    </row>
    <row r="17" spans="1:71" ht="13.8" x14ac:dyDescent="0.45">
      <c r="A17" s="2" t="str">
        <f ca="1">IFERROR(__xludf.DUMMYFUNCTION("""COMPUTED_VALUE"""),"Astana")</f>
        <v>Astana</v>
      </c>
      <c r="B17" s="2">
        <f ca="1">IFERROR(__xludf.DUMMYFUNCTION("""COMPUTED_VALUE"""),0.76)</f>
        <v>0.76</v>
      </c>
      <c r="C17" s="2" t="str">
        <f ca="1">IFERROR(__xludf.DUMMYFUNCTION("""COMPUTED_VALUE"""),"Kazakhstan")</f>
        <v>Kazakhstan</v>
      </c>
      <c r="D17" s="2"/>
      <c r="E17" s="2"/>
      <c r="F17" s="2" t="str">
        <f ca="1">IFERROR(__xludf.DUMMYFUNCTION("""COMPUTED_VALUE"""),"X")</f>
        <v>X</v>
      </c>
      <c r="G17" s="2"/>
      <c r="H17" s="2"/>
      <c r="I17" s="2"/>
      <c r="J17" s="2"/>
      <c r="K17" s="2"/>
      <c r="L17" s="2"/>
      <c r="M17" s="2"/>
      <c r="N17" s="2"/>
      <c r="O17" s="5">
        <f ca="1">IFERROR(__xludf.DUMMYFUNCTION("""COMPUTED_VALUE"""),0)</f>
        <v>0</v>
      </c>
      <c r="P17" s="2">
        <f ca="1">IFERROR(__xludf.DUMMYFUNCTION("""COMPUTED_VALUE"""),0)</f>
        <v>0</v>
      </c>
      <c r="Q17" s="2">
        <f ca="1">IFERROR(__xludf.DUMMYFUNCTION("""COMPUTED_VALUE"""),0.415)</f>
        <v>0.41499999999999998</v>
      </c>
      <c r="R17" s="2">
        <f ca="1">IFERROR(__xludf.DUMMYFUNCTION("""COMPUTED_VALUE"""),0)</f>
        <v>0</v>
      </c>
      <c r="S17" s="2">
        <f ca="1">IFERROR(__xludf.DUMMYFUNCTION("""COMPUTED_VALUE"""),0)</f>
        <v>0</v>
      </c>
      <c r="T17" s="2">
        <f ca="1">IFERROR(__xludf.DUMMYFUNCTION("""COMPUTED_VALUE"""),0)</f>
        <v>0</v>
      </c>
      <c r="U17" s="2">
        <f ca="1">IFERROR(__xludf.DUMMYFUNCTION("""COMPUTED_VALUE"""),0)</f>
        <v>0</v>
      </c>
      <c r="V17" s="2">
        <f ca="1">IFERROR(__xludf.DUMMYFUNCTION("""COMPUTED_VALUE"""),0)</f>
        <v>0</v>
      </c>
      <c r="W17" s="2">
        <f ca="1">IFERROR(__xludf.DUMMYFUNCTION("""COMPUTED_VALUE"""),0)</f>
        <v>0</v>
      </c>
      <c r="X17" s="2">
        <f ca="1">IFERROR(__xludf.DUMMYFUNCTION("""COMPUTED_VALUE"""),0)</f>
        <v>0</v>
      </c>
      <c r="Y17" s="2">
        <f ca="1">IFERROR(__xludf.DUMMYFUNCTION("""COMPUTED_VALUE"""),0)</f>
        <v>0</v>
      </c>
      <c r="AB17" s="2"/>
      <c r="AC17" s="2"/>
      <c r="AD17" s="2" t="str">
        <f ca="1">IFERROR(__xludf.DUMMYFUNCTION("""COMPUTED_VALUE"""),"X")</f>
        <v>X</v>
      </c>
      <c r="AE17" s="2"/>
      <c r="AF17" s="2"/>
      <c r="AG17" s="2"/>
      <c r="AH17" s="2"/>
      <c r="AI17" s="2"/>
      <c r="AJ17" s="2"/>
      <c r="AK17" s="2"/>
      <c r="AL17" s="2"/>
      <c r="AM17" s="2">
        <f ca="1">IFERROR(__xludf.DUMMYFUNCTION("""COMPUTED_VALUE"""),0)</f>
        <v>0</v>
      </c>
      <c r="AN17" s="2">
        <f ca="1">IFERROR(__xludf.DUMMYFUNCTION("""COMPUTED_VALUE"""),0)</f>
        <v>0</v>
      </c>
      <c r="AO17" s="2">
        <f ca="1">IFERROR(__xludf.DUMMYFUNCTION("""COMPUTED_VALUE"""),0.385)</f>
        <v>0.38500000000000001</v>
      </c>
      <c r="AP17" s="2">
        <f ca="1">IFERROR(__xludf.DUMMYFUNCTION("""COMPUTED_VALUE"""),0)</f>
        <v>0</v>
      </c>
      <c r="AQ17" s="2">
        <f ca="1">IFERROR(__xludf.DUMMYFUNCTION("""COMPUTED_VALUE"""),0)</f>
        <v>0</v>
      </c>
      <c r="AR17" s="2">
        <f ca="1">IFERROR(__xludf.DUMMYFUNCTION("""COMPUTED_VALUE"""),0)</f>
        <v>0</v>
      </c>
      <c r="AS17" s="2">
        <f ca="1">IFERROR(__xludf.DUMMYFUNCTION("""COMPUTED_VALUE"""),0)</f>
        <v>0</v>
      </c>
      <c r="AT17" s="2">
        <f ca="1">IFERROR(__xludf.DUMMYFUNCTION("""COMPUTED_VALUE"""),0)</f>
        <v>0</v>
      </c>
      <c r="AU17" s="2">
        <f ca="1">IFERROR(__xludf.DUMMYFUNCTION("""COMPUTED_VALUE"""),0)</f>
        <v>0</v>
      </c>
      <c r="AV17" s="2">
        <f ca="1">IFERROR(__xludf.DUMMYFUNCTION("""COMPUTED_VALUE"""),0)</f>
        <v>0</v>
      </c>
      <c r="AW17" s="2">
        <f ca="1">IFERROR(__xludf.DUMMYFUNCTION("""COMPUTED_VALUE"""),0)</f>
        <v>0</v>
      </c>
      <c r="AY17" s="2">
        <f t="shared" ca="1" si="0"/>
        <v>2</v>
      </c>
      <c r="AZ17" s="2" t="e">
        <f ca="1">IF(NOT(COUNTA(D17:J17)), _xludf.IFS(AL17="W", 'Round Bonuses'!$F$14, AL17="X", 'Round Bonuses'!$F$13, AK17="X", 'Round Bonuses'!$F$12, AJ17="X", 'Round Bonuses'!$F$11, AI17="X", 'Round Bonuses'!$F$10, AH17="X", 'Round Bonuses'!$F$9, AG17="X", 'Round Bonuses'!$F$8, AF17="X", 'Round Bonuses'!$F$7, AE17="X", 'Round Bonuses'!$F$6, AD17="X", 'Round Bonuses'!$F$5, AC17="X", 'Round Bonuses'!$F$4, AB17="X", 'Round Bonuses'!$F$3, TRUE, 0), IF(AA17="X", _xludf.IFS(AD17="X", 'Round Bonuses'!$E$4, AF17="X",'Round Bonuses'!$E$6,TRUE, 'Round Bonuses'!$E$7), 0) +IF(AB17="X", 'Round Bonuses'!$E$3, 0)+IF(AC17="X",'Round Bonuses'!$E$4, 0)+IF(AD17="X", 'Round Bonuses'!$E$5, 0)+IF(AE17="X", 'Round Bonuses'!$E$6, 0)+IF(AF17="X", 'Round Bonuses'!$E$7, 0)+IF(AG17="X", 'Round Bonuses'!$E$8, 0)+_xludf.IFS(AL17="W", 'Round Bonuses'!$G$14, AL17="X", 'Round Bonuses'!$G$13, AK17="X", 'Round Bonuses'!$G$12, AJ17="X", 'Round Bonuses'!$G$11, AI17="X", 'Round Bonuses'!$G$10, AH17="X", 'Round Bonuses'!$G$9, TRUE, 0))+_xludf.IFS(N17="W", 'Round Bonuses'!$C$13, N17="X", 'Round Bonuses'!$C$12, M17="X", 'Round Bonuses'!$C$11, L17="X", 'Round Bonuses'!$C$10, K17="X", 'Round Bonuses'!$C$9, J17="X", 'Round Bonuses'!$C$8, I17="X", 'Round Bonuses'!$C$7, H17="X", 'Round Bonuses'!$C$6, G17="X", 'Round Bonuses'!$C$5, F17="X", 'Round Bonuses'!$C$4, E17="X", 'Round Bonuses'!$C$3, D17="X", 'Round Bonuses'!$C$3, TRUE, 0)</f>
        <v>#NAME?</v>
      </c>
      <c r="BA17" s="2">
        <f t="shared" ca="1" si="1"/>
        <v>0.8</v>
      </c>
      <c r="BB17" s="10" t="e">
        <f t="shared" ca="1" si="2"/>
        <v>#NAME?</v>
      </c>
      <c r="BD17" s="11" t="str">
        <f t="shared" ca="1" si="3"/>
        <v>Astana</v>
      </c>
      <c r="BE17" s="2" t="str">
        <f t="shared" ca="1" si="4"/>
        <v>Kazakhstan</v>
      </c>
      <c r="BF17" s="2" t="e">
        <f t="shared" ca="1" si="5"/>
        <v>#NAME?</v>
      </c>
      <c r="BG17" s="2">
        <f t="shared" ca="1" si="6"/>
        <v>2</v>
      </c>
      <c r="BH17" s="2" t="s">
        <v>36</v>
      </c>
      <c r="BI17" s="2" t="s">
        <v>23</v>
      </c>
      <c r="BJ17" s="7">
        <v>11.854531249999999</v>
      </c>
      <c r="BK17" s="2">
        <v>8</v>
      </c>
      <c r="BL17" s="2">
        <f t="shared" si="10"/>
        <v>15</v>
      </c>
      <c r="BM17" s="2" t="str">
        <f t="shared" si="7"/>
        <v>RB Leipzig</v>
      </c>
      <c r="BN17" s="7">
        <f t="shared" ref="BN17:BO17" si="24">BJ17</f>
        <v>11.854531249999999</v>
      </c>
      <c r="BO17" s="2">
        <f t="shared" si="24"/>
        <v>8</v>
      </c>
      <c r="BS17" s="2" t="str">
        <f t="shared" si="9"/>
        <v>Germany</v>
      </c>
    </row>
    <row r="18" spans="1:71" ht="13.8" x14ac:dyDescent="0.45">
      <c r="A18" s="2" t="str">
        <f ca="1">IFERROR(__xludf.DUMMYFUNCTION("""COMPUTED_VALUE"""),"Atalanta")</f>
        <v>Atalanta</v>
      </c>
      <c r="B18" s="2">
        <f ca="1">IFERROR(__xludf.DUMMYFUNCTION("""COMPUTED_VALUE"""),0.95)</f>
        <v>0.95</v>
      </c>
      <c r="C18" s="2" t="str">
        <f ca="1">IFERROR(__xludf.DUMMYFUNCTION("""COMPUTED_VALUE"""),"Italy")</f>
        <v>Italy</v>
      </c>
      <c r="D18" s="2"/>
      <c r="E18" s="2"/>
      <c r="F18" s="2"/>
      <c r="G18" s="2"/>
      <c r="H18" s="2"/>
      <c r="I18" s="2"/>
      <c r="J18" s="2" t="str">
        <f ca="1">IFERROR(__xludf.DUMMYFUNCTION("""COMPUTED_VALUE"""),"X")</f>
        <v>X</v>
      </c>
      <c r="K18" s="2" t="str">
        <f ca="1">IFERROR(__xludf.DUMMYFUNCTION("""COMPUTED_VALUE"""),"X")</f>
        <v>X</v>
      </c>
      <c r="L18" s="2"/>
      <c r="M18" s="2"/>
      <c r="N18" s="2"/>
      <c r="O18" s="5">
        <f ca="1">IFERROR(__xludf.DUMMYFUNCTION("""COMPUTED_VALUE"""),0)</f>
        <v>0</v>
      </c>
      <c r="P18" s="2">
        <f ca="1">IFERROR(__xludf.DUMMYFUNCTION("""COMPUTED_VALUE"""),0)</f>
        <v>0</v>
      </c>
      <c r="Q18" s="2">
        <f ca="1">IFERROR(__xludf.DUMMYFUNCTION("""COMPUTED_VALUE"""),0)</f>
        <v>0</v>
      </c>
      <c r="R18" s="2">
        <f ca="1">IFERROR(__xludf.DUMMYFUNCTION("""COMPUTED_VALUE"""),0)</f>
        <v>0</v>
      </c>
      <c r="S18" s="2">
        <f ca="1">IFERROR(__xludf.DUMMYFUNCTION("""COMPUTED_VALUE"""),0)</f>
        <v>0</v>
      </c>
      <c r="T18" s="2">
        <f ca="1">IFERROR(__xludf.DUMMYFUNCTION("""COMPUTED_VALUE"""),0)</f>
        <v>0</v>
      </c>
      <c r="U18" s="2">
        <f ca="1">IFERROR(__xludf.DUMMYFUNCTION("""COMPUTED_VALUE"""),15.43125)</f>
        <v>15.43125</v>
      </c>
      <c r="V18" s="2">
        <f ca="1">IFERROR(__xludf.DUMMYFUNCTION("""COMPUTED_VALUE"""),1.605)</f>
        <v>1.605</v>
      </c>
      <c r="W18" s="2">
        <f ca="1">IFERROR(__xludf.DUMMYFUNCTION("""COMPUTED_VALUE"""),0)</f>
        <v>0</v>
      </c>
      <c r="X18" s="2">
        <f ca="1">IFERROR(__xludf.DUMMYFUNCTION("""COMPUTED_VALUE"""),0)</f>
        <v>0</v>
      </c>
      <c r="Y18" s="2">
        <f ca="1">IFERROR(__xludf.DUMMYFUNCTION("""COMPUTED_VALUE"""),0)</f>
        <v>0</v>
      </c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>
        <f ca="1">IFERROR(__xludf.DUMMYFUNCTION("""COMPUTED_VALUE"""),0)</f>
        <v>0</v>
      </c>
      <c r="AN18" s="2">
        <f ca="1">IFERROR(__xludf.DUMMYFUNCTION("""COMPUTED_VALUE"""),0)</f>
        <v>0</v>
      </c>
      <c r="AO18" s="2">
        <f ca="1">IFERROR(__xludf.DUMMYFUNCTION("""COMPUTED_VALUE"""),0)</f>
        <v>0</v>
      </c>
      <c r="AP18" s="2">
        <f ca="1">IFERROR(__xludf.DUMMYFUNCTION("""COMPUTED_VALUE"""),0)</f>
        <v>0</v>
      </c>
      <c r="AQ18" s="2">
        <f ca="1">IFERROR(__xludf.DUMMYFUNCTION("""COMPUTED_VALUE"""),0)</f>
        <v>0</v>
      </c>
      <c r="AR18" s="2">
        <f ca="1">IFERROR(__xludf.DUMMYFUNCTION("""COMPUTED_VALUE"""),0)</f>
        <v>0</v>
      </c>
      <c r="AS18" s="2">
        <f ca="1">IFERROR(__xludf.DUMMYFUNCTION("""COMPUTED_VALUE"""),0)</f>
        <v>0</v>
      </c>
      <c r="AT18" s="2">
        <f ca="1">IFERROR(__xludf.DUMMYFUNCTION("""COMPUTED_VALUE"""),0)</f>
        <v>0</v>
      </c>
      <c r="AU18" s="2">
        <f ca="1">IFERROR(__xludf.DUMMYFUNCTION("""COMPUTED_VALUE"""),0)</f>
        <v>0</v>
      </c>
      <c r="AV18" s="2">
        <f ca="1">IFERROR(__xludf.DUMMYFUNCTION("""COMPUTED_VALUE"""),0)</f>
        <v>0</v>
      </c>
      <c r="AW18" s="2">
        <f ca="1">IFERROR(__xludf.DUMMYFUNCTION("""COMPUTED_VALUE"""),0)</f>
        <v>0</v>
      </c>
      <c r="AY18" s="2">
        <f t="shared" ca="1" si="0"/>
        <v>8</v>
      </c>
      <c r="AZ18" s="2" t="e">
        <f ca="1">IF(NOT(COUNTA(D18:J18)), _xludf.IFS(AL18="W", 'Round Bonuses'!$F$14, AL18="X", 'Round Bonuses'!$F$13, AK18="X", 'Round Bonuses'!$F$12, AJ18="X", 'Round Bonuses'!$F$11, AI18="X", 'Round Bonuses'!$F$10, AH18="X", 'Round Bonuses'!$F$9, AG18="X", 'Round Bonuses'!$F$8, AF18="X", 'Round Bonuses'!$F$7, AE18="X", 'Round Bonuses'!$F$6, AD18="X", 'Round Bonuses'!$F$5, AC18="X", 'Round Bonuses'!$F$4, AB18="X", 'Round Bonuses'!$F$3, TRUE, 0), IF(AA18="X", _xludf.IFS(AD18="X", 'Round Bonuses'!$E$4, AF18="X",'Round Bonuses'!$E$6,TRUE, 'Round Bonuses'!$E$7), 0) +IF(AB18="X", 'Round Bonuses'!$E$3, 0)+IF(AC18="X",'Round Bonuses'!$E$4, 0)+IF(AD18="X", 'Round Bonuses'!$E$5, 0)+IF(AE18="X", 'Round Bonuses'!$E$6, 0)+IF(AF18="X", 'Round Bonuses'!$E$7, 0)+IF(AG18="X", 'Round Bonuses'!$E$8, 0)+_xludf.IFS(AL18="W", 'Round Bonuses'!$G$14, AL18="X", 'Round Bonuses'!$G$13, AK18="X", 'Round Bonuses'!$G$12, AJ18="X", 'Round Bonuses'!$G$11, AI18="X", 'Round Bonuses'!$G$10, AH18="X", 'Round Bonuses'!$G$9, TRUE, 0))+_xludf.IFS(N18="W", 'Round Bonuses'!$C$13, N18="X", 'Round Bonuses'!$C$12, M18="X", 'Round Bonuses'!$C$11, L18="X", 'Round Bonuses'!$C$10, K18="X", 'Round Bonuses'!$C$9, J18="X", 'Round Bonuses'!$C$8, I18="X", 'Round Bonuses'!$C$7, H18="X", 'Round Bonuses'!$C$6, G18="X", 'Round Bonuses'!$C$5, F18="X", 'Round Bonuses'!$C$4, E18="X", 'Round Bonuses'!$C$3, D18="X", 'Round Bonuses'!$C$3, TRUE, 0)</f>
        <v>#NAME?</v>
      </c>
      <c r="BA18" s="2">
        <f t="shared" ca="1" si="1"/>
        <v>17.036249999999999</v>
      </c>
      <c r="BB18" s="10" t="e">
        <f t="shared" ca="1" si="2"/>
        <v>#NAME?</v>
      </c>
      <c r="BD18" s="11" t="str">
        <f t="shared" ca="1" si="3"/>
        <v>Atalanta</v>
      </c>
      <c r="BE18" s="2" t="str">
        <f t="shared" ca="1" si="4"/>
        <v>Italy</v>
      </c>
      <c r="BF18" s="2" t="e">
        <f t="shared" ca="1" si="5"/>
        <v>#NAME?</v>
      </c>
      <c r="BG18" s="2">
        <f t="shared" ca="1" si="6"/>
        <v>8</v>
      </c>
      <c r="BH18" s="2" t="s">
        <v>37</v>
      </c>
      <c r="BI18" s="2" t="s">
        <v>33</v>
      </c>
      <c r="BJ18" s="7">
        <v>11.729531249999999</v>
      </c>
      <c r="BK18" s="2">
        <v>8</v>
      </c>
      <c r="BL18" s="2">
        <f t="shared" si="10"/>
        <v>16</v>
      </c>
      <c r="BM18" s="2" t="str">
        <f t="shared" si="7"/>
        <v>Atalanta</v>
      </c>
      <c r="BN18" s="7">
        <f t="shared" ref="BN18:BO18" si="25">BJ18</f>
        <v>11.729531249999999</v>
      </c>
      <c r="BO18" s="2">
        <f t="shared" si="25"/>
        <v>8</v>
      </c>
      <c r="BS18" s="2" t="str">
        <f t="shared" si="9"/>
        <v>Italy</v>
      </c>
    </row>
    <row r="19" spans="1:71" ht="13.8" x14ac:dyDescent="0.45">
      <c r="A19" s="2" t="str">
        <f ca="1">IFERROR(__xludf.DUMMYFUNCTION("""COMPUTED_VALUE"""),"Atlético Madrid")</f>
        <v>Atlético Madrid</v>
      </c>
      <c r="B19" s="2">
        <f ca="1">IFERROR(__xludf.DUMMYFUNCTION("""COMPUTED_VALUE"""),0.97)</f>
        <v>0.97</v>
      </c>
      <c r="C19" s="2" t="str">
        <f ca="1">IFERROR(__xludf.DUMMYFUNCTION("""COMPUTED_VALUE"""),"Spain")</f>
        <v>Spain</v>
      </c>
      <c r="D19" s="2"/>
      <c r="E19" s="2"/>
      <c r="F19" s="2"/>
      <c r="G19" s="2"/>
      <c r="H19" s="2"/>
      <c r="I19" s="2"/>
      <c r="J19" s="2" t="str">
        <f ca="1">IFERROR(__xludf.DUMMYFUNCTION("""COMPUTED_VALUE"""),"X")</f>
        <v>X</v>
      </c>
      <c r="K19" s="2" t="str">
        <f ca="1">IFERROR(__xludf.DUMMYFUNCTION("""COMPUTED_VALUE"""),"X")</f>
        <v>X</v>
      </c>
      <c r="L19" s="2"/>
      <c r="M19" s="2"/>
      <c r="N19" s="2"/>
      <c r="O19" s="5">
        <f ca="1">IFERROR(__xludf.DUMMYFUNCTION("""COMPUTED_VALUE"""),0)</f>
        <v>0</v>
      </c>
      <c r="P19" s="2">
        <f ca="1">IFERROR(__xludf.DUMMYFUNCTION("""COMPUTED_VALUE"""),0)</f>
        <v>0</v>
      </c>
      <c r="Q19" s="2">
        <f ca="1">IFERROR(__xludf.DUMMYFUNCTION("""COMPUTED_VALUE"""),0)</f>
        <v>0</v>
      </c>
      <c r="R19" s="2">
        <f ca="1">IFERROR(__xludf.DUMMYFUNCTION("""COMPUTED_VALUE"""),0)</f>
        <v>0</v>
      </c>
      <c r="S19" s="2">
        <f ca="1">IFERROR(__xludf.DUMMYFUNCTION("""COMPUTED_VALUE"""),0)</f>
        <v>0</v>
      </c>
      <c r="T19" s="2">
        <f ca="1">IFERROR(__xludf.DUMMYFUNCTION("""COMPUTED_VALUE"""),0)</f>
        <v>0</v>
      </c>
      <c r="U19" s="2">
        <f ca="1">IFERROR(__xludf.DUMMYFUNCTION("""COMPUTED_VALUE"""),13.4699999999999)</f>
        <v>13.469999999999899</v>
      </c>
      <c r="V19" s="2">
        <f ca="1">IFERROR(__xludf.DUMMYFUNCTION("""COMPUTED_VALUE"""),1.525)</f>
        <v>1.5249999999999999</v>
      </c>
      <c r="W19" s="2">
        <f ca="1">IFERROR(__xludf.DUMMYFUNCTION("""COMPUTED_VALUE"""),0)</f>
        <v>0</v>
      </c>
      <c r="X19" s="2">
        <f ca="1">IFERROR(__xludf.DUMMYFUNCTION("""COMPUTED_VALUE"""),0)</f>
        <v>0</v>
      </c>
      <c r="Y19" s="2">
        <f ca="1">IFERROR(__xludf.DUMMYFUNCTION("""COMPUTED_VALUE"""),0)</f>
        <v>0</v>
      </c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>
        <f ca="1">IFERROR(__xludf.DUMMYFUNCTION("""COMPUTED_VALUE"""),0)</f>
        <v>0</v>
      </c>
      <c r="AN19" s="2">
        <f ca="1">IFERROR(__xludf.DUMMYFUNCTION("""COMPUTED_VALUE"""),0)</f>
        <v>0</v>
      </c>
      <c r="AO19" s="2">
        <f ca="1">IFERROR(__xludf.DUMMYFUNCTION("""COMPUTED_VALUE"""),0)</f>
        <v>0</v>
      </c>
      <c r="AP19" s="2">
        <f ca="1">IFERROR(__xludf.DUMMYFUNCTION("""COMPUTED_VALUE"""),0)</f>
        <v>0</v>
      </c>
      <c r="AQ19" s="2">
        <f ca="1">IFERROR(__xludf.DUMMYFUNCTION("""COMPUTED_VALUE"""),0)</f>
        <v>0</v>
      </c>
      <c r="AR19" s="2">
        <f ca="1">IFERROR(__xludf.DUMMYFUNCTION("""COMPUTED_VALUE"""),0)</f>
        <v>0</v>
      </c>
      <c r="AS19" s="2">
        <f ca="1">IFERROR(__xludf.DUMMYFUNCTION("""COMPUTED_VALUE"""),0)</f>
        <v>0</v>
      </c>
      <c r="AT19" s="2">
        <f ca="1">IFERROR(__xludf.DUMMYFUNCTION("""COMPUTED_VALUE"""),0)</f>
        <v>0</v>
      </c>
      <c r="AU19" s="2">
        <f ca="1">IFERROR(__xludf.DUMMYFUNCTION("""COMPUTED_VALUE"""),0)</f>
        <v>0</v>
      </c>
      <c r="AV19" s="2">
        <f ca="1">IFERROR(__xludf.DUMMYFUNCTION("""COMPUTED_VALUE"""),0)</f>
        <v>0</v>
      </c>
      <c r="AW19" s="2">
        <f ca="1">IFERROR(__xludf.DUMMYFUNCTION("""COMPUTED_VALUE"""),0)</f>
        <v>0</v>
      </c>
      <c r="AY19" s="2">
        <f t="shared" ca="1" si="0"/>
        <v>8</v>
      </c>
      <c r="AZ19" s="2" t="e">
        <f ca="1">IF(NOT(COUNTA(D19:J19)), _xludf.IFS(AL19="W", 'Round Bonuses'!$F$14, AL19="X", 'Round Bonuses'!$F$13, AK19="X", 'Round Bonuses'!$F$12, AJ19="X", 'Round Bonuses'!$F$11, AI19="X", 'Round Bonuses'!$F$10, AH19="X", 'Round Bonuses'!$F$9, AG19="X", 'Round Bonuses'!$F$8, AF19="X", 'Round Bonuses'!$F$7, AE19="X", 'Round Bonuses'!$F$6, AD19="X", 'Round Bonuses'!$F$5, AC19="X", 'Round Bonuses'!$F$4, AB19="X", 'Round Bonuses'!$F$3, TRUE, 0), IF(AA19="X", _xludf.IFS(AD19="X", 'Round Bonuses'!$E$4, AF19="X",'Round Bonuses'!$E$6,TRUE, 'Round Bonuses'!$E$7), 0) +IF(AB19="X", 'Round Bonuses'!$E$3, 0)+IF(AC19="X",'Round Bonuses'!$E$4, 0)+IF(AD19="X", 'Round Bonuses'!$E$5, 0)+IF(AE19="X", 'Round Bonuses'!$E$6, 0)+IF(AF19="X", 'Round Bonuses'!$E$7, 0)+IF(AG19="X", 'Round Bonuses'!$E$8, 0)+_xludf.IFS(AL19="W", 'Round Bonuses'!$G$14, AL19="X", 'Round Bonuses'!$G$13, AK19="X", 'Round Bonuses'!$G$12, AJ19="X", 'Round Bonuses'!$G$11, AI19="X", 'Round Bonuses'!$G$10, AH19="X", 'Round Bonuses'!$G$9, TRUE, 0))+_xludf.IFS(N19="W", 'Round Bonuses'!$C$13, N19="X", 'Round Bonuses'!$C$12, M19="X", 'Round Bonuses'!$C$11, L19="X", 'Round Bonuses'!$C$10, K19="X", 'Round Bonuses'!$C$9, J19="X", 'Round Bonuses'!$C$8, I19="X", 'Round Bonuses'!$C$7, H19="X", 'Round Bonuses'!$C$6, G19="X", 'Round Bonuses'!$C$5, F19="X", 'Round Bonuses'!$C$4, E19="X", 'Round Bonuses'!$C$3, D19="X", 'Round Bonuses'!$C$3, TRUE, 0)</f>
        <v>#NAME?</v>
      </c>
      <c r="BA19" s="2">
        <f t="shared" ca="1" si="1"/>
        <v>14.9949999999999</v>
      </c>
      <c r="BB19" s="10" t="e">
        <f t="shared" ca="1" si="2"/>
        <v>#NAME?</v>
      </c>
      <c r="BD19" s="11" t="str">
        <f t="shared" ca="1" si="3"/>
        <v>Atlético Madrid</v>
      </c>
      <c r="BE19" s="2" t="str">
        <f t="shared" ca="1" si="4"/>
        <v>Spain</v>
      </c>
      <c r="BF19" s="2" t="e">
        <f t="shared" ca="1" si="5"/>
        <v>#NAME?</v>
      </c>
      <c r="BG19" s="2">
        <f t="shared" ca="1" si="6"/>
        <v>8</v>
      </c>
      <c r="BH19" s="2" t="s">
        <v>38</v>
      </c>
      <c r="BI19" s="2" t="s">
        <v>33</v>
      </c>
      <c r="BJ19" s="7">
        <v>11.714062499999999</v>
      </c>
      <c r="BK19" s="2">
        <v>8</v>
      </c>
      <c r="BL19" s="2">
        <f t="shared" si="10"/>
        <v>17</v>
      </c>
      <c r="BM19" s="2" t="str">
        <f t="shared" si="7"/>
        <v>Lazio</v>
      </c>
      <c r="BN19" s="7">
        <f t="shared" ref="BN19:BO19" si="26">BJ19</f>
        <v>11.714062499999999</v>
      </c>
      <c r="BO19" s="2">
        <f t="shared" si="26"/>
        <v>8</v>
      </c>
      <c r="BS19" s="2" t="str">
        <f t="shared" si="9"/>
        <v>Italy</v>
      </c>
    </row>
    <row r="20" spans="1:71" ht="13.8" x14ac:dyDescent="0.45">
      <c r="A20" s="2" t="str">
        <f ca="1">IFERROR(__xludf.DUMMYFUNCTION("""COMPUTED_VALUE"""),"AZ")</f>
        <v>AZ</v>
      </c>
      <c r="B20" s="2">
        <f ca="1">IFERROR(__xludf.DUMMYFUNCTION("""COMPUTED_VALUE"""),0.88)</f>
        <v>0.88</v>
      </c>
      <c r="C20" s="2" t="str">
        <f ca="1">IFERROR(__xludf.DUMMYFUNCTION("""COMPUTED_VALUE"""),"Netherlands")</f>
        <v>Netherlands</v>
      </c>
      <c r="D20" s="2"/>
      <c r="E20" s="2"/>
      <c r="F20" s="2"/>
      <c r="G20" s="2" t="str">
        <f ca="1">IFERROR(__xludf.DUMMYFUNCTION("""COMPUTED_VALUE"""),"X")</f>
        <v>X</v>
      </c>
      <c r="H20" s="2" t="str">
        <f ca="1">IFERROR(__xludf.DUMMYFUNCTION("""COMPUTED_VALUE"""),"X")</f>
        <v>X</v>
      </c>
      <c r="I20" s="2"/>
      <c r="J20" s="2"/>
      <c r="K20" s="2"/>
      <c r="L20" s="2"/>
      <c r="M20" s="2"/>
      <c r="N20" s="2"/>
      <c r="O20" s="5">
        <f ca="1">IFERROR(__xludf.DUMMYFUNCTION("""COMPUTED_VALUE"""),0)</f>
        <v>0</v>
      </c>
      <c r="P20" s="2">
        <f ca="1">IFERROR(__xludf.DUMMYFUNCTION("""COMPUTED_VALUE"""),0)</f>
        <v>0</v>
      </c>
      <c r="Q20" s="2">
        <f ca="1">IFERROR(__xludf.DUMMYFUNCTION("""COMPUTED_VALUE"""),0)</f>
        <v>0</v>
      </c>
      <c r="R20" s="2">
        <f ca="1">IFERROR(__xludf.DUMMYFUNCTION("""COMPUTED_VALUE"""),3.655)</f>
        <v>3.6549999999999998</v>
      </c>
      <c r="S20" s="2">
        <f ca="1">IFERROR(__xludf.DUMMYFUNCTION("""COMPUTED_VALUE"""),0.65)</f>
        <v>0.65</v>
      </c>
      <c r="T20" s="2">
        <f ca="1">IFERROR(__xludf.DUMMYFUNCTION("""COMPUTED_VALUE"""),0)</f>
        <v>0</v>
      </c>
      <c r="U20" s="2">
        <f ca="1">IFERROR(__xludf.DUMMYFUNCTION("""COMPUTED_VALUE"""),0)</f>
        <v>0</v>
      </c>
      <c r="V20" s="2">
        <f ca="1">IFERROR(__xludf.DUMMYFUNCTION("""COMPUTED_VALUE"""),0)</f>
        <v>0</v>
      </c>
      <c r="W20" s="2">
        <f ca="1">IFERROR(__xludf.DUMMYFUNCTION("""COMPUTED_VALUE"""),0)</f>
        <v>0</v>
      </c>
      <c r="X20" s="2">
        <f ca="1">IFERROR(__xludf.DUMMYFUNCTION("""COMPUTED_VALUE"""),0)</f>
        <v>0</v>
      </c>
      <c r="Y20" s="2">
        <f ca="1">IFERROR(__xludf.DUMMYFUNCTION("""COMPUTED_VALUE"""),0)</f>
        <v>0</v>
      </c>
      <c r="AA20" s="3" t="s">
        <v>39</v>
      </c>
      <c r="AB20" s="2"/>
      <c r="AC20" s="2"/>
      <c r="AD20" s="2"/>
      <c r="AE20" s="2"/>
      <c r="AF20" s="2"/>
      <c r="AG20" s="2" t="str">
        <f ca="1">IFERROR(__xludf.DUMMYFUNCTION("""COMPUTED_VALUE"""),"X")</f>
        <v>X</v>
      </c>
      <c r="AH20" s="2"/>
      <c r="AI20" s="2"/>
      <c r="AJ20" s="2"/>
      <c r="AK20" s="2"/>
      <c r="AL20" s="2"/>
      <c r="AM20" s="2">
        <f ca="1">IFERROR(__xludf.DUMMYFUNCTION("""COMPUTED_VALUE"""),0)</f>
        <v>0</v>
      </c>
      <c r="AN20" s="2">
        <f ca="1">IFERROR(__xludf.DUMMYFUNCTION("""COMPUTED_VALUE"""),0)</f>
        <v>0</v>
      </c>
      <c r="AO20" s="2">
        <f ca="1">IFERROR(__xludf.DUMMYFUNCTION("""COMPUTED_VALUE"""),0)</f>
        <v>0</v>
      </c>
      <c r="AP20" s="2">
        <f ca="1">IFERROR(__xludf.DUMMYFUNCTION("""COMPUTED_VALUE"""),0)</f>
        <v>0</v>
      </c>
      <c r="AQ20" s="2">
        <f ca="1">IFERROR(__xludf.DUMMYFUNCTION("""COMPUTED_VALUE"""),0)</f>
        <v>0</v>
      </c>
      <c r="AR20" s="2">
        <f ca="1">IFERROR(__xludf.DUMMYFUNCTION("""COMPUTED_VALUE"""),12.6125)</f>
        <v>12.612500000000001</v>
      </c>
      <c r="AS20" s="2">
        <f ca="1">IFERROR(__xludf.DUMMYFUNCTION("""COMPUTED_VALUE"""),0)</f>
        <v>0</v>
      </c>
      <c r="AT20" s="2">
        <f ca="1">IFERROR(__xludf.DUMMYFUNCTION("""COMPUTED_VALUE"""),0)</f>
        <v>0</v>
      </c>
      <c r="AU20" s="2">
        <f ca="1">IFERROR(__xludf.DUMMYFUNCTION("""COMPUTED_VALUE"""),0)</f>
        <v>0</v>
      </c>
      <c r="AV20" s="2">
        <f ca="1">IFERROR(__xludf.DUMMYFUNCTION("""COMPUTED_VALUE"""),0)</f>
        <v>0</v>
      </c>
      <c r="AW20" s="2">
        <f ca="1">IFERROR(__xludf.DUMMYFUNCTION("""COMPUTED_VALUE"""),0)</f>
        <v>0</v>
      </c>
      <c r="AY20" s="2">
        <f t="shared" ca="1" si="0"/>
        <v>8</v>
      </c>
      <c r="AZ20" s="2" t="e">
        <f ca="1">IF(NOT(COUNTA(D20:J20)), _xludf.IFS(AL20="W", 'Round Bonuses'!$F$14, AL20="X", 'Round Bonuses'!$F$13, AK20="X", 'Round Bonuses'!$F$12, AJ20="X", 'Round Bonuses'!$F$11, AI20="X", 'Round Bonuses'!$F$10, AH20="X", 'Round Bonuses'!$F$9, AG20="X", 'Round Bonuses'!$F$8, AF20="X", 'Round Bonuses'!$F$7, AE20="X", 'Round Bonuses'!$F$6, AD20="X", 'Round Bonuses'!$F$5, AC20="X", 'Round Bonuses'!$F$4, AB20="X", 'Round Bonuses'!$F$3, TRUE, 0), IF(AA20="X", _xludf.IFS(AD20="X", 'Round Bonuses'!$E$4, AF20="X",'Round Bonuses'!$E$6,TRUE, 'Round Bonuses'!$E$7), 0) +IF(AB20="X", 'Round Bonuses'!$E$3, 0)+IF(AC20="X",'Round Bonuses'!$E$4, 0)+IF(AD20="X", 'Round Bonuses'!$E$5, 0)+IF(AE20="X", 'Round Bonuses'!$E$6, 0)+IF(AF20="X", 'Round Bonuses'!$E$7, 0)+IF(AG20="X", 'Round Bonuses'!$E$8, 0)+_xludf.IFS(AL20="W", 'Round Bonuses'!$G$14, AL20="X", 'Round Bonuses'!$G$13, AK20="X", 'Round Bonuses'!$G$12, AJ20="X", 'Round Bonuses'!$G$11, AI20="X", 'Round Bonuses'!$G$10, AH20="X", 'Round Bonuses'!$G$9, TRUE, 0))+_xludf.IFS(N20="W", 'Round Bonuses'!$C$13, N20="X", 'Round Bonuses'!$C$12, M20="X", 'Round Bonuses'!$C$11, L20="X", 'Round Bonuses'!$C$10, K20="X", 'Round Bonuses'!$C$9, J20="X", 'Round Bonuses'!$C$8, I20="X", 'Round Bonuses'!$C$7, H20="X", 'Round Bonuses'!$C$6, G20="X", 'Round Bonuses'!$C$5, F20="X", 'Round Bonuses'!$C$4, E20="X", 'Round Bonuses'!$C$3, D20="X", 'Round Bonuses'!$C$3, TRUE, 0)</f>
        <v>#NAME?</v>
      </c>
      <c r="BA20" s="2">
        <f t="shared" ca="1" si="1"/>
        <v>16.9175</v>
      </c>
      <c r="BB20" s="10" t="e">
        <f t="shared" ca="1" si="2"/>
        <v>#NAME?</v>
      </c>
      <c r="BD20" s="11" t="str">
        <f t="shared" ca="1" si="3"/>
        <v>AZ</v>
      </c>
      <c r="BE20" s="2" t="str">
        <f t="shared" ca="1" si="4"/>
        <v>Netherlands</v>
      </c>
      <c r="BF20" s="2" t="e">
        <f t="shared" ca="1" si="5"/>
        <v>#NAME?</v>
      </c>
      <c r="BG20" s="2">
        <f t="shared" ca="1" si="6"/>
        <v>8</v>
      </c>
      <c r="BH20" s="2" t="s">
        <v>40</v>
      </c>
      <c r="BI20" s="2" t="s">
        <v>23</v>
      </c>
      <c r="BJ20" s="7">
        <v>11.516562499999999</v>
      </c>
      <c r="BK20" s="2">
        <v>8</v>
      </c>
      <c r="BL20" s="2">
        <f t="shared" si="10"/>
        <v>18</v>
      </c>
      <c r="BM20" s="2" t="str">
        <f t="shared" si="7"/>
        <v>Borussia Mönchengladbach</v>
      </c>
      <c r="BN20" s="7">
        <f t="shared" ref="BN20:BO20" si="27">BJ20</f>
        <v>11.516562499999999</v>
      </c>
      <c r="BO20" s="2">
        <f t="shared" si="27"/>
        <v>8</v>
      </c>
      <c r="BS20" s="2" t="str">
        <f t="shared" si="9"/>
        <v>Germany</v>
      </c>
    </row>
    <row r="21" spans="1:71" ht="13.8" x14ac:dyDescent="0.45">
      <c r="A21" s="2" t="str">
        <f ca="1">IFERROR(__xludf.DUMMYFUNCTION("""COMPUTED_VALUE"""),"B36 Tórshavn")</f>
        <v>B36 Tórshavn</v>
      </c>
      <c r="B21" s="2">
        <f ca="1">IFERROR(__xludf.DUMMYFUNCTION("""COMPUTED_VALUE"""),0.49)</f>
        <v>0.49</v>
      </c>
      <c r="C21" s="2" t="str">
        <f ca="1">IFERROR(__xludf.DUMMYFUNCTION("""COMPUTED_VALUE"""),"Faroe Islands")</f>
        <v>Faroe Islands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5">
        <f ca="1">IFERROR(__xludf.DUMMYFUNCTION("""COMPUTED_VALUE"""),0)</f>
        <v>0</v>
      </c>
      <c r="P21" s="2">
        <f ca="1">IFERROR(__xludf.DUMMYFUNCTION("""COMPUTED_VALUE"""),0)</f>
        <v>0</v>
      </c>
      <c r="Q21" s="2">
        <f ca="1">IFERROR(__xludf.DUMMYFUNCTION("""COMPUTED_VALUE"""),0)</f>
        <v>0</v>
      </c>
      <c r="R21" s="2">
        <f ca="1">IFERROR(__xludf.DUMMYFUNCTION("""COMPUTED_VALUE"""),0)</f>
        <v>0</v>
      </c>
      <c r="S21" s="2">
        <f ca="1">IFERROR(__xludf.DUMMYFUNCTION("""COMPUTED_VALUE"""),0)</f>
        <v>0</v>
      </c>
      <c r="T21" s="2">
        <f ca="1">IFERROR(__xludf.DUMMYFUNCTION("""COMPUTED_VALUE"""),0)</f>
        <v>0</v>
      </c>
      <c r="U21" s="2">
        <f ca="1">IFERROR(__xludf.DUMMYFUNCTION("""COMPUTED_VALUE"""),0)</f>
        <v>0</v>
      </c>
      <c r="V21" s="2">
        <f ca="1">IFERROR(__xludf.DUMMYFUNCTION("""COMPUTED_VALUE"""),0)</f>
        <v>0</v>
      </c>
      <c r="W21" s="2">
        <f ca="1">IFERROR(__xludf.DUMMYFUNCTION("""COMPUTED_VALUE"""),0)</f>
        <v>0</v>
      </c>
      <c r="X21" s="2">
        <f ca="1">IFERROR(__xludf.DUMMYFUNCTION("""COMPUTED_VALUE"""),0)</f>
        <v>0</v>
      </c>
      <c r="Y21" s="2">
        <f ca="1">IFERROR(__xludf.DUMMYFUNCTION("""COMPUTED_VALUE"""),0)</f>
        <v>0</v>
      </c>
      <c r="AB21" s="2" t="str">
        <f ca="1">IFERROR(__xludf.DUMMYFUNCTION("""COMPUTED_VALUE"""),"X")</f>
        <v>X</v>
      </c>
      <c r="AC21" s="2" t="str">
        <f ca="1">IFERROR(__xludf.DUMMYFUNCTION("""COMPUTED_VALUE"""),"X")</f>
        <v>X</v>
      </c>
      <c r="AD21" s="2" t="str">
        <f ca="1">IFERROR(__xludf.DUMMYFUNCTION("""COMPUTED_VALUE"""),"X")</f>
        <v>X</v>
      </c>
      <c r="AE21" s="2" t="str">
        <f ca="1">IFERROR(__xludf.DUMMYFUNCTION("""COMPUTED_VALUE"""),"X")</f>
        <v>X</v>
      </c>
      <c r="AF21" s="2"/>
      <c r="AG21" s="2"/>
      <c r="AH21" s="2"/>
      <c r="AI21" s="2"/>
      <c r="AJ21" s="2"/>
      <c r="AK21" s="2"/>
      <c r="AL21" s="2"/>
      <c r="AM21" s="2">
        <f ca="1">IFERROR(__xludf.DUMMYFUNCTION("""COMPUTED_VALUE"""),1.98)</f>
        <v>1.98</v>
      </c>
      <c r="AN21" s="2">
        <f ca="1">IFERROR(__xludf.DUMMYFUNCTION("""COMPUTED_VALUE"""),2.18625)</f>
        <v>2.1862499999999998</v>
      </c>
      <c r="AO21" s="2">
        <f ca="1">IFERROR(__xludf.DUMMYFUNCTION("""COMPUTED_VALUE"""),1.785)</f>
        <v>1.7849999999999999</v>
      </c>
      <c r="AP21" s="2">
        <f ca="1">IFERROR(__xludf.DUMMYFUNCTION("""COMPUTED_VALUE"""),0.459999999999999)</f>
        <v>0.45999999999999902</v>
      </c>
      <c r="AQ21" s="2">
        <f ca="1">IFERROR(__xludf.DUMMYFUNCTION("""COMPUTED_VALUE"""),0)</f>
        <v>0</v>
      </c>
      <c r="AR21" s="2">
        <f ca="1">IFERROR(__xludf.DUMMYFUNCTION("""COMPUTED_VALUE"""),0)</f>
        <v>0</v>
      </c>
      <c r="AS21" s="2">
        <f ca="1">IFERROR(__xludf.DUMMYFUNCTION("""COMPUTED_VALUE"""),0)</f>
        <v>0</v>
      </c>
      <c r="AT21" s="2">
        <f ca="1">IFERROR(__xludf.DUMMYFUNCTION("""COMPUTED_VALUE"""),0)</f>
        <v>0</v>
      </c>
      <c r="AU21" s="2">
        <f ca="1">IFERROR(__xludf.DUMMYFUNCTION("""COMPUTED_VALUE"""),0)</f>
        <v>0</v>
      </c>
      <c r="AV21" s="2">
        <f ca="1">IFERROR(__xludf.DUMMYFUNCTION("""COMPUTED_VALUE"""),0)</f>
        <v>0</v>
      </c>
      <c r="AW21" s="2">
        <f ca="1">IFERROR(__xludf.DUMMYFUNCTION("""COMPUTED_VALUE"""),0)</f>
        <v>0</v>
      </c>
      <c r="AY21" s="2">
        <f t="shared" ca="1" si="0"/>
        <v>4</v>
      </c>
      <c r="AZ21" s="2" t="e">
        <f ca="1">IF(NOT(COUNTA(D21:J21)), _xludf.IFS(AL21="W", 'Round Bonuses'!$F$14, AL21="X", 'Round Bonuses'!$F$13, AK21="X", 'Round Bonuses'!$F$12, AJ21="X", 'Round Bonuses'!$F$11, AI21="X", 'Round Bonuses'!$F$10, AH21="X", 'Round Bonuses'!$F$9, AG21="X", 'Round Bonuses'!$F$8, AF21="X", 'Round Bonuses'!$F$7, AE21="X", 'Round Bonuses'!$F$6, AD21="X", 'Round Bonuses'!$F$5, AC21="X", 'Round Bonuses'!$F$4, AB21="X", 'Round Bonuses'!$F$3, TRUE, 0), IF(AA21="X", _xludf.IFS(AD21="X", 'Round Bonuses'!$E$4, AF21="X",'Round Bonuses'!$E$6,TRUE, 'Round Bonuses'!$E$7), 0) +IF(AB21="X", 'Round Bonuses'!$E$3, 0)+IF(AC21="X",'Round Bonuses'!$E$4, 0)+IF(AD21="X", 'Round Bonuses'!$E$5, 0)+IF(AE21="X", 'Round Bonuses'!$E$6, 0)+IF(AF21="X", 'Round Bonuses'!$E$7, 0)+IF(AG21="X", 'Round Bonuses'!$E$8, 0)+_xludf.IFS(AL21="W", 'Round Bonuses'!$G$14, AL21="X", 'Round Bonuses'!$G$13, AK21="X", 'Round Bonuses'!$G$12, AJ21="X", 'Round Bonuses'!$G$11, AI21="X", 'Round Bonuses'!$G$10, AH21="X", 'Round Bonuses'!$G$9, TRUE, 0))+_xludf.IFS(N21="W", 'Round Bonuses'!$C$13, N21="X", 'Round Bonuses'!$C$12, M21="X", 'Round Bonuses'!$C$11, L21="X", 'Round Bonuses'!$C$10, K21="X", 'Round Bonuses'!$C$9, J21="X", 'Round Bonuses'!$C$8, I21="X", 'Round Bonuses'!$C$7, H21="X", 'Round Bonuses'!$C$6, G21="X", 'Round Bonuses'!$C$5, F21="X", 'Round Bonuses'!$C$4, E21="X", 'Round Bonuses'!$C$3, D21="X", 'Round Bonuses'!$C$3, TRUE, 0)</f>
        <v>#NAME?</v>
      </c>
      <c r="BA21" s="2">
        <f t="shared" ca="1" si="1"/>
        <v>6.411249999999999</v>
      </c>
      <c r="BB21" s="10" t="e">
        <f t="shared" ca="1" si="2"/>
        <v>#NAME?</v>
      </c>
      <c r="BD21" s="11" t="str">
        <f t="shared" ca="1" si="3"/>
        <v>B36 Tórshavn</v>
      </c>
      <c r="BE21" s="2" t="str">
        <f t="shared" ca="1" si="4"/>
        <v>Faroe Islands</v>
      </c>
      <c r="BF21" s="2" t="e">
        <f t="shared" ca="1" si="5"/>
        <v>#NAME?</v>
      </c>
      <c r="BG21" s="2">
        <f t="shared" ca="1" si="6"/>
        <v>4</v>
      </c>
      <c r="BH21" s="2" t="s">
        <v>41</v>
      </c>
      <c r="BI21" s="2" t="s">
        <v>19</v>
      </c>
      <c r="BJ21" s="7">
        <v>11.474375</v>
      </c>
      <c r="BK21" s="2">
        <v>8</v>
      </c>
      <c r="BL21" s="2">
        <f t="shared" si="10"/>
        <v>19</v>
      </c>
      <c r="BM21" s="2" t="str">
        <f t="shared" si="7"/>
        <v>Atlético Madrid</v>
      </c>
      <c r="BN21" s="7">
        <f t="shared" ref="BN21:BO21" si="28">BJ21</f>
        <v>11.474375</v>
      </c>
      <c r="BO21" s="2">
        <f t="shared" si="28"/>
        <v>8</v>
      </c>
      <c r="BS21" s="2" t="str">
        <f t="shared" si="9"/>
        <v>Spain</v>
      </c>
    </row>
    <row r="22" spans="1:71" ht="13.8" x14ac:dyDescent="0.45">
      <c r="A22" s="2" t="str">
        <f ca="1">IFERROR(__xludf.DUMMYFUNCTION("""COMPUTED_VALUE"""),"Bala Town")</f>
        <v>Bala Town</v>
      </c>
      <c r="B22" s="2">
        <f ca="1">IFERROR(__xludf.DUMMYFUNCTION("""COMPUTED_VALUE"""),0.5)</f>
        <v>0.5</v>
      </c>
      <c r="C22" s="2" t="str">
        <f ca="1">IFERROR(__xludf.DUMMYFUNCTION("""COMPUTED_VALUE"""),"Wales")</f>
        <v>Wales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5">
        <f ca="1">IFERROR(__xludf.DUMMYFUNCTION("""COMPUTED_VALUE"""),0)</f>
        <v>0</v>
      </c>
      <c r="P22" s="2">
        <f ca="1">IFERROR(__xludf.DUMMYFUNCTION("""COMPUTED_VALUE"""),0)</f>
        <v>0</v>
      </c>
      <c r="Q22" s="2">
        <f ca="1">IFERROR(__xludf.DUMMYFUNCTION("""COMPUTED_VALUE"""),0)</f>
        <v>0</v>
      </c>
      <c r="R22" s="2">
        <f ca="1">IFERROR(__xludf.DUMMYFUNCTION("""COMPUTED_VALUE"""),0)</f>
        <v>0</v>
      </c>
      <c r="S22" s="2">
        <f ca="1">IFERROR(__xludf.DUMMYFUNCTION("""COMPUTED_VALUE"""),0)</f>
        <v>0</v>
      </c>
      <c r="T22" s="2">
        <f ca="1">IFERROR(__xludf.DUMMYFUNCTION("""COMPUTED_VALUE"""),0)</f>
        <v>0</v>
      </c>
      <c r="U22" s="2">
        <f ca="1">IFERROR(__xludf.DUMMYFUNCTION("""COMPUTED_VALUE"""),0)</f>
        <v>0</v>
      </c>
      <c r="V22" s="2">
        <f ca="1">IFERROR(__xludf.DUMMYFUNCTION("""COMPUTED_VALUE"""),0)</f>
        <v>0</v>
      </c>
      <c r="W22" s="2">
        <f ca="1">IFERROR(__xludf.DUMMYFUNCTION("""COMPUTED_VALUE"""),0)</f>
        <v>0</v>
      </c>
      <c r="X22" s="2">
        <f ca="1">IFERROR(__xludf.DUMMYFUNCTION("""COMPUTED_VALUE"""),0)</f>
        <v>0</v>
      </c>
      <c r="Y22" s="2">
        <f ca="1">IFERROR(__xludf.DUMMYFUNCTION("""COMPUTED_VALUE"""),0)</f>
        <v>0</v>
      </c>
      <c r="AB22" s="2"/>
      <c r="AC22" s="2" t="str">
        <f ca="1">IFERROR(__xludf.DUMMYFUNCTION("""COMPUTED_VALUE"""),"X")</f>
        <v>X</v>
      </c>
      <c r="AD22" s="2" t="str">
        <f ca="1">IFERROR(__xludf.DUMMYFUNCTION("""COMPUTED_VALUE"""),"X")</f>
        <v>X</v>
      </c>
      <c r="AE22" s="2"/>
      <c r="AF22" s="2"/>
      <c r="AG22" s="2"/>
      <c r="AH22" s="2"/>
      <c r="AI22" s="2"/>
      <c r="AJ22" s="2"/>
      <c r="AK22" s="2"/>
      <c r="AL22" s="2"/>
      <c r="AM22" s="2">
        <f ca="1">IFERROR(__xludf.DUMMYFUNCTION("""COMPUTED_VALUE"""),0)</f>
        <v>0</v>
      </c>
      <c r="AN22" s="2">
        <f ca="1">IFERROR(__xludf.DUMMYFUNCTION("""COMPUTED_VALUE"""),2.2275)</f>
        <v>2.2275</v>
      </c>
      <c r="AO22" s="2">
        <f ca="1">IFERROR(__xludf.DUMMYFUNCTION("""COMPUTED_VALUE"""),0.63)</f>
        <v>0.63</v>
      </c>
      <c r="AP22" s="2">
        <f ca="1">IFERROR(__xludf.DUMMYFUNCTION("""COMPUTED_VALUE"""),0)</f>
        <v>0</v>
      </c>
      <c r="AQ22" s="2">
        <f ca="1">IFERROR(__xludf.DUMMYFUNCTION("""COMPUTED_VALUE"""),0)</f>
        <v>0</v>
      </c>
      <c r="AR22" s="2">
        <f ca="1">IFERROR(__xludf.DUMMYFUNCTION("""COMPUTED_VALUE"""),0)</f>
        <v>0</v>
      </c>
      <c r="AS22" s="2">
        <f ca="1">IFERROR(__xludf.DUMMYFUNCTION("""COMPUTED_VALUE"""),0)</f>
        <v>0</v>
      </c>
      <c r="AT22" s="2">
        <f ca="1">IFERROR(__xludf.DUMMYFUNCTION("""COMPUTED_VALUE"""),0)</f>
        <v>0</v>
      </c>
      <c r="AU22" s="2">
        <f ca="1">IFERROR(__xludf.DUMMYFUNCTION("""COMPUTED_VALUE"""),0)</f>
        <v>0</v>
      </c>
      <c r="AV22" s="2">
        <f ca="1">IFERROR(__xludf.DUMMYFUNCTION("""COMPUTED_VALUE"""),0)</f>
        <v>0</v>
      </c>
      <c r="AW22" s="2">
        <f ca="1">IFERROR(__xludf.DUMMYFUNCTION("""COMPUTED_VALUE"""),0)</f>
        <v>0</v>
      </c>
      <c r="AY22" s="2">
        <f t="shared" ca="1" si="0"/>
        <v>2</v>
      </c>
      <c r="AZ22" s="2" t="e">
        <f ca="1">IF(NOT(COUNTA(D22:J22)), _xludf.IFS(AL22="W", 'Round Bonuses'!$F$14, AL22="X", 'Round Bonuses'!$F$13, AK22="X", 'Round Bonuses'!$F$12, AJ22="X", 'Round Bonuses'!$F$11, AI22="X", 'Round Bonuses'!$F$10, AH22="X", 'Round Bonuses'!$F$9, AG22="X", 'Round Bonuses'!$F$8, AF22="X", 'Round Bonuses'!$F$7, AE22="X", 'Round Bonuses'!$F$6, AD22="X", 'Round Bonuses'!$F$5, AC22="X", 'Round Bonuses'!$F$4, AB22="X", 'Round Bonuses'!$F$3, TRUE, 0), IF(AA22="X", _xludf.IFS(AD22="X", 'Round Bonuses'!$E$4, AF22="X",'Round Bonuses'!$E$6,TRUE, 'Round Bonuses'!$E$7), 0) +IF(AB22="X", 'Round Bonuses'!$E$3, 0)+IF(AC22="X",'Round Bonuses'!$E$4, 0)+IF(AD22="X", 'Round Bonuses'!$E$5, 0)+IF(AE22="X", 'Round Bonuses'!$E$6, 0)+IF(AF22="X", 'Round Bonuses'!$E$7, 0)+IF(AG22="X", 'Round Bonuses'!$E$8, 0)+_xludf.IFS(AL22="W", 'Round Bonuses'!$G$14, AL22="X", 'Round Bonuses'!$G$13, AK22="X", 'Round Bonuses'!$G$12, AJ22="X", 'Round Bonuses'!$G$11, AI22="X", 'Round Bonuses'!$G$10, AH22="X", 'Round Bonuses'!$G$9, TRUE, 0))+_xludf.IFS(N22="W", 'Round Bonuses'!$C$13, N22="X", 'Round Bonuses'!$C$12, M22="X", 'Round Bonuses'!$C$11, L22="X", 'Round Bonuses'!$C$10, K22="X", 'Round Bonuses'!$C$9, J22="X", 'Round Bonuses'!$C$8, I22="X", 'Round Bonuses'!$C$7, H22="X", 'Round Bonuses'!$C$6, G22="X", 'Round Bonuses'!$C$5, F22="X", 'Round Bonuses'!$C$4, E22="X", 'Round Bonuses'!$C$3, D22="X", 'Round Bonuses'!$C$3, TRUE, 0)</f>
        <v>#NAME?</v>
      </c>
      <c r="BA22" s="2">
        <f t="shared" ca="1" si="1"/>
        <v>2.8574999999999999</v>
      </c>
      <c r="BB22" s="10" t="e">
        <f t="shared" ca="1" si="2"/>
        <v>#NAME?</v>
      </c>
      <c r="BD22" s="11" t="str">
        <f t="shared" ca="1" si="3"/>
        <v>Bala Town</v>
      </c>
      <c r="BE22" s="2" t="str">
        <f t="shared" ca="1" si="4"/>
        <v>Wales</v>
      </c>
      <c r="BF22" s="2" t="e">
        <f t="shared" ca="1" si="5"/>
        <v>#NAME?</v>
      </c>
      <c r="BG22" s="2">
        <f t="shared" ca="1" si="6"/>
        <v>2</v>
      </c>
      <c r="BH22" s="2" t="s">
        <v>42</v>
      </c>
      <c r="BI22" s="2" t="s">
        <v>43</v>
      </c>
      <c r="BJ22" s="7">
        <v>11.121499999999999</v>
      </c>
      <c r="BK22" s="2">
        <v>10</v>
      </c>
      <c r="BL22" s="2">
        <f t="shared" si="10"/>
        <v>20</v>
      </c>
      <c r="BM22" s="2" t="str">
        <f t="shared" si="7"/>
        <v>Shakhtar Donetsk</v>
      </c>
      <c r="BN22" s="7">
        <f t="shared" ref="BN22:BO22" si="29">BJ22</f>
        <v>11.121499999999999</v>
      </c>
      <c r="BO22" s="2">
        <f t="shared" si="29"/>
        <v>10</v>
      </c>
      <c r="BS22" s="2" t="str">
        <f t="shared" si="9"/>
        <v>Ukraine</v>
      </c>
    </row>
    <row r="23" spans="1:71" ht="13.8" x14ac:dyDescent="0.45">
      <c r="A23" s="2" t="str">
        <f ca="1">IFERROR(__xludf.DUMMYFUNCTION("""COMPUTED_VALUE"""),"Barcelona")</f>
        <v>Barcelona</v>
      </c>
      <c r="B23" s="2">
        <f ca="1">IFERROR(__xludf.DUMMYFUNCTION("""COMPUTED_VALUE"""),0.98)</f>
        <v>0.98</v>
      </c>
      <c r="C23" s="2" t="str">
        <f ca="1">IFERROR(__xludf.DUMMYFUNCTION("""COMPUTED_VALUE"""),"Spain")</f>
        <v>Spain</v>
      </c>
      <c r="D23" s="2"/>
      <c r="E23" s="2"/>
      <c r="F23" s="2"/>
      <c r="G23" s="2"/>
      <c r="H23" s="2"/>
      <c r="I23" s="2"/>
      <c r="J23" s="2" t="str">
        <f ca="1">IFERROR(__xludf.DUMMYFUNCTION("""COMPUTED_VALUE"""),"X")</f>
        <v>X</v>
      </c>
      <c r="K23" s="2" t="str">
        <f ca="1">IFERROR(__xludf.DUMMYFUNCTION("""COMPUTED_VALUE"""),"X")</f>
        <v>X</v>
      </c>
      <c r="L23" s="2"/>
      <c r="M23" s="2"/>
      <c r="N23" s="2"/>
      <c r="O23" s="5">
        <f ca="1">IFERROR(__xludf.DUMMYFUNCTION("""COMPUTED_VALUE"""),0)</f>
        <v>0</v>
      </c>
      <c r="P23" s="2">
        <f ca="1">IFERROR(__xludf.DUMMYFUNCTION("""COMPUTED_VALUE"""),0)</f>
        <v>0</v>
      </c>
      <c r="Q23" s="2">
        <f ca="1">IFERROR(__xludf.DUMMYFUNCTION("""COMPUTED_VALUE"""),0)</f>
        <v>0</v>
      </c>
      <c r="R23" s="2">
        <f ca="1">IFERROR(__xludf.DUMMYFUNCTION("""COMPUTED_VALUE"""),0)</f>
        <v>0</v>
      </c>
      <c r="S23" s="2">
        <f ca="1">IFERROR(__xludf.DUMMYFUNCTION("""COMPUTED_VALUE"""),0)</f>
        <v>0</v>
      </c>
      <c r="T23" s="2">
        <f ca="1">IFERROR(__xludf.DUMMYFUNCTION("""COMPUTED_VALUE"""),0)</f>
        <v>0</v>
      </c>
      <c r="U23" s="2">
        <f ca="1">IFERROR(__xludf.DUMMYFUNCTION("""COMPUTED_VALUE"""),18.42625)</f>
        <v>18.42625</v>
      </c>
      <c r="V23" s="2">
        <f ca="1">IFERROR(__xludf.DUMMYFUNCTION("""COMPUTED_VALUE"""),2.47499999999999)</f>
        <v>2.4749999999999899</v>
      </c>
      <c r="W23" s="2">
        <f ca="1">IFERROR(__xludf.DUMMYFUNCTION("""COMPUTED_VALUE"""),0)</f>
        <v>0</v>
      </c>
      <c r="X23" s="2">
        <f ca="1">IFERROR(__xludf.DUMMYFUNCTION("""COMPUTED_VALUE"""),0)</f>
        <v>0</v>
      </c>
      <c r="Y23" s="2">
        <f ca="1">IFERROR(__xludf.DUMMYFUNCTION("""COMPUTED_VALUE"""),0)</f>
        <v>0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>
        <f ca="1">IFERROR(__xludf.DUMMYFUNCTION("""COMPUTED_VALUE"""),0)</f>
        <v>0</v>
      </c>
      <c r="AN23" s="2">
        <f ca="1">IFERROR(__xludf.DUMMYFUNCTION("""COMPUTED_VALUE"""),0)</f>
        <v>0</v>
      </c>
      <c r="AO23" s="2">
        <f ca="1">IFERROR(__xludf.DUMMYFUNCTION("""COMPUTED_VALUE"""),0)</f>
        <v>0</v>
      </c>
      <c r="AP23" s="2">
        <f ca="1">IFERROR(__xludf.DUMMYFUNCTION("""COMPUTED_VALUE"""),0)</f>
        <v>0</v>
      </c>
      <c r="AQ23" s="2">
        <f ca="1">IFERROR(__xludf.DUMMYFUNCTION("""COMPUTED_VALUE"""),0)</f>
        <v>0</v>
      </c>
      <c r="AR23" s="2">
        <f ca="1">IFERROR(__xludf.DUMMYFUNCTION("""COMPUTED_VALUE"""),0)</f>
        <v>0</v>
      </c>
      <c r="AS23" s="2">
        <f ca="1">IFERROR(__xludf.DUMMYFUNCTION("""COMPUTED_VALUE"""),0)</f>
        <v>0</v>
      </c>
      <c r="AT23" s="2">
        <f ca="1">IFERROR(__xludf.DUMMYFUNCTION("""COMPUTED_VALUE"""),0)</f>
        <v>0</v>
      </c>
      <c r="AU23" s="2">
        <f ca="1">IFERROR(__xludf.DUMMYFUNCTION("""COMPUTED_VALUE"""),0)</f>
        <v>0</v>
      </c>
      <c r="AV23" s="2">
        <f ca="1">IFERROR(__xludf.DUMMYFUNCTION("""COMPUTED_VALUE"""),0)</f>
        <v>0</v>
      </c>
      <c r="AW23" s="2">
        <f ca="1">IFERROR(__xludf.DUMMYFUNCTION("""COMPUTED_VALUE"""),0)</f>
        <v>0</v>
      </c>
      <c r="AY23" s="2">
        <f t="shared" ca="1" si="0"/>
        <v>8</v>
      </c>
      <c r="AZ23" s="2" t="e">
        <f ca="1">IF(NOT(COUNTA(D23:J23)), _xludf.IFS(AL23="W", 'Round Bonuses'!$F$14, AL23="X", 'Round Bonuses'!$F$13, AK23="X", 'Round Bonuses'!$F$12, AJ23="X", 'Round Bonuses'!$F$11, AI23="X", 'Round Bonuses'!$F$10, AH23="X", 'Round Bonuses'!$F$9, AG23="X", 'Round Bonuses'!$F$8, AF23="X", 'Round Bonuses'!$F$7, AE23="X", 'Round Bonuses'!$F$6, AD23="X", 'Round Bonuses'!$F$5, AC23="X", 'Round Bonuses'!$F$4, AB23="X", 'Round Bonuses'!$F$3, TRUE, 0), IF(AA23="X", _xludf.IFS(AD23="X", 'Round Bonuses'!$E$4, AF23="X",'Round Bonuses'!$E$6,TRUE, 'Round Bonuses'!$E$7), 0) +IF(AB23="X", 'Round Bonuses'!$E$3, 0)+IF(AC23="X",'Round Bonuses'!$E$4, 0)+IF(AD23="X", 'Round Bonuses'!$E$5, 0)+IF(AE23="X", 'Round Bonuses'!$E$6, 0)+IF(AF23="X", 'Round Bonuses'!$E$7, 0)+IF(AG23="X", 'Round Bonuses'!$E$8, 0)+_xludf.IFS(AL23="W", 'Round Bonuses'!$G$14, AL23="X", 'Round Bonuses'!$G$13, AK23="X", 'Round Bonuses'!$G$12, AJ23="X", 'Round Bonuses'!$G$11, AI23="X", 'Round Bonuses'!$G$10, AH23="X", 'Round Bonuses'!$G$9, TRUE, 0))+_xludf.IFS(N23="W", 'Round Bonuses'!$C$13, N23="X", 'Round Bonuses'!$C$12, M23="X", 'Round Bonuses'!$C$11, L23="X", 'Round Bonuses'!$C$10, K23="X", 'Round Bonuses'!$C$9, J23="X", 'Round Bonuses'!$C$8, I23="X", 'Round Bonuses'!$C$7, H23="X", 'Round Bonuses'!$C$6, G23="X", 'Round Bonuses'!$C$5, F23="X", 'Round Bonuses'!$C$4, E23="X", 'Round Bonuses'!$C$3, D23="X", 'Round Bonuses'!$C$3, TRUE, 0)</f>
        <v>#NAME?</v>
      </c>
      <c r="BA23" s="2">
        <f t="shared" ca="1" si="1"/>
        <v>20.90124999999999</v>
      </c>
      <c r="BB23" s="10" t="e">
        <f t="shared" ca="1" si="2"/>
        <v>#NAME?</v>
      </c>
      <c r="BD23" s="11" t="str">
        <f t="shared" ca="1" si="3"/>
        <v>Barcelona</v>
      </c>
      <c r="BE23" s="2" t="str">
        <f t="shared" ca="1" si="4"/>
        <v>Spain</v>
      </c>
      <c r="BF23" s="2" t="e">
        <f t="shared" ca="1" si="5"/>
        <v>#NAME?</v>
      </c>
      <c r="BG23" s="2">
        <f t="shared" ca="1" si="6"/>
        <v>8</v>
      </c>
      <c r="BH23" s="2" t="s">
        <v>44</v>
      </c>
      <c r="BI23" s="2" t="s">
        <v>43</v>
      </c>
      <c r="BJ23" s="7">
        <v>11.043365384615385</v>
      </c>
      <c r="BK23" s="2">
        <v>13</v>
      </c>
      <c r="BL23" s="2">
        <f t="shared" si="10"/>
        <v>21</v>
      </c>
      <c r="BM23" s="2" t="str">
        <f t="shared" si="7"/>
        <v>Dynamo Kyiv</v>
      </c>
      <c r="BN23" s="7">
        <f t="shared" ref="BN23:BO23" si="30">BJ23</f>
        <v>11.043365384615385</v>
      </c>
      <c r="BO23" s="2">
        <f t="shared" si="30"/>
        <v>13</v>
      </c>
      <c r="BS23" s="2" t="str">
        <f t="shared" si="9"/>
        <v>Ukraine</v>
      </c>
    </row>
    <row r="24" spans="1:71" ht="13.8" x14ac:dyDescent="0.45">
      <c r="A24" s="2" t="str">
        <f ca="1">IFERROR(__xludf.DUMMYFUNCTION("""COMPUTED_VALUE"""),"Barry Town United")</f>
        <v>Barry Town United</v>
      </c>
      <c r="B24" s="2">
        <f ca="1">IFERROR(__xludf.DUMMYFUNCTION("""COMPUTED_VALUE"""),0.49)</f>
        <v>0.49</v>
      </c>
      <c r="C24" s="2" t="str">
        <f ca="1">IFERROR(__xludf.DUMMYFUNCTION("""COMPUTED_VALUE"""),"Wales")</f>
        <v>Wales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5">
        <f ca="1">IFERROR(__xludf.DUMMYFUNCTION("""COMPUTED_VALUE"""),0)</f>
        <v>0</v>
      </c>
      <c r="P24" s="2">
        <f ca="1">IFERROR(__xludf.DUMMYFUNCTION("""COMPUTED_VALUE"""),0)</f>
        <v>0</v>
      </c>
      <c r="Q24" s="2">
        <f ca="1">IFERROR(__xludf.DUMMYFUNCTION("""COMPUTED_VALUE"""),0)</f>
        <v>0</v>
      </c>
      <c r="R24" s="2">
        <f ca="1">IFERROR(__xludf.DUMMYFUNCTION("""COMPUTED_VALUE"""),0)</f>
        <v>0</v>
      </c>
      <c r="S24" s="2">
        <f ca="1">IFERROR(__xludf.DUMMYFUNCTION("""COMPUTED_VALUE"""),0)</f>
        <v>0</v>
      </c>
      <c r="T24" s="2">
        <f ca="1">IFERROR(__xludf.DUMMYFUNCTION("""COMPUTED_VALUE"""),0)</f>
        <v>0</v>
      </c>
      <c r="U24" s="2">
        <f ca="1">IFERROR(__xludf.DUMMYFUNCTION("""COMPUTED_VALUE"""),0)</f>
        <v>0</v>
      </c>
      <c r="V24" s="2">
        <f ca="1">IFERROR(__xludf.DUMMYFUNCTION("""COMPUTED_VALUE"""),0)</f>
        <v>0</v>
      </c>
      <c r="W24" s="2">
        <f ca="1">IFERROR(__xludf.DUMMYFUNCTION("""COMPUTED_VALUE"""),0)</f>
        <v>0</v>
      </c>
      <c r="X24" s="2">
        <f ca="1">IFERROR(__xludf.DUMMYFUNCTION("""COMPUTED_VALUE"""),0)</f>
        <v>0</v>
      </c>
      <c r="Y24" s="2">
        <f ca="1">IFERROR(__xludf.DUMMYFUNCTION("""COMPUTED_VALUE"""),0)</f>
        <v>0</v>
      </c>
      <c r="AB24" s="2" t="str">
        <f ca="1">IFERROR(__xludf.DUMMYFUNCTION("""COMPUTED_VALUE"""),"X")</f>
        <v>X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>
        <f ca="1">IFERROR(__xludf.DUMMYFUNCTION("""COMPUTED_VALUE"""),-0.02)</f>
        <v>-0.02</v>
      </c>
      <c r="AN24" s="2">
        <f ca="1">IFERROR(__xludf.DUMMYFUNCTION("""COMPUTED_VALUE"""),0)</f>
        <v>0</v>
      </c>
      <c r="AO24" s="2">
        <f ca="1">IFERROR(__xludf.DUMMYFUNCTION("""COMPUTED_VALUE"""),0)</f>
        <v>0</v>
      </c>
      <c r="AP24" s="2">
        <f ca="1">IFERROR(__xludf.DUMMYFUNCTION("""COMPUTED_VALUE"""),0)</f>
        <v>0</v>
      </c>
      <c r="AQ24" s="2">
        <f ca="1">IFERROR(__xludf.DUMMYFUNCTION("""COMPUTED_VALUE"""),0)</f>
        <v>0</v>
      </c>
      <c r="AR24" s="2">
        <f ca="1">IFERROR(__xludf.DUMMYFUNCTION("""COMPUTED_VALUE"""),0)</f>
        <v>0</v>
      </c>
      <c r="AS24" s="2">
        <f ca="1">IFERROR(__xludf.DUMMYFUNCTION("""COMPUTED_VALUE"""),0)</f>
        <v>0</v>
      </c>
      <c r="AT24" s="2">
        <f ca="1">IFERROR(__xludf.DUMMYFUNCTION("""COMPUTED_VALUE"""),0)</f>
        <v>0</v>
      </c>
      <c r="AU24" s="2">
        <f ca="1">IFERROR(__xludf.DUMMYFUNCTION("""COMPUTED_VALUE"""),0)</f>
        <v>0</v>
      </c>
      <c r="AV24" s="2">
        <f ca="1">IFERROR(__xludf.DUMMYFUNCTION("""COMPUTED_VALUE"""),0)</f>
        <v>0</v>
      </c>
      <c r="AW24" s="2">
        <f ca="1">IFERROR(__xludf.DUMMYFUNCTION("""COMPUTED_VALUE"""),0)</f>
        <v>0</v>
      </c>
      <c r="AY24" s="2">
        <f t="shared" ca="1" si="0"/>
        <v>1</v>
      </c>
      <c r="AZ24" s="2" t="e">
        <f ca="1">IF(NOT(COUNTA(D24:J24)), _xludf.IFS(AL24="W", 'Round Bonuses'!$F$14, AL24="X", 'Round Bonuses'!$F$13, AK24="X", 'Round Bonuses'!$F$12, AJ24="X", 'Round Bonuses'!$F$11, AI24="X", 'Round Bonuses'!$F$10, AH24="X", 'Round Bonuses'!$F$9, AG24="X", 'Round Bonuses'!$F$8, AF24="X", 'Round Bonuses'!$F$7, AE24="X", 'Round Bonuses'!$F$6, AD24="X", 'Round Bonuses'!$F$5, AC24="X", 'Round Bonuses'!$F$4, AB24="X", 'Round Bonuses'!$F$3, TRUE, 0), IF(AA24="X", _xludf.IFS(AD24="X", 'Round Bonuses'!$E$4, AF24="X",'Round Bonuses'!$E$6,TRUE, 'Round Bonuses'!$E$7), 0) +IF(AB24="X", 'Round Bonuses'!$E$3, 0)+IF(AC24="X",'Round Bonuses'!$E$4, 0)+IF(AD24="X", 'Round Bonuses'!$E$5, 0)+IF(AE24="X", 'Round Bonuses'!$E$6, 0)+IF(AF24="X", 'Round Bonuses'!$E$7, 0)+IF(AG24="X", 'Round Bonuses'!$E$8, 0)+_xludf.IFS(AL24="W", 'Round Bonuses'!$G$14, AL24="X", 'Round Bonuses'!$G$13, AK24="X", 'Round Bonuses'!$G$12, AJ24="X", 'Round Bonuses'!$G$11, AI24="X", 'Round Bonuses'!$G$10, AH24="X", 'Round Bonuses'!$G$9, TRUE, 0))+_xludf.IFS(N24="W", 'Round Bonuses'!$C$13, N24="X", 'Round Bonuses'!$C$12, M24="X", 'Round Bonuses'!$C$11, L24="X", 'Round Bonuses'!$C$10, K24="X", 'Round Bonuses'!$C$9, J24="X", 'Round Bonuses'!$C$8, I24="X", 'Round Bonuses'!$C$7, H24="X", 'Round Bonuses'!$C$6, G24="X", 'Round Bonuses'!$C$5, F24="X", 'Round Bonuses'!$C$4, E24="X", 'Round Bonuses'!$C$3, D24="X", 'Round Bonuses'!$C$3, TRUE, 0)</f>
        <v>#NAME?</v>
      </c>
      <c r="BA24" s="2">
        <f t="shared" ca="1" si="1"/>
        <v>-0.02</v>
      </c>
      <c r="BB24" s="10" t="e">
        <f t="shared" ca="1" si="2"/>
        <v>#NAME?</v>
      </c>
      <c r="BD24" s="11" t="str">
        <f t="shared" ca="1" si="3"/>
        <v>Barry Town United</v>
      </c>
      <c r="BE24" s="2" t="str">
        <f t="shared" ca="1" si="4"/>
        <v>Wales</v>
      </c>
      <c r="BF24" s="2" t="e">
        <f t="shared" ca="1" si="5"/>
        <v>#NAME?</v>
      </c>
      <c r="BG24" s="2">
        <f t="shared" ca="1" si="6"/>
        <v>1</v>
      </c>
      <c r="BH24" s="2" t="s">
        <v>45</v>
      </c>
      <c r="BI24" s="2" t="s">
        <v>46</v>
      </c>
      <c r="BJ24" s="7">
        <v>10.893645833333332</v>
      </c>
      <c r="BK24" s="2">
        <v>12</v>
      </c>
      <c r="BL24" s="2">
        <f t="shared" si="10"/>
        <v>22</v>
      </c>
      <c r="BM24" s="2" t="str">
        <f t="shared" si="7"/>
        <v>Olympiacos</v>
      </c>
      <c r="BN24" s="7">
        <f t="shared" ref="BN24:BO24" si="31">BJ24</f>
        <v>10.893645833333332</v>
      </c>
      <c r="BO24" s="2">
        <f t="shared" si="31"/>
        <v>12</v>
      </c>
      <c r="BS24" s="2" t="str">
        <f t="shared" si="9"/>
        <v>Greece</v>
      </c>
    </row>
    <row r="25" spans="1:71" ht="13.8" x14ac:dyDescent="0.45">
      <c r="A25" s="2" t="str">
        <f ca="1">IFERROR(__xludf.DUMMYFUNCTION("""COMPUTED_VALUE"""),"Basel")</f>
        <v>Basel</v>
      </c>
      <c r="B25" s="2">
        <f ca="1">IFERROR(__xludf.DUMMYFUNCTION("""COMPUTED_VALUE"""),0.809999999999999)</f>
        <v>0.80999999999999905</v>
      </c>
      <c r="C25" s="2" t="str">
        <f ca="1">IFERROR(__xludf.DUMMYFUNCTION("""COMPUTED_VALUE"""),"Switzerland")</f>
        <v>Switzerland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5">
        <f ca="1">IFERROR(__xludf.DUMMYFUNCTION("""COMPUTED_VALUE"""),0)</f>
        <v>0</v>
      </c>
      <c r="P25" s="2">
        <f ca="1">IFERROR(__xludf.DUMMYFUNCTION("""COMPUTED_VALUE"""),0)</f>
        <v>0</v>
      </c>
      <c r="Q25" s="2">
        <f ca="1">IFERROR(__xludf.DUMMYFUNCTION("""COMPUTED_VALUE"""),0)</f>
        <v>0</v>
      </c>
      <c r="R25" s="2">
        <f ca="1">IFERROR(__xludf.DUMMYFUNCTION("""COMPUTED_VALUE"""),0)</f>
        <v>0</v>
      </c>
      <c r="S25" s="2">
        <f ca="1">IFERROR(__xludf.DUMMYFUNCTION("""COMPUTED_VALUE"""),0)</f>
        <v>0</v>
      </c>
      <c r="T25" s="2">
        <f ca="1">IFERROR(__xludf.DUMMYFUNCTION("""COMPUTED_VALUE"""),0)</f>
        <v>0</v>
      </c>
      <c r="U25" s="2">
        <f ca="1">IFERROR(__xludf.DUMMYFUNCTION("""COMPUTED_VALUE"""),0)</f>
        <v>0</v>
      </c>
      <c r="V25" s="2">
        <f ca="1">IFERROR(__xludf.DUMMYFUNCTION("""COMPUTED_VALUE"""),0)</f>
        <v>0</v>
      </c>
      <c r="W25" s="2">
        <f ca="1">IFERROR(__xludf.DUMMYFUNCTION("""COMPUTED_VALUE"""),0)</f>
        <v>0</v>
      </c>
      <c r="X25" s="2">
        <f ca="1">IFERROR(__xludf.DUMMYFUNCTION("""COMPUTED_VALUE"""),0)</f>
        <v>0</v>
      </c>
      <c r="Y25" s="2">
        <f ca="1">IFERROR(__xludf.DUMMYFUNCTION("""COMPUTED_VALUE"""),0)</f>
        <v>0</v>
      </c>
      <c r="AB25" s="2"/>
      <c r="AC25" s="2"/>
      <c r="AD25" s="2" t="str">
        <f ca="1">IFERROR(__xludf.DUMMYFUNCTION("""COMPUTED_VALUE"""),"X")</f>
        <v>X</v>
      </c>
      <c r="AE25" s="2" t="str">
        <f ca="1">IFERROR(__xludf.DUMMYFUNCTION("""COMPUTED_VALUE"""),"X")</f>
        <v>X</v>
      </c>
      <c r="AF25" s="2" t="str">
        <f ca="1">IFERROR(__xludf.DUMMYFUNCTION("""COMPUTED_VALUE"""),"X")</f>
        <v>X</v>
      </c>
      <c r="AG25" s="2"/>
      <c r="AH25" s="2"/>
      <c r="AI25" s="2"/>
      <c r="AJ25" s="2"/>
      <c r="AK25" s="2"/>
      <c r="AL25" s="2"/>
      <c r="AM25" s="2">
        <f ca="1">IFERROR(__xludf.DUMMYFUNCTION("""COMPUTED_VALUE"""),0)</f>
        <v>0</v>
      </c>
      <c r="AN25" s="2">
        <f ca="1">IFERROR(__xludf.DUMMYFUNCTION("""COMPUTED_VALUE"""),0)</f>
        <v>0</v>
      </c>
      <c r="AO25" s="2">
        <f ca="1">IFERROR(__xludf.DUMMYFUNCTION("""COMPUTED_VALUE"""),3.3825)</f>
        <v>3.3824999999999998</v>
      </c>
      <c r="AP25" s="2">
        <f ca="1">IFERROR(__xludf.DUMMYFUNCTION("""COMPUTED_VALUE"""),3.34125)</f>
        <v>3.3412500000000001</v>
      </c>
      <c r="AQ25" s="2">
        <f ca="1">IFERROR(__xludf.DUMMYFUNCTION("""COMPUTED_VALUE"""),0.459999999999999)</f>
        <v>0.45999999999999902</v>
      </c>
      <c r="AR25" s="2">
        <f ca="1">IFERROR(__xludf.DUMMYFUNCTION("""COMPUTED_VALUE"""),0)</f>
        <v>0</v>
      </c>
      <c r="AS25" s="2">
        <f ca="1">IFERROR(__xludf.DUMMYFUNCTION("""COMPUTED_VALUE"""),0)</f>
        <v>0</v>
      </c>
      <c r="AT25" s="2">
        <f ca="1">IFERROR(__xludf.DUMMYFUNCTION("""COMPUTED_VALUE"""),0)</f>
        <v>0</v>
      </c>
      <c r="AU25" s="2">
        <f ca="1">IFERROR(__xludf.DUMMYFUNCTION("""COMPUTED_VALUE"""),0)</f>
        <v>0</v>
      </c>
      <c r="AV25" s="2">
        <f ca="1">IFERROR(__xludf.DUMMYFUNCTION("""COMPUTED_VALUE"""),0)</f>
        <v>0</v>
      </c>
      <c r="AW25" s="2">
        <f ca="1">IFERROR(__xludf.DUMMYFUNCTION("""COMPUTED_VALUE"""),0)</f>
        <v>0</v>
      </c>
      <c r="AY25" s="2">
        <f t="shared" ca="1" si="0"/>
        <v>3</v>
      </c>
      <c r="AZ25" s="2" t="e">
        <f ca="1">IF(NOT(COUNTA(D25:J25)), _xludf.IFS(AL25="W", 'Round Bonuses'!$F$14, AL25="X", 'Round Bonuses'!$F$13, AK25="X", 'Round Bonuses'!$F$12, AJ25="X", 'Round Bonuses'!$F$11, AI25="X", 'Round Bonuses'!$F$10, AH25="X", 'Round Bonuses'!$F$9, AG25="X", 'Round Bonuses'!$F$8, AF25="X", 'Round Bonuses'!$F$7, AE25="X", 'Round Bonuses'!$F$6, AD25="X", 'Round Bonuses'!$F$5, AC25="X", 'Round Bonuses'!$F$4, AB25="X", 'Round Bonuses'!$F$3, TRUE, 0), IF(AA25="X", _xludf.IFS(AD25="X", 'Round Bonuses'!$E$4, AF25="X",'Round Bonuses'!$E$6,TRUE, 'Round Bonuses'!$E$7), 0) +IF(AB25="X", 'Round Bonuses'!$E$3, 0)+IF(AC25="X",'Round Bonuses'!$E$4, 0)+IF(AD25="X", 'Round Bonuses'!$E$5, 0)+IF(AE25="X", 'Round Bonuses'!$E$6, 0)+IF(AF25="X", 'Round Bonuses'!$E$7, 0)+IF(AG25="X", 'Round Bonuses'!$E$8, 0)+_xludf.IFS(AL25="W", 'Round Bonuses'!$G$14, AL25="X", 'Round Bonuses'!$G$13, AK25="X", 'Round Bonuses'!$G$12, AJ25="X", 'Round Bonuses'!$G$11, AI25="X", 'Round Bonuses'!$G$10, AH25="X", 'Round Bonuses'!$G$9, TRUE, 0))+_xludf.IFS(N25="W", 'Round Bonuses'!$C$13, N25="X", 'Round Bonuses'!$C$12, M25="X", 'Round Bonuses'!$C$11, L25="X", 'Round Bonuses'!$C$10, K25="X", 'Round Bonuses'!$C$9, J25="X", 'Round Bonuses'!$C$8, I25="X", 'Round Bonuses'!$C$7, H25="X", 'Round Bonuses'!$C$6, G25="X", 'Round Bonuses'!$C$5, F25="X", 'Round Bonuses'!$C$4, E25="X", 'Round Bonuses'!$C$3, D25="X", 'Round Bonuses'!$C$3, TRUE, 0)</f>
        <v>#NAME?</v>
      </c>
      <c r="BA25" s="2">
        <f t="shared" ca="1" si="1"/>
        <v>7.183749999999999</v>
      </c>
      <c r="BB25" s="10" t="e">
        <f t="shared" ca="1" si="2"/>
        <v>#NAME?</v>
      </c>
      <c r="BD25" s="11" t="str">
        <f t="shared" ca="1" si="3"/>
        <v>Basel</v>
      </c>
      <c r="BE25" s="2" t="str">
        <f t="shared" ca="1" si="4"/>
        <v>Switzerland</v>
      </c>
      <c r="BF25" s="2" t="e">
        <f t="shared" ca="1" si="5"/>
        <v>#NAME?</v>
      </c>
      <c r="BG25" s="2">
        <f t="shared" ca="1" si="6"/>
        <v>3</v>
      </c>
      <c r="BH25" s="2" t="s">
        <v>47</v>
      </c>
      <c r="BI25" s="2" t="s">
        <v>48</v>
      </c>
      <c r="BJ25" s="7">
        <v>10.789285714285715</v>
      </c>
      <c r="BK25" s="2">
        <v>14</v>
      </c>
      <c r="BL25" s="2">
        <f t="shared" si="10"/>
        <v>23</v>
      </c>
      <c r="BM25" s="2" t="str">
        <f t="shared" si="7"/>
        <v>Slavia Prague</v>
      </c>
      <c r="BN25" s="7">
        <f t="shared" ref="BN25:BO25" si="32">BJ25</f>
        <v>10.789285714285715</v>
      </c>
      <c r="BO25" s="2">
        <f t="shared" si="32"/>
        <v>14</v>
      </c>
      <c r="BS25" s="2" t="str">
        <f t="shared" si="9"/>
        <v>Czech Republic</v>
      </c>
    </row>
    <row r="26" spans="1:71" ht="13.8" x14ac:dyDescent="0.45">
      <c r="A26" s="2" t="str">
        <f ca="1">IFERROR(__xludf.DUMMYFUNCTION("""COMPUTED_VALUE"""),"BATE Borisov")</f>
        <v>BATE Borisov</v>
      </c>
      <c r="B26" s="2">
        <f ca="1">IFERROR(__xludf.DUMMYFUNCTION("""COMPUTED_VALUE"""),0.77)</f>
        <v>0.77</v>
      </c>
      <c r="C26" s="2" t="str">
        <f ca="1">IFERROR(__xludf.DUMMYFUNCTION("""COMPUTED_VALUE"""),"Belarus")</f>
        <v>Belarus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5">
        <f ca="1">IFERROR(__xludf.DUMMYFUNCTION("""COMPUTED_VALUE"""),0)</f>
        <v>0</v>
      </c>
      <c r="P26" s="2">
        <f ca="1">IFERROR(__xludf.DUMMYFUNCTION("""COMPUTED_VALUE"""),0)</f>
        <v>0</v>
      </c>
      <c r="Q26" s="2">
        <f ca="1">IFERROR(__xludf.DUMMYFUNCTION("""COMPUTED_VALUE"""),0)</f>
        <v>0</v>
      </c>
      <c r="R26" s="2">
        <f ca="1">IFERROR(__xludf.DUMMYFUNCTION("""COMPUTED_VALUE"""),0)</f>
        <v>0</v>
      </c>
      <c r="S26" s="2">
        <f ca="1">IFERROR(__xludf.DUMMYFUNCTION("""COMPUTED_VALUE"""),0)</f>
        <v>0</v>
      </c>
      <c r="T26" s="2">
        <f ca="1">IFERROR(__xludf.DUMMYFUNCTION("""COMPUTED_VALUE"""),0)</f>
        <v>0</v>
      </c>
      <c r="U26" s="2">
        <f ca="1">IFERROR(__xludf.DUMMYFUNCTION("""COMPUTED_VALUE"""),0)</f>
        <v>0</v>
      </c>
      <c r="V26" s="2">
        <f ca="1">IFERROR(__xludf.DUMMYFUNCTION("""COMPUTED_VALUE"""),0)</f>
        <v>0</v>
      </c>
      <c r="W26" s="2">
        <f ca="1">IFERROR(__xludf.DUMMYFUNCTION("""COMPUTED_VALUE"""),0)</f>
        <v>0</v>
      </c>
      <c r="X26" s="2">
        <f ca="1">IFERROR(__xludf.DUMMYFUNCTION("""COMPUTED_VALUE"""),0)</f>
        <v>0</v>
      </c>
      <c r="Y26" s="2">
        <f ca="1">IFERROR(__xludf.DUMMYFUNCTION("""COMPUTED_VALUE"""),0)</f>
        <v>0</v>
      </c>
      <c r="AB26" s="2"/>
      <c r="AC26" s="2"/>
      <c r="AD26" s="2" t="str">
        <f ca="1">IFERROR(__xludf.DUMMYFUNCTION("""COMPUTED_VALUE"""),"X")</f>
        <v>X</v>
      </c>
      <c r="AE26" s="2"/>
      <c r="AF26" s="2"/>
      <c r="AG26" s="2"/>
      <c r="AH26" s="2"/>
      <c r="AI26" s="2"/>
      <c r="AJ26" s="2"/>
      <c r="AK26" s="2"/>
      <c r="AL26" s="2"/>
      <c r="AM26" s="2">
        <f ca="1">IFERROR(__xludf.DUMMYFUNCTION("""COMPUTED_VALUE"""),0)</f>
        <v>0</v>
      </c>
      <c r="AN26" s="2">
        <f ca="1">IFERROR(__xludf.DUMMYFUNCTION("""COMPUTED_VALUE"""),0)</f>
        <v>0</v>
      </c>
      <c r="AO26" s="2">
        <f ca="1">IFERROR(__xludf.DUMMYFUNCTION("""COMPUTED_VALUE"""),0.459999999999999)</f>
        <v>0.45999999999999902</v>
      </c>
      <c r="AP26" s="2">
        <f ca="1">IFERROR(__xludf.DUMMYFUNCTION("""COMPUTED_VALUE"""),0)</f>
        <v>0</v>
      </c>
      <c r="AQ26" s="2">
        <f ca="1">IFERROR(__xludf.DUMMYFUNCTION("""COMPUTED_VALUE"""),0)</f>
        <v>0</v>
      </c>
      <c r="AR26" s="2">
        <f ca="1">IFERROR(__xludf.DUMMYFUNCTION("""COMPUTED_VALUE"""),0)</f>
        <v>0</v>
      </c>
      <c r="AS26" s="2">
        <f ca="1">IFERROR(__xludf.DUMMYFUNCTION("""COMPUTED_VALUE"""),0)</f>
        <v>0</v>
      </c>
      <c r="AT26" s="2">
        <f ca="1">IFERROR(__xludf.DUMMYFUNCTION("""COMPUTED_VALUE"""),0)</f>
        <v>0</v>
      </c>
      <c r="AU26" s="2">
        <f ca="1">IFERROR(__xludf.DUMMYFUNCTION("""COMPUTED_VALUE"""),0)</f>
        <v>0</v>
      </c>
      <c r="AV26" s="2">
        <f ca="1">IFERROR(__xludf.DUMMYFUNCTION("""COMPUTED_VALUE"""),0)</f>
        <v>0</v>
      </c>
      <c r="AW26" s="2">
        <f ca="1">IFERROR(__xludf.DUMMYFUNCTION("""COMPUTED_VALUE"""),0)</f>
        <v>0</v>
      </c>
      <c r="AY26" s="2">
        <f t="shared" ca="1" si="0"/>
        <v>1</v>
      </c>
      <c r="AZ26" s="2" t="e">
        <f ca="1">IF(NOT(COUNTA(D26:J26)), _xludf.IFS(AL26="W", 'Round Bonuses'!$F$14, AL26="X", 'Round Bonuses'!$F$13, AK26="X", 'Round Bonuses'!$F$12, AJ26="X", 'Round Bonuses'!$F$11, AI26="X", 'Round Bonuses'!$F$10, AH26="X", 'Round Bonuses'!$F$9, AG26="X", 'Round Bonuses'!$F$8, AF26="X", 'Round Bonuses'!$F$7, AE26="X", 'Round Bonuses'!$F$6, AD26="X", 'Round Bonuses'!$F$5, AC26="X", 'Round Bonuses'!$F$4, AB26="X", 'Round Bonuses'!$F$3, TRUE, 0), IF(AA26="X", _xludf.IFS(AD26="X", 'Round Bonuses'!$E$4, AF26="X",'Round Bonuses'!$E$6,TRUE, 'Round Bonuses'!$E$7), 0) +IF(AB26="X", 'Round Bonuses'!$E$3, 0)+IF(AC26="X",'Round Bonuses'!$E$4, 0)+IF(AD26="X", 'Round Bonuses'!$E$5, 0)+IF(AE26="X", 'Round Bonuses'!$E$6, 0)+IF(AF26="X", 'Round Bonuses'!$E$7, 0)+IF(AG26="X", 'Round Bonuses'!$E$8, 0)+_xludf.IFS(AL26="W", 'Round Bonuses'!$G$14, AL26="X", 'Round Bonuses'!$G$13, AK26="X", 'Round Bonuses'!$G$12, AJ26="X", 'Round Bonuses'!$G$11, AI26="X", 'Round Bonuses'!$G$10, AH26="X", 'Round Bonuses'!$G$9, TRUE, 0))+_xludf.IFS(N26="W", 'Round Bonuses'!$C$13, N26="X", 'Round Bonuses'!$C$12, M26="X", 'Round Bonuses'!$C$11, L26="X", 'Round Bonuses'!$C$10, K26="X", 'Round Bonuses'!$C$9, J26="X", 'Round Bonuses'!$C$8, I26="X", 'Round Bonuses'!$C$7, H26="X", 'Round Bonuses'!$C$6, G26="X", 'Round Bonuses'!$C$5, F26="X", 'Round Bonuses'!$C$4, E26="X", 'Round Bonuses'!$C$3, D26="X", 'Round Bonuses'!$C$3, TRUE, 0)</f>
        <v>#NAME?</v>
      </c>
      <c r="BA26" s="2">
        <f t="shared" ca="1" si="1"/>
        <v>0.45999999999999902</v>
      </c>
      <c r="BB26" s="10" t="e">
        <f t="shared" ca="1" si="2"/>
        <v>#NAME?</v>
      </c>
      <c r="BD26" s="11" t="str">
        <f t="shared" ca="1" si="3"/>
        <v>BATE Borisov</v>
      </c>
      <c r="BE26" s="2" t="str">
        <f t="shared" ca="1" si="4"/>
        <v>Belarus</v>
      </c>
      <c r="BF26" s="2" t="e">
        <f t="shared" ca="1" si="5"/>
        <v>#NAME?</v>
      </c>
      <c r="BG26" s="2">
        <f t="shared" ca="1" si="6"/>
        <v>1</v>
      </c>
      <c r="BH26" s="2" t="s">
        <v>49</v>
      </c>
      <c r="BI26" s="2" t="s">
        <v>33</v>
      </c>
      <c r="BJ26" s="7">
        <v>10.690982142857143</v>
      </c>
      <c r="BK26" s="2">
        <v>14</v>
      </c>
      <c r="BL26" s="2">
        <f t="shared" si="10"/>
        <v>24</v>
      </c>
      <c r="BM26" s="2" t="str">
        <f t="shared" si="7"/>
        <v>Roma</v>
      </c>
      <c r="BN26" s="7">
        <f t="shared" ref="BN26:BO26" si="33">BJ26</f>
        <v>10.690982142857143</v>
      </c>
      <c r="BO26" s="2">
        <f t="shared" si="33"/>
        <v>14</v>
      </c>
      <c r="BS26" s="2" t="str">
        <f t="shared" si="9"/>
        <v>Italy</v>
      </c>
    </row>
    <row r="27" spans="1:71" ht="13.8" x14ac:dyDescent="0.45">
      <c r="A27" s="2" t="str">
        <f ca="1">IFERROR(__xludf.DUMMYFUNCTION("""COMPUTED_VALUE"""),"Bayer Leverkusen")</f>
        <v>Bayer Leverkusen</v>
      </c>
      <c r="B27" s="2">
        <f ca="1">IFERROR(__xludf.DUMMYFUNCTION("""COMPUTED_VALUE"""),0.919999999999999)</f>
        <v>0.91999999999999904</v>
      </c>
      <c r="C27" s="2" t="str">
        <f ca="1">IFERROR(__xludf.DUMMYFUNCTION("""COMPUTED_VALUE"""),"Germany")</f>
        <v>Germany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5">
        <f ca="1">IFERROR(__xludf.DUMMYFUNCTION("""COMPUTED_VALUE"""),0)</f>
        <v>0</v>
      </c>
      <c r="P27" s="2">
        <f ca="1">IFERROR(__xludf.DUMMYFUNCTION("""COMPUTED_VALUE"""),0)</f>
        <v>0</v>
      </c>
      <c r="Q27" s="2">
        <f ca="1">IFERROR(__xludf.DUMMYFUNCTION("""COMPUTED_VALUE"""),0)</f>
        <v>0</v>
      </c>
      <c r="R27" s="2">
        <f ca="1">IFERROR(__xludf.DUMMYFUNCTION("""COMPUTED_VALUE"""),0)</f>
        <v>0</v>
      </c>
      <c r="S27" s="2">
        <f ca="1">IFERROR(__xludf.DUMMYFUNCTION("""COMPUTED_VALUE"""),0)</f>
        <v>0</v>
      </c>
      <c r="T27" s="2">
        <f ca="1">IFERROR(__xludf.DUMMYFUNCTION("""COMPUTED_VALUE"""),0)</f>
        <v>0</v>
      </c>
      <c r="U27" s="2">
        <f ca="1">IFERROR(__xludf.DUMMYFUNCTION("""COMPUTED_VALUE"""),0)</f>
        <v>0</v>
      </c>
      <c r="V27" s="2">
        <f ca="1">IFERROR(__xludf.DUMMYFUNCTION("""COMPUTED_VALUE"""),0)</f>
        <v>0</v>
      </c>
      <c r="W27" s="2">
        <f ca="1">IFERROR(__xludf.DUMMYFUNCTION("""COMPUTED_VALUE"""),0)</f>
        <v>0</v>
      </c>
      <c r="X27" s="2">
        <f ca="1">IFERROR(__xludf.DUMMYFUNCTION("""COMPUTED_VALUE"""),0)</f>
        <v>0</v>
      </c>
      <c r="Y27" s="2">
        <f ca="1">IFERROR(__xludf.DUMMYFUNCTION("""COMPUTED_VALUE"""),0)</f>
        <v>0</v>
      </c>
      <c r="AB27" s="2"/>
      <c r="AC27" s="2"/>
      <c r="AD27" s="2"/>
      <c r="AE27" s="2"/>
      <c r="AF27" s="2"/>
      <c r="AG27" s="2" t="str">
        <f ca="1">IFERROR(__xludf.DUMMYFUNCTION("""COMPUTED_VALUE"""),"X")</f>
        <v>X</v>
      </c>
      <c r="AH27" s="2" t="str">
        <f ca="1">IFERROR(__xludf.DUMMYFUNCTION("""COMPUTED_VALUE"""),"X")</f>
        <v>X</v>
      </c>
      <c r="AI27" s="2"/>
      <c r="AJ27" s="2"/>
      <c r="AK27" s="2"/>
      <c r="AL27" s="2"/>
      <c r="AM27" s="2">
        <f ca="1">IFERROR(__xludf.DUMMYFUNCTION("""COMPUTED_VALUE"""),0)</f>
        <v>0</v>
      </c>
      <c r="AN27" s="2">
        <f ca="1">IFERROR(__xludf.DUMMYFUNCTION("""COMPUTED_VALUE"""),0)</f>
        <v>0</v>
      </c>
      <c r="AO27" s="2">
        <f ca="1">IFERROR(__xludf.DUMMYFUNCTION("""COMPUTED_VALUE"""),0)</f>
        <v>0</v>
      </c>
      <c r="AP27" s="2">
        <f ca="1">IFERROR(__xludf.DUMMYFUNCTION("""COMPUTED_VALUE"""),0)</f>
        <v>0</v>
      </c>
      <c r="AQ27" s="2">
        <f ca="1">IFERROR(__xludf.DUMMYFUNCTION("""COMPUTED_VALUE"""),0)</f>
        <v>0</v>
      </c>
      <c r="AR27" s="2">
        <f ca="1">IFERROR(__xludf.DUMMYFUNCTION("""COMPUTED_VALUE"""),18.6324999999999)</f>
        <v>18.632499999999901</v>
      </c>
      <c r="AS27" s="2">
        <f ca="1">IFERROR(__xludf.DUMMYFUNCTION("""COMPUTED_VALUE"""),1.285)</f>
        <v>1.2849999999999999</v>
      </c>
      <c r="AT27" s="2">
        <f ca="1">IFERROR(__xludf.DUMMYFUNCTION("""COMPUTED_VALUE"""),0)</f>
        <v>0</v>
      </c>
      <c r="AU27" s="2">
        <f ca="1">IFERROR(__xludf.DUMMYFUNCTION("""COMPUTED_VALUE"""),0)</f>
        <v>0</v>
      </c>
      <c r="AV27" s="2">
        <f ca="1">IFERROR(__xludf.DUMMYFUNCTION("""COMPUTED_VALUE"""),0)</f>
        <v>0</v>
      </c>
      <c r="AW27" s="2">
        <f ca="1">IFERROR(__xludf.DUMMYFUNCTION("""COMPUTED_VALUE"""),0)</f>
        <v>0</v>
      </c>
      <c r="AY27" s="2">
        <f t="shared" ca="1" si="0"/>
        <v>8</v>
      </c>
      <c r="AZ27" s="2" t="e">
        <f ca="1">IF(NOT(COUNTA(D27:J27)), _xludf.IFS(AL27="W", 'Round Bonuses'!$F$14, AL27="X", 'Round Bonuses'!$F$13, AK27="X", 'Round Bonuses'!$F$12, AJ27="X", 'Round Bonuses'!$F$11, AI27="X", 'Round Bonuses'!$F$10, AH27="X", 'Round Bonuses'!$F$9, AG27="X", 'Round Bonuses'!$F$8, AF27="X", 'Round Bonuses'!$F$7, AE27="X", 'Round Bonuses'!$F$6, AD27="X", 'Round Bonuses'!$F$5, AC27="X", 'Round Bonuses'!$F$4, AB27="X", 'Round Bonuses'!$F$3, TRUE, 0), IF(AA27="X", _xludf.IFS(AD27="X", 'Round Bonuses'!$E$4, AF27="X",'Round Bonuses'!$E$6,TRUE, 'Round Bonuses'!$E$7), 0) +IF(AB27="X", 'Round Bonuses'!$E$3, 0)+IF(AC27="X",'Round Bonuses'!$E$4, 0)+IF(AD27="X", 'Round Bonuses'!$E$5, 0)+IF(AE27="X", 'Round Bonuses'!$E$6, 0)+IF(AF27="X", 'Round Bonuses'!$E$7, 0)+IF(AG27="X", 'Round Bonuses'!$E$8, 0)+_xludf.IFS(AL27="W", 'Round Bonuses'!$G$14, AL27="X", 'Round Bonuses'!$G$13, AK27="X", 'Round Bonuses'!$G$12, AJ27="X", 'Round Bonuses'!$G$11, AI27="X", 'Round Bonuses'!$G$10, AH27="X", 'Round Bonuses'!$G$9, TRUE, 0))+_xludf.IFS(N27="W", 'Round Bonuses'!$C$13, N27="X", 'Round Bonuses'!$C$12, M27="X", 'Round Bonuses'!$C$11, L27="X", 'Round Bonuses'!$C$10, K27="X", 'Round Bonuses'!$C$9, J27="X", 'Round Bonuses'!$C$8, I27="X", 'Round Bonuses'!$C$7, H27="X", 'Round Bonuses'!$C$6, G27="X", 'Round Bonuses'!$C$5, F27="X", 'Round Bonuses'!$C$4, E27="X", 'Round Bonuses'!$C$3, D27="X", 'Round Bonuses'!$C$3, TRUE, 0)</f>
        <v>#NAME?</v>
      </c>
      <c r="BA27" s="2">
        <f t="shared" ca="1" si="1"/>
        <v>19.917499999999901</v>
      </c>
      <c r="BB27" s="10" t="e">
        <f t="shared" ca="1" si="2"/>
        <v>#NAME?</v>
      </c>
      <c r="BD27" s="11" t="str">
        <f t="shared" ca="1" si="3"/>
        <v>Bayer Leverkusen</v>
      </c>
      <c r="BE27" s="2" t="str">
        <f t="shared" ca="1" si="4"/>
        <v>Germany</v>
      </c>
      <c r="BF27" s="2" t="e">
        <f t="shared" ca="1" si="5"/>
        <v>#NAME?</v>
      </c>
      <c r="BG27" s="2">
        <f t="shared" ca="1" si="6"/>
        <v>8</v>
      </c>
      <c r="BH27" s="2" t="s">
        <v>50</v>
      </c>
      <c r="BI27" s="2" t="s">
        <v>16</v>
      </c>
      <c r="BJ27" s="7">
        <v>10.512232142857144</v>
      </c>
      <c r="BK27" s="2">
        <v>14</v>
      </c>
      <c r="BL27" s="2">
        <f t="shared" si="10"/>
        <v>25</v>
      </c>
      <c r="BM27" s="2" t="str">
        <f t="shared" si="7"/>
        <v>Arsenal</v>
      </c>
      <c r="BN27" s="7">
        <f t="shared" ref="BN27:BO27" si="34">BJ27</f>
        <v>10.512232142857144</v>
      </c>
      <c r="BO27" s="2">
        <f t="shared" si="34"/>
        <v>14</v>
      </c>
      <c r="BS27" s="2" t="str">
        <f t="shared" si="9"/>
        <v>England</v>
      </c>
    </row>
    <row r="28" spans="1:71" ht="13.8" x14ac:dyDescent="0.45">
      <c r="A28" s="2" t="str">
        <f ca="1">IFERROR(__xludf.DUMMYFUNCTION("""COMPUTED_VALUE"""),"Bayern Munich")</f>
        <v>Bayern Munich</v>
      </c>
      <c r="B28" s="2">
        <f ca="1">IFERROR(__xludf.DUMMYFUNCTION("""COMPUTED_VALUE"""),0.96)</f>
        <v>0.96</v>
      </c>
      <c r="C28" s="2" t="str">
        <f ca="1">IFERROR(__xludf.DUMMYFUNCTION("""COMPUTED_VALUE"""),"Germany")</f>
        <v>Germany</v>
      </c>
      <c r="D28" s="2"/>
      <c r="E28" s="2"/>
      <c r="F28" s="2"/>
      <c r="G28" s="2"/>
      <c r="H28" s="2"/>
      <c r="I28" s="2"/>
      <c r="J28" s="2" t="str">
        <f ca="1">IFERROR(__xludf.DUMMYFUNCTION("""COMPUTED_VALUE"""),"X")</f>
        <v>X</v>
      </c>
      <c r="K28" s="2" t="str">
        <f ca="1">IFERROR(__xludf.DUMMYFUNCTION("""COMPUTED_VALUE"""),"X")</f>
        <v>X</v>
      </c>
      <c r="L28" s="2" t="str">
        <f ca="1">IFERROR(__xludf.DUMMYFUNCTION("""COMPUTED_VALUE"""),"X")</f>
        <v>X</v>
      </c>
      <c r="M28" s="2"/>
      <c r="N28" s="2"/>
      <c r="O28" s="5">
        <f ca="1">IFERROR(__xludf.DUMMYFUNCTION("""COMPUTED_VALUE"""),0)</f>
        <v>0</v>
      </c>
      <c r="P28" s="2">
        <f ca="1">IFERROR(__xludf.DUMMYFUNCTION("""COMPUTED_VALUE"""),0)</f>
        <v>0</v>
      </c>
      <c r="Q28" s="2">
        <f ca="1">IFERROR(__xludf.DUMMYFUNCTION("""COMPUTED_VALUE"""),0)</f>
        <v>0</v>
      </c>
      <c r="R28" s="2">
        <f ca="1">IFERROR(__xludf.DUMMYFUNCTION("""COMPUTED_VALUE"""),0)</f>
        <v>0</v>
      </c>
      <c r="S28" s="2">
        <f ca="1">IFERROR(__xludf.DUMMYFUNCTION("""COMPUTED_VALUE"""),0)</f>
        <v>0</v>
      </c>
      <c r="T28" s="2">
        <f ca="1">IFERROR(__xludf.DUMMYFUNCTION("""COMPUTED_VALUE"""),0)</f>
        <v>0</v>
      </c>
      <c r="U28" s="2">
        <f ca="1">IFERROR(__xludf.DUMMYFUNCTION("""COMPUTED_VALUE"""),21.79375)</f>
        <v>21.793749999999999</v>
      </c>
      <c r="V28" s="2">
        <f ca="1">IFERROR(__xludf.DUMMYFUNCTION("""COMPUTED_VALUE"""),7.99)</f>
        <v>7.99</v>
      </c>
      <c r="W28" s="2">
        <f ca="1">IFERROR(__xludf.DUMMYFUNCTION("""COMPUTED_VALUE"""),4.74375)</f>
        <v>4.7437500000000004</v>
      </c>
      <c r="X28" s="2">
        <f ca="1">IFERROR(__xludf.DUMMYFUNCTION("""COMPUTED_VALUE"""),0)</f>
        <v>0</v>
      </c>
      <c r="Y28" s="2">
        <f ca="1">IFERROR(__xludf.DUMMYFUNCTION("""COMPUTED_VALUE"""),0)</f>
        <v>0</v>
      </c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>
        <f ca="1">IFERROR(__xludf.DUMMYFUNCTION("""COMPUTED_VALUE"""),0)</f>
        <v>0</v>
      </c>
      <c r="AN28" s="2">
        <f ca="1">IFERROR(__xludf.DUMMYFUNCTION("""COMPUTED_VALUE"""),0)</f>
        <v>0</v>
      </c>
      <c r="AO28" s="2">
        <f ca="1">IFERROR(__xludf.DUMMYFUNCTION("""COMPUTED_VALUE"""),0)</f>
        <v>0</v>
      </c>
      <c r="AP28" s="2">
        <f ca="1">IFERROR(__xludf.DUMMYFUNCTION("""COMPUTED_VALUE"""),0)</f>
        <v>0</v>
      </c>
      <c r="AQ28" s="2">
        <f ca="1">IFERROR(__xludf.DUMMYFUNCTION("""COMPUTED_VALUE"""),0)</f>
        <v>0</v>
      </c>
      <c r="AR28" s="2">
        <f ca="1">IFERROR(__xludf.DUMMYFUNCTION("""COMPUTED_VALUE"""),0)</f>
        <v>0</v>
      </c>
      <c r="AS28" s="2">
        <f ca="1">IFERROR(__xludf.DUMMYFUNCTION("""COMPUTED_VALUE"""),0)</f>
        <v>0</v>
      </c>
      <c r="AT28" s="2">
        <f ca="1">IFERROR(__xludf.DUMMYFUNCTION("""COMPUTED_VALUE"""),0)</f>
        <v>0</v>
      </c>
      <c r="AU28" s="2">
        <f ca="1">IFERROR(__xludf.DUMMYFUNCTION("""COMPUTED_VALUE"""),0)</f>
        <v>0</v>
      </c>
      <c r="AV28" s="2">
        <f ca="1">IFERROR(__xludf.DUMMYFUNCTION("""COMPUTED_VALUE"""),0)</f>
        <v>0</v>
      </c>
      <c r="AW28" s="2">
        <f ca="1">IFERROR(__xludf.DUMMYFUNCTION("""COMPUTED_VALUE"""),0)</f>
        <v>0</v>
      </c>
      <c r="AY28" s="2">
        <f t="shared" ca="1" si="0"/>
        <v>10</v>
      </c>
      <c r="AZ28" s="2" t="e">
        <f ca="1">IF(NOT(COUNTA(D28:J28)), _xludf.IFS(AL28="W", 'Round Bonuses'!$F$14, AL28="X", 'Round Bonuses'!$F$13, AK28="X", 'Round Bonuses'!$F$12, AJ28="X", 'Round Bonuses'!$F$11, AI28="X", 'Round Bonuses'!$F$10, AH28="X", 'Round Bonuses'!$F$9, AG28="X", 'Round Bonuses'!$F$8, AF28="X", 'Round Bonuses'!$F$7, AE28="X", 'Round Bonuses'!$F$6, AD28="X", 'Round Bonuses'!$F$5, AC28="X", 'Round Bonuses'!$F$4, AB28="X", 'Round Bonuses'!$F$3, TRUE, 0), IF(AA28="X", _xludf.IFS(AD28="X", 'Round Bonuses'!$E$4, AF28="X",'Round Bonuses'!$E$6,TRUE, 'Round Bonuses'!$E$7), 0) +IF(AB28="X", 'Round Bonuses'!$E$3, 0)+IF(AC28="X",'Round Bonuses'!$E$4, 0)+IF(AD28="X", 'Round Bonuses'!$E$5, 0)+IF(AE28="X", 'Round Bonuses'!$E$6, 0)+IF(AF28="X", 'Round Bonuses'!$E$7, 0)+IF(AG28="X", 'Round Bonuses'!$E$8, 0)+_xludf.IFS(AL28="W", 'Round Bonuses'!$G$14, AL28="X", 'Round Bonuses'!$G$13, AK28="X", 'Round Bonuses'!$G$12, AJ28="X", 'Round Bonuses'!$G$11, AI28="X", 'Round Bonuses'!$G$10, AH28="X", 'Round Bonuses'!$G$9, TRUE, 0))+_xludf.IFS(N28="W", 'Round Bonuses'!$C$13, N28="X", 'Round Bonuses'!$C$12, M28="X", 'Round Bonuses'!$C$11, L28="X", 'Round Bonuses'!$C$10, K28="X", 'Round Bonuses'!$C$9, J28="X", 'Round Bonuses'!$C$8, I28="X", 'Round Bonuses'!$C$7, H28="X", 'Round Bonuses'!$C$6, G28="X", 'Round Bonuses'!$C$5, F28="X", 'Round Bonuses'!$C$4, E28="X", 'Round Bonuses'!$C$3, D28="X", 'Round Bonuses'!$C$3, TRUE, 0)</f>
        <v>#NAME?</v>
      </c>
      <c r="BA28" s="2">
        <f t="shared" ca="1" si="1"/>
        <v>34.527499999999996</v>
      </c>
      <c r="BB28" s="10" t="e">
        <f t="shared" ca="1" si="2"/>
        <v>#NAME?</v>
      </c>
      <c r="BD28" s="11" t="str">
        <f t="shared" ca="1" si="3"/>
        <v>Bayern Munich</v>
      </c>
      <c r="BE28" s="2" t="str">
        <f t="shared" ca="1" si="4"/>
        <v>Germany</v>
      </c>
      <c r="BF28" s="2" t="e">
        <f t="shared" ca="1" si="5"/>
        <v>#NAME?</v>
      </c>
      <c r="BG28" s="2">
        <f t="shared" ca="1" si="6"/>
        <v>10</v>
      </c>
      <c r="BH28" s="2" t="s">
        <v>51</v>
      </c>
      <c r="BI28" s="2" t="s">
        <v>52</v>
      </c>
      <c r="BJ28" s="7">
        <v>10.366583333333333</v>
      </c>
      <c r="BK28" s="2">
        <v>15</v>
      </c>
      <c r="BL28" s="2">
        <f t="shared" si="10"/>
        <v>26</v>
      </c>
      <c r="BM28" s="2" t="str">
        <f t="shared" si="7"/>
        <v>Dinamo Zagreb</v>
      </c>
      <c r="BN28" s="7">
        <f t="shared" ref="BN28:BO28" si="35">BJ28</f>
        <v>10.366583333333333</v>
      </c>
      <c r="BO28" s="2">
        <f t="shared" si="35"/>
        <v>15</v>
      </c>
      <c r="BS28" s="2" t="str">
        <f t="shared" si="9"/>
        <v>Croatia</v>
      </c>
    </row>
    <row r="29" spans="1:71" ht="13.8" x14ac:dyDescent="0.45">
      <c r="A29" s="2" t="str">
        <f ca="1">IFERROR(__xludf.DUMMYFUNCTION("""COMPUTED_VALUE"""),"Beitar Jerusalem")</f>
        <v>Beitar Jerusalem</v>
      </c>
      <c r="B29" s="2">
        <f ca="1">IFERROR(__xludf.DUMMYFUNCTION("""COMPUTED_VALUE"""),0.71)</f>
        <v>0.71</v>
      </c>
      <c r="C29" s="2" t="str">
        <f ca="1">IFERROR(__xludf.DUMMYFUNCTION("""COMPUTED_VALUE"""),"Israel")</f>
        <v>Israel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5">
        <f ca="1">IFERROR(__xludf.DUMMYFUNCTION("""COMPUTED_VALUE"""),0)</f>
        <v>0</v>
      </c>
      <c r="P29" s="2">
        <f ca="1">IFERROR(__xludf.DUMMYFUNCTION("""COMPUTED_VALUE"""),0)</f>
        <v>0</v>
      </c>
      <c r="Q29" s="2">
        <f ca="1">IFERROR(__xludf.DUMMYFUNCTION("""COMPUTED_VALUE"""),0)</f>
        <v>0</v>
      </c>
      <c r="R29" s="2">
        <f ca="1">IFERROR(__xludf.DUMMYFUNCTION("""COMPUTED_VALUE"""),0)</f>
        <v>0</v>
      </c>
      <c r="S29" s="2">
        <f ca="1">IFERROR(__xludf.DUMMYFUNCTION("""COMPUTED_VALUE"""),0)</f>
        <v>0</v>
      </c>
      <c r="T29" s="2">
        <f ca="1">IFERROR(__xludf.DUMMYFUNCTION("""COMPUTED_VALUE"""),0)</f>
        <v>0</v>
      </c>
      <c r="U29" s="2">
        <f ca="1">IFERROR(__xludf.DUMMYFUNCTION("""COMPUTED_VALUE"""),0)</f>
        <v>0</v>
      </c>
      <c r="V29" s="2">
        <f ca="1">IFERROR(__xludf.DUMMYFUNCTION("""COMPUTED_VALUE"""),0)</f>
        <v>0</v>
      </c>
      <c r="W29" s="2">
        <f ca="1">IFERROR(__xludf.DUMMYFUNCTION("""COMPUTED_VALUE"""),0)</f>
        <v>0</v>
      </c>
      <c r="X29" s="2">
        <f ca="1">IFERROR(__xludf.DUMMYFUNCTION("""COMPUTED_VALUE"""),0)</f>
        <v>0</v>
      </c>
      <c r="Y29" s="2">
        <f ca="1">IFERROR(__xludf.DUMMYFUNCTION("""COMPUTED_VALUE"""),0)</f>
        <v>0</v>
      </c>
      <c r="AB29" s="2"/>
      <c r="AC29" s="2" t="str">
        <f ca="1">IFERROR(__xludf.DUMMYFUNCTION("""COMPUTED_VALUE"""),"X")</f>
        <v>X</v>
      </c>
      <c r="AD29" s="2"/>
      <c r="AE29" s="2"/>
      <c r="AF29" s="2"/>
      <c r="AG29" s="2"/>
      <c r="AH29" s="2"/>
      <c r="AI29" s="2"/>
      <c r="AJ29" s="2"/>
      <c r="AK29" s="2"/>
      <c r="AL29" s="2"/>
      <c r="AM29" s="2">
        <f ca="1">IFERROR(__xludf.DUMMYFUNCTION("""COMPUTED_VALUE"""),0)</f>
        <v>0</v>
      </c>
      <c r="AN29" s="2">
        <f ca="1">IFERROR(__xludf.DUMMYFUNCTION("""COMPUTED_VALUE"""),0.37)</f>
        <v>0.37</v>
      </c>
      <c r="AO29" s="2">
        <f ca="1">IFERROR(__xludf.DUMMYFUNCTION("""COMPUTED_VALUE"""),0)</f>
        <v>0</v>
      </c>
      <c r="AP29" s="2">
        <f ca="1">IFERROR(__xludf.DUMMYFUNCTION("""COMPUTED_VALUE"""),0)</f>
        <v>0</v>
      </c>
      <c r="AQ29" s="2">
        <f ca="1">IFERROR(__xludf.DUMMYFUNCTION("""COMPUTED_VALUE"""),0)</f>
        <v>0</v>
      </c>
      <c r="AR29" s="2">
        <f ca="1">IFERROR(__xludf.DUMMYFUNCTION("""COMPUTED_VALUE"""),0)</f>
        <v>0</v>
      </c>
      <c r="AS29" s="2">
        <f ca="1">IFERROR(__xludf.DUMMYFUNCTION("""COMPUTED_VALUE"""),0)</f>
        <v>0</v>
      </c>
      <c r="AT29" s="2">
        <f ca="1">IFERROR(__xludf.DUMMYFUNCTION("""COMPUTED_VALUE"""),0)</f>
        <v>0</v>
      </c>
      <c r="AU29" s="2">
        <f ca="1">IFERROR(__xludf.DUMMYFUNCTION("""COMPUTED_VALUE"""),0)</f>
        <v>0</v>
      </c>
      <c r="AV29" s="2">
        <f ca="1">IFERROR(__xludf.DUMMYFUNCTION("""COMPUTED_VALUE"""),0)</f>
        <v>0</v>
      </c>
      <c r="AW29" s="2">
        <f ca="1">IFERROR(__xludf.DUMMYFUNCTION("""COMPUTED_VALUE"""),0)</f>
        <v>0</v>
      </c>
      <c r="AY29" s="2">
        <f t="shared" ca="1" si="0"/>
        <v>1</v>
      </c>
      <c r="AZ29" s="2" t="e">
        <f ca="1">IF(NOT(COUNTA(D29:J29)), _xludf.IFS(AL29="W", 'Round Bonuses'!$F$14, AL29="X", 'Round Bonuses'!$F$13, AK29="X", 'Round Bonuses'!$F$12, AJ29="X", 'Round Bonuses'!$F$11, AI29="X", 'Round Bonuses'!$F$10, AH29="X", 'Round Bonuses'!$F$9, AG29="X", 'Round Bonuses'!$F$8, AF29="X", 'Round Bonuses'!$F$7, AE29="X", 'Round Bonuses'!$F$6, AD29="X", 'Round Bonuses'!$F$5, AC29="X", 'Round Bonuses'!$F$4, AB29="X", 'Round Bonuses'!$F$3, TRUE, 0), IF(AA29="X", _xludf.IFS(AD29="X", 'Round Bonuses'!$E$4, AF29="X",'Round Bonuses'!$E$6,TRUE, 'Round Bonuses'!$E$7), 0) +IF(AB29="X", 'Round Bonuses'!$E$3, 0)+IF(AC29="X",'Round Bonuses'!$E$4, 0)+IF(AD29="X", 'Round Bonuses'!$E$5, 0)+IF(AE29="X", 'Round Bonuses'!$E$6, 0)+IF(AF29="X", 'Round Bonuses'!$E$7, 0)+IF(AG29="X", 'Round Bonuses'!$E$8, 0)+_xludf.IFS(AL29="W", 'Round Bonuses'!$G$14, AL29="X", 'Round Bonuses'!$G$13, AK29="X", 'Round Bonuses'!$G$12, AJ29="X", 'Round Bonuses'!$G$11, AI29="X", 'Round Bonuses'!$G$10, AH29="X", 'Round Bonuses'!$G$9, TRUE, 0))+_xludf.IFS(N29="W", 'Round Bonuses'!$C$13, N29="X", 'Round Bonuses'!$C$12, M29="X", 'Round Bonuses'!$C$11, L29="X", 'Round Bonuses'!$C$10, K29="X", 'Round Bonuses'!$C$9, J29="X", 'Round Bonuses'!$C$8, I29="X", 'Round Bonuses'!$C$7, H29="X", 'Round Bonuses'!$C$6, G29="X", 'Round Bonuses'!$C$5, F29="X", 'Round Bonuses'!$C$4, E29="X", 'Round Bonuses'!$C$3, D29="X", 'Round Bonuses'!$C$3, TRUE, 0)</f>
        <v>#NAME?</v>
      </c>
      <c r="BA29" s="2">
        <f t="shared" ca="1" si="1"/>
        <v>0.37</v>
      </c>
      <c r="BB29" s="10" t="e">
        <f t="shared" ca="1" si="2"/>
        <v>#NAME?</v>
      </c>
      <c r="BD29" s="11" t="str">
        <f t="shared" ca="1" si="3"/>
        <v>Beitar Jerusalem</v>
      </c>
      <c r="BE29" s="2" t="str">
        <f t="shared" ca="1" si="4"/>
        <v>Israel</v>
      </c>
      <c r="BF29" s="2" t="e">
        <f t="shared" ca="1" si="5"/>
        <v>#NAME?</v>
      </c>
      <c r="BG29" s="2">
        <f t="shared" ca="1" si="6"/>
        <v>1</v>
      </c>
      <c r="BH29" s="2" t="s">
        <v>53</v>
      </c>
      <c r="BI29" s="2" t="s">
        <v>54</v>
      </c>
      <c r="BJ29" s="7">
        <v>10.034374999999999</v>
      </c>
      <c r="BK29" s="2">
        <v>8</v>
      </c>
      <c r="BL29" s="2">
        <f t="shared" si="10"/>
        <v>27</v>
      </c>
      <c r="BM29" s="2" t="str">
        <f t="shared" si="7"/>
        <v>Club Brugge</v>
      </c>
      <c r="BN29" s="7">
        <f t="shared" ref="BN29:BO29" si="36">BJ29</f>
        <v>10.034374999999999</v>
      </c>
      <c r="BO29" s="2">
        <f t="shared" si="36"/>
        <v>8</v>
      </c>
      <c r="BS29" s="2" t="str">
        <f t="shared" si="9"/>
        <v>Belgium</v>
      </c>
    </row>
    <row r="30" spans="1:71" ht="13.8" x14ac:dyDescent="0.45">
      <c r="A30" s="2" t="str">
        <f ca="1">IFERROR(__xludf.DUMMYFUNCTION("""COMPUTED_VALUE"""),"Benfica")</f>
        <v>Benfica</v>
      </c>
      <c r="B30" s="2">
        <f ca="1">IFERROR(__xludf.DUMMYFUNCTION("""COMPUTED_VALUE"""),0.919999999999999)</f>
        <v>0.91999999999999904</v>
      </c>
      <c r="C30" s="2" t="str">
        <f ca="1">IFERROR(__xludf.DUMMYFUNCTION("""COMPUTED_VALUE"""),"Portugal")</f>
        <v>Portugal</v>
      </c>
      <c r="D30" s="2"/>
      <c r="E30" s="2"/>
      <c r="F30" s="2"/>
      <c r="G30" s="2"/>
      <c r="H30" s="2" t="str">
        <f ca="1">IFERROR(__xludf.DUMMYFUNCTION("""COMPUTED_VALUE"""),"X")</f>
        <v>X</v>
      </c>
      <c r="I30" s="2"/>
      <c r="J30" s="2"/>
      <c r="K30" s="2"/>
      <c r="L30" s="2"/>
      <c r="M30" s="2"/>
      <c r="N30" s="2"/>
      <c r="O30" s="5">
        <f ca="1">IFERROR(__xludf.DUMMYFUNCTION("""COMPUTED_VALUE"""),0)</f>
        <v>0</v>
      </c>
      <c r="P30" s="2">
        <f ca="1">IFERROR(__xludf.DUMMYFUNCTION("""COMPUTED_VALUE"""),0)</f>
        <v>0</v>
      </c>
      <c r="Q30" s="2">
        <f ca="1">IFERROR(__xludf.DUMMYFUNCTION("""COMPUTED_VALUE"""),0)</f>
        <v>0</v>
      </c>
      <c r="R30" s="2">
        <f ca="1">IFERROR(__xludf.DUMMYFUNCTION("""COMPUTED_VALUE"""),0)</f>
        <v>0</v>
      </c>
      <c r="S30" s="2">
        <f ca="1">IFERROR(__xludf.DUMMYFUNCTION("""COMPUTED_VALUE"""),0.725)</f>
        <v>0.72499999999999998</v>
      </c>
      <c r="T30" s="2">
        <f ca="1">IFERROR(__xludf.DUMMYFUNCTION("""COMPUTED_VALUE"""),0)</f>
        <v>0</v>
      </c>
      <c r="U30" s="2">
        <f ca="1">IFERROR(__xludf.DUMMYFUNCTION("""COMPUTED_VALUE"""),0)</f>
        <v>0</v>
      </c>
      <c r="V30" s="2">
        <f ca="1">IFERROR(__xludf.DUMMYFUNCTION("""COMPUTED_VALUE"""),0)</f>
        <v>0</v>
      </c>
      <c r="W30" s="2">
        <f ca="1">IFERROR(__xludf.DUMMYFUNCTION("""COMPUTED_VALUE"""),0)</f>
        <v>0</v>
      </c>
      <c r="X30" s="2">
        <f ca="1">IFERROR(__xludf.DUMMYFUNCTION("""COMPUTED_VALUE"""),0)</f>
        <v>0</v>
      </c>
      <c r="Y30" s="2">
        <f ca="1">IFERROR(__xludf.DUMMYFUNCTION("""COMPUTED_VALUE"""),0)</f>
        <v>0</v>
      </c>
      <c r="AA30" s="3" t="s">
        <v>39</v>
      </c>
      <c r="AB30" s="2"/>
      <c r="AC30" s="2"/>
      <c r="AD30" s="2"/>
      <c r="AE30" s="2"/>
      <c r="AF30" s="2"/>
      <c r="AG30" s="2" t="str">
        <f ca="1">IFERROR(__xludf.DUMMYFUNCTION("""COMPUTED_VALUE"""),"X")</f>
        <v>X</v>
      </c>
      <c r="AH30" s="2" t="str">
        <f ca="1">IFERROR(__xludf.DUMMYFUNCTION("""COMPUTED_VALUE"""),"X")</f>
        <v>X</v>
      </c>
      <c r="AI30" s="2"/>
      <c r="AJ30" s="2"/>
      <c r="AK30" s="2"/>
      <c r="AL30" s="2"/>
      <c r="AM30" s="2">
        <f ca="1">IFERROR(__xludf.DUMMYFUNCTION("""COMPUTED_VALUE"""),0)</f>
        <v>0</v>
      </c>
      <c r="AN30" s="2">
        <f ca="1">IFERROR(__xludf.DUMMYFUNCTION("""COMPUTED_VALUE"""),0)</f>
        <v>0</v>
      </c>
      <c r="AO30" s="2">
        <f ca="1">IFERROR(__xludf.DUMMYFUNCTION("""COMPUTED_VALUE"""),0)</f>
        <v>0</v>
      </c>
      <c r="AP30" s="2">
        <f ca="1">IFERROR(__xludf.DUMMYFUNCTION("""COMPUTED_VALUE"""),0)</f>
        <v>0</v>
      </c>
      <c r="AQ30" s="2">
        <f ca="1">IFERROR(__xludf.DUMMYFUNCTION("""COMPUTED_VALUE"""),0)</f>
        <v>0</v>
      </c>
      <c r="AR30" s="2">
        <f ca="1">IFERROR(__xludf.DUMMYFUNCTION("""COMPUTED_VALUE"""),15.245)</f>
        <v>15.244999999999999</v>
      </c>
      <c r="AS30" s="2">
        <f ca="1">IFERROR(__xludf.DUMMYFUNCTION("""COMPUTED_VALUE"""),2.665)</f>
        <v>2.665</v>
      </c>
      <c r="AT30" s="2">
        <f ca="1">IFERROR(__xludf.DUMMYFUNCTION("""COMPUTED_VALUE"""),0)</f>
        <v>0</v>
      </c>
      <c r="AU30" s="2">
        <f ca="1">IFERROR(__xludf.DUMMYFUNCTION("""COMPUTED_VALUE"""),0)</f>
        <v>0</v>
      </c>
      <c r="AV30" s="2">
        <f ca="1">IFERROR(__xludf.DUMMYFUNCTION("""COMPUTED_VALUE"""),0)</f>
        <v>0</v>
      </c>
      <c r="AW30" s="2">
        <f ca="1">IFERROR(__xludf.DUMMYFUNCTION("""COMPUTED_VALUE"""),0)</f>
        <v>0</v>
      </c>
      <c r="AY30" s="2">
        <f t="shared" ca="1" si="0"/>
        <v>9</v>
      </c>
      <c r="AZ30" s="2" t="e">
        <f ca="1">IF(NOT(COUNTA(D30:J30)), _xludf.IFS(AL30="W", 'Round Bonuses'!$F$14, AL30="X", 'Round Bonuses'!$F$13, AK30="X", 'Round Bonuses'!$F$12, AJ30="X", 'Round Bonuses'!$F$11, AI30="X", 'Round Bonuses'!$F$10, AH30="X", 'Round Bonuses'!$F$9, AG30="X", 'Round Bonuses'!$F$8, AF30="X", 'Round Bonuses'!$F$7, AE30="X", 'Round Bonuses'!$F$6, AD30="X", 'Round Bonuses'!$F$5, AC30="X", 'Round Bonuses'!$F$4, AB30="X", 'Round Bonuses'!$F$3, TRUE, 0), IF(AA30="X", _xludf.IFS(AD30="X", 'Round Bonuses'!$E$4, AF30="X",'Round Bonuses'!$E$6,TRUE, 'Round Bonuses'!$E$7), 0) +IF(AB30="X", 'Round Bonuses'!$E$3, 0)+IF(AC30="X",'Round Bonuses'!$E$4, 0)+IF(AD30="X", 'Round Bonuses'!$E$5, 0)+IF(AE30="X", 'Round Bonuses'!$E$6, 0)+IF(AF30="X", 'Round Bonuses'!$E$7, 0)+IF(AG30="X", 'Round Bonuses'!$E$8, 0)+_xludf.IFS(AL30="W", 'Round Bonuses'!$G$14, AL30="X", 'Round Bonuses'!$G$13, AK30="X", 'Round Bonuses'!$G$12, AJ30="X", 'Round Bonuses'!$G$11, AI30="X", 'Round Bonuses'!$G$10, AH30="X", 'Round Bonuses'!$G$9, TRUE, 0))+_xludf.IFS(N30="W", 'Round Bonuses'!$C$13, N30="X", 'Round Bonuses'!$C$12, M30="X", 'Round Bonuses'!$C$11, L30="X", 'Round Bonuses'!$C$10, K30="X", 'Round Bonuses'!$C$9, J30="X", 'Round Bonuses'!$C$8, I30="X", 'Round Bonuses'!$C$7, H30="X", 'Round Bonuses'!$C$6, G30="X", 'Round Bonuses'!$C$5, F30="X", 'Round Bonuses'!$C$4, E30="X", 'Round Bonuses'!$C$3, D30="X", 'Round Bonuses'!$C$3, TRUE, 0)</f>
        <v>#NAME?</v>
      </c>
      <c r="BA30" s="2">
        <f t="shared" ca="1" si="1"/>
        <v>18.635000000000002</v>
      </c>
      <c r="BB30" s="10" t="e">
        <f t="shared" ca="1" si="2"/>
        <v>#NAME?</v>
      </c>
      <c r="BD30" s="11" t="str">
        <f t="shared" ca="1" si="3"/>
        <v>Benfica</v>
      </c>
      <c r="BE30" s="2" t="str">
        <f t="shared" ca="1" si="4"/>
        <v>Portugal</v>
      </c>
      <c r="BF30" s="2" t="e">
        <f t="shared" ca="1" si="5"/>
        <v>#NAME?</v>
      </c>
      <c r="BG30" s="2">
        <f t="shared" ca="1" si="6"/>
        <v>9</v>
      </c>
      <c r="BH30" s="2" t="s">
        <v>55</v>
      </c>
      <c r="BI30" s="2" t="s">
        <v>56</v>
      </c>
      <c r="BJ30" s="7">
        <v>9.9178749999999987</v>
      </c>
      <c r="BK30" s="2">
        <v>10</v>
      </c>
      <c r="BL30" s="2">
        <f t="shared" si="10"/>
        <v>28</v>
      </c>
      <c r="BM30" s="2" t="str">
        <f t="shared" si="7"/>
        <v>Krasnodar</v>
      </c>
      <c r="BN30" s="7">
        <f t="shared" ref="BN30:BO30" si="37">BJ30</f>
        <v>9.9178749999999987</v>
      </c>
      <c r="BO30" s="2">
        <f t="shared" si="37"/>
        <v>10</v>
      </c>
      <c r="BS30" s="2" t="str">
        <f t="shared" si="9"/>
        <v>Russia</v>
      </c>
    </row>
    <row r="31" spans="1:71" ht="13.8" x14ac:dyDescent="0.45">
      <c r="A31" s="2" t="str">
        <f ca="1">IFERROR(__xludf.DUMMYFUNCTION("""COMPUTED_VALUE"""),"Beşiktaş")</f>
        <v>Beşiktaş</v>
      </c>
      <c r="B31" s="2">
        <f ca="1">IFERROR(__xludf.DUMMYFUNCTION("""COMPUTED_VALUE"""),0.88)</f>
        <v>0.88</v>
      </c>
      <c r="C31" s="2" t="str">
        <f ca="1">IFERROR(__xludf.DUMMYFUNCTION("""COMPUTED_VALUE"""),"Turkey")</f>
        <v>Turkey</v>
      </c>
      <c r="D31" s="2"/>
      <c r="E31" s="2"/>
      <c r="F31" s="2"/>
      <c r="G31" s="2" t="str">
        <f ca="1">IFERROR(__xludf.DUMMYFUNCTION("""COMPUTED_VALUE"""),"X")</f>
        <v>X</v>
      </c>
      <c r="H31" s="2"/>
      <c r="I31" s="2"/>
      <c r="J31" s="2"/>
      <c r="K31" s="2"/>
      <c r="L31" s="2"/>
      <c r="M31" s="2"/>
      <c r="N31" s="2"/>
      <c r="O31" s="5">
        <f ca="1">IFERROR(__xludf.DUMMYFUNCTION("""COMPUTED_VALUE"""),0)</f>
        <v>0</v>
      </c>
      <c r="P31" s="2">
        <f ca="1">IFERROR(__xludf.DUMMYFUNCTION("""COMPUTED_VALUE"""),0)</f>
        <v>0</v>
      </c>
      <c r="Q31" s="2">
        <f ca="1">IFERROR(__xludf.DUMMYFUNCTION("""COMPUTED_VALUE"""),0)</f>
        <v>0</v>
      </c>
      <c r="R31" s="2">
        <f ca="1">IFERROR(__xludf.DUMMYFUNCTION("""COMPUTED_VALUE"""),0.6)</f>
        <v>0.6</v>
      </c>
      <c r="S31" s="2">
        <f ca="1">IFERROR(__xludf.DUMMYFUNCTION("""COMPUTED_VALUE"""),0)</f>
        <v>0</v>
      </c>
      <c r="T31" s="2">
        <f ca="1">IFERROR(__xludf.DUMMYFUNCTION("""COMPUTED_VALUE"""),0)</f>
        <v>0</v>
      </c>
      <c r="U31" s="2">
        <f ca="1">IFERROR(__xludf.DUMMYFUNCTION("""COMPUTED_VALUE"""),0)</f>
        <v>0</v>
      </c>
      <c r="V31" s="2">
        <f ca="1">IFERROR(__xludf.DUMMYFUNCTION("""COMPUTED_VALUE"""),0)</f>
        <v>0</v>
      </c>
      <c r="W31" s="2">
        <f ca="1">IFERROR(__xludf.DUMMYFUNCTION("""COMPUTED_VALUE"""),0)</f>
        <v>0</v>
      </c>
      <c r="X31" s="2">
        <f ca="1">IFERROR(__xludf.DUMMYFUNCTION("""COMPUTED_VALUE"""),0)</f>
        <v>0</v>
      </c>
      <c r="Y31" s="2">
        <f ca="1">IFERROR(__xludf.DUMMYFUNCTION("""COMPUTED_VALUE"""),0)</f>
        <v>0</v>
      </c>
      <c r="AB31" s="2"/>
      <c r="AC31" s="2"/>
      <c r="AD31" s="2"/>
      <c r="AE31" s="2" t="str">
        <f ca="1">IFERROR(__xludf.DUMMYFUNCTION("""COMPUTED_VALUE"""),"X")</f>
        <v>X</v>
      </c>
      <c r="AF31" s="2"/>
      <c r="AG31" s="2"/>
      <c r="AH31" s="2"/>
      <c r="AI31" s="2"/>
      <c r="AJ31" s="2"/>
      <c r="AK31" s="2"/>
      <c r="AL31" s="2"/>
      <c r="AM31" s="2">
        <f ca="1">IFERROR(__xludf.DUMMYFUNCTION("""COMPUTED_VALUE"""),0)</f>
        <v>0</v>
      </c>
      <c r="AN31" s="2">
        <f ca="1">IFERROR(__xludf.DUMMYFUNCTION("""COMPUTED_VALUE"""),0)</f>
        <v>0</v>
      </c>
      <c r="AO31" s="2">
        <f ca="1">IFERROR(__xludf.DUMMYFUNCTION("""COMPUTED_VALUE"""),0)</f>
        <v>0</v>
      </c>
      <c r="AP31" s="2">
        <f ca="1">IFERROR(__xludf.DUMMYFUNCTION("""COMPUTED_VALUE"""),0.889999999999999)</f>
        <v>0.88999999999999901</v>
      </c>
      <c r="AQ31" s="2">
        <f ca="1">IFERROR(__xludf.DUMMYFUNCTION("""COMPUTED_VALUE"""),0)</f>
        <v>0</v>
      </c>
      <c r="AR31" s="2">
        <f ca="1">IFERROR(__xludf.DUMMYFUNCTION("""COMPUTED_VALUE"""),0)</f>
        <v>0</v>
      </c>
      <c r="AS31" s="2">
        <f ca="1">IFERROR(__xludf.DUMMYFUNCTION("""COMPUTED_VALUE"""),0)</f>
        <v>0</v>
      </c>
      <c r="AT31" s="2">
        <f ca="1">IFERROR(__xludf.DUMMYFUNCTION("""COMPUTED_VALUE"""),0)</f>
        <v>0</v>
      </c>
      <c r="AU31" s="2">
        <f ca="1">IFERROR(__xludf.DUMMYFUNCTION("""COMPUTED_VALUE"""),0)</f>
        <v>0</v>
      </c>
      <c r="AV31" s="2">
        <f ca="1">IFERROR(__xludf.DUMMYFUNCTION("""COMPUTED_VALUE"""),0)</f>
        <v>0</v>
      </c>
      <c r="AW31" s="2">
        <f ca="1">IFERROR(__xludf.DUMMYFUNCTION("""COMPUTED_VALUE"""),0)</f>
        <v>0</v>
      </c>
      <c r="AY31" s="2">
        <f t="shared" ca="1" si="0"/>
        <v>2</v>
      </c>
      <c r="AZ31" s="2" t="e">
        <f ca="1">IF(NOT(COUNTA(D31:J31)), _xludf.IFS(AL31="W", 'Round Bonuses'!$F$14, AL31="X", 'Round Bonuses'!$F$13, AK31="X", 'Round Bonuses'!$F$12, AJ31="X", 'Round Bonuses'!$F$11, AI31="X", 'Round Bonuses'!$F$10, AH31="X", 'Round Bonuses'!$F$9, AG31="X", 'Round Bonuses'!$F$8, AF31="X", 'Round Bonuses'!$F$7, AE31="X", 'Round Bonuses'!$F$6, AD31="X", 'Round Bonuses'!$F$5, AC31="X", 'Round Bonuses'!$F$4, AB31="X", 'Round Bonuses'!$F$3, TRUE, 0), IF(AA31="X", _xludf.IFS(AD31="X", 'Round Bonuses'!$E$4, AF31="X",'Round Bonuses'!$E$6,TRUE, 'Round Bonuses'!$E$7), 0) +IF(AB31="X", 'Round Bonuses'!$E$3, 0)+IF(AC31="X",'Round Bonuses'!$E$4, 0)+IF(AD31="X", 'Round Bonuses'!$E$5, 0)+IF(AE31="X", 'Round Bonuses'!$E$6, 0)+IF(AF31="X", 'Round Bonuses'!$E$7, 0)+IF(AG31="X", 'Round Bonuses'!$E$8, 0)+_xludf.IFS(AL31="W", 'Round Bonuses'!$G$14, AL31="X", 'Round Bonuses'!$G$13, AK31="X", 'Round Bonuses'!$G$12, AJ31="X", 'Round Bonuses'!$G$11, AI31="X", 'Round Bonuses'!$G$10, AH31="X", 'Round Bonuses'!$G$9, TRUE, 0))+_xludf.IFS(N31="W", 'Round Bonuses'!$C$13, N31="X", 'Round Bonuses'!$C$12, M31="X", 'Round Bonuses'!$C$11, L31="X", 'Round Bonuses'!$C$10, K31="X", 'Round Bonuses'!$C$9, J31="X", 'Round Bonuses'!$C$8, I31="X", 'Round Bonuses'!$C$7, H31="X", 'Round Bonuses'!$C$6, G31="X", 'Round Bonuses'!$C$5, F31="X", 'Round Bonuses'!$C$4, E31="X", 'Round Bonuses'!$C$3, D31="X", 'Round Bonuses'!$C$3, TRUE, 0)</f>
        <v>#NAME?</v>
      </c>
      <c r="BA31" s="2">
        <f t="shared" ca="1" si="1"/>
        <v>1.4899999999999989</v>
      </c>
      <c r="BB31" s="10" t="e">
        <f t="shared" ca="1" si="2"/>
        <v>#NAME?</v>
      </c>
      <c r="BD31" s="11" t="str">
        <f t="shared" ca="1" si="3"/>
        <v>Beşiktaş</v>
      </c>
      <c r="BE31" s="2" t="str">
        <f t="shared" ca="1" si="4"/>
        <v>Turkey</v>
      </c>
      <c r="BF31" s="2" t="e">
        <f t="shared" ca="1" si="5"/>
        <v>#NAME?</v>
      </c>
      <c r="BG31" s="2">
        <f t="shared" ca="1" si="6"/>
        <v>2</v>
      </c>
      <c r="BH31" s="2" t="s">
        <v>57</v>
      </c>
      <c r="BI31" s="2" t="s">
        <v>58</v>
      </c>
      <c r="BJ31" s="7">
        <v>9.7934999999999999</v>
      </c>
      <c r="BK31" s="2">
        <v>15</v>
      </c>
      <c r="BL31" s="2">
        <f t="shared" si="10"/>
        <v>29</v>
      </c>
      <c r="BM31" s="2" t="str">
        <f t="shared" si="7"/>
        <v>Molde</v>
      </c>
      <c r="BN31" s="7">
        <f t="shared" ref="BN31:BO31" si="38">BJ31</f>
        <v>9.7934999999999999</v>
      </c>
      <c r="BO31" s="2">
        <f t="shared" si="38"/>
        <v>15</v>
      </c>
      <c r="BS31" s="2" t="str">
        <f t="shared" si="9"/>
        <v>Norway</v>
      </c>
    </row>
    <row r="32" spans="1:71" ht="13.8" x14ac:dyDescent="0.45">
      <c r="A32" s="2" t="str">
        <f ca="1">IFERROR(__xludf.DUMMYFUNCTION("""COMPUTED_VALUE"""),"Bodø/Glimt")</f>
        <v>Bodø/Glimt</v>
      </c>
      <c r="B32" s="2">
        <f ca="1">IFERROR(__xludf.DUMMYFUNCTION("""COMPUTED_VALUE"""),0.76)</f>
        <v>0.76</v>
      </c>
      <c r="C32" s="2" t="str">
        <f ca="1">IFERROR(__xludf.DUMMYFUNCTION("""COMPUTED_VALUE"""),"Norway")</f>
        <v>Norway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5">
        <f ca="1">IFERROR(__xludf.DUMMYFUNCTION("""COMPUTED_VALUE"""),0)</f>
        <v>0</v>
      </c>
      <c r="P32" s="2">
        <f ca="1">IFERROR(__xludf.DUMMYFUNCTION("""COMPUTED_VALUE"""),0)</f>
        <v>0</v>
      </c>
      <c r="Q32" s="2">
        <f ca="1">IFERROR(__xludf.DUMMYFUNCTION("""COMPUTED_VALUE"""),0)</f>
        <v>0</v>
      </c>
      <c r="R32" s="2">
        <f ca="1">IFERROR(__xludf.DUMMYFUNCTION("""COMPUTED_VALUE"""),0)</f>
        <v>0</v>
      </c>
      <c r="S32" s="2">
        <f ca="1">IFERROR(__xludf.DUMMYFUNCTION("""COMPUTED_VALUE"""),0)</f>
        <v>0</v>
      </c>
      <c r="T32" s="2">
        <f ca="1">IFERROR(__xludf.DUMMYFUNCTION("""COMPUTED_VALUE"""),0)</f>
        <v>0</v>
      </c>
      <c r="U32" s="2">
        <f ca="1">IFERROR(__xludf.DUMMYFUNCTION("""COMPUTED_VALUE"""),0)</f>
        <v>0</v>
      </c>
      <c r="V32" s="2">
        <f ca="1">IFERROR(__xludf.DUMMYFUNCTION("""COMPUTED_VALUE"""),0)</f>
        <v>0</v>
      </c>
      <c r="W32" s="2">
        <f ca="1">IFERROR(__xludf.DUMMYFUNCTION("""COMPUTED_VALUE"""),0)</f>
        <v>0</v>
      </c>
      <c r="X32" s="2">
        <f ca="1">IFERROR(__xludf.DUMMYFUNCTION("""COMPUTED_VALUE"""),0)</f>
        <v>0</v>
      </c>
      <c r="Y32" s="2">
        <f ca="1">IFERROR(__xludf.DUMMYFUNCTION("""COMPUTED_VALUE"""),0)</f>
        <v>0</v>
      </c>
      <c r="AB32" s="2"/>
      <c r="AC32" s="2" t="str">
        <f ca="1">IFERROR(__xludf.DUMMYFUNCTION("""COMPUTED_VALUE"""),"X")</f>
        <v>X</v>
      </c>
      <c r="AD32" s="2" t="str">
        <f ca="1">IFERROR(__xludf.DUMMYFUNCTION("""COMPUTED_VALUE"""),"X")</f>
        <v>X</v>
      </c>
      <c r="AE32" s="2" t="str">
        <f ca="1">IFERROR(__xludf.DUMMYFUNCTION("""COMPUTED_VALUE"""),"X")</f>
        <v>X</v>
      </c>
      <c r="AF32" s="2"/>
      <c r="AG32" s="2"/>
      <c r="AH32" s="2"/>
      <c r="AI32" s="2"/>
      <c r="AJ32" s="2"/>
      <c r="AK32" s="2"/>
      <c r="AL32" s="2"/>
      <c r="AM32" s="2">
        <f ca="1">IFERROR(__xludf.DUMMYFUNCTION("""COMPUTED_VALUE"""),0)</f>
        <v>0</v>
      </c>
      <c r="AN32" s="2">
        <f ca="1">IFERROR(__xludf.DUMMYFUNCTION("""COMPUTED_VALUE"""),2.59)</f>
        <v>2.59</v>
      </c>
      <c r="AO32" s="2">
        <f ca="1">IFERROR(__xludf.DUMMYFUNCTION("""COMPUTED_VALUE"""),2.465)</f>
        <v>2.4649999999999999</v>
      </c>
      <c r="AP32" s="2">
        <f ca="1">IFERROR(__xludf.DUMMYFUNCTION("""COMPUTED_VALUE"""),0.794999999999999)</f>
        <v>0.79499999999999904</v>
      </c>
      <c r="AQ32" s="2">
        <f ca="1">IFERROR(__xludf.DUMMYFUNCTION("""COMPUTED_VALUE"""),0)</f>
        <v>0</v>
      </c>
      <c r="AR32" s="2">
        <f ca="1">IFERROR(__xludf.DUMMYFUNCTION("""COMPUTED_VALUE"""),0)</f>
        <v>0</v>
      </c>
      <c r="AS32" s="2">
        <f ca="1">IFERROR(__xludf.DUMMYFUNCTION("""COMPUTED_VALUE"""),0)</f>
        <v>0</v>
      </c>
      <c r="AT32" s="2">
        <f ca="1">IFERROR(__xludf.DUMMYFUNCTION("""COMPUTED_VALUE"""),0)</f>
        <v>0</v>
      </c>
      <c r="AU32" s="2">
        <f ca="1">IFERROR(__xludf.DUMMYFUNCTION("""COMPUTED_VALUE"""),0)</f>
        <v>0</v>
      </c>
      <c r="AV32" s="2">
        <f ca="1">IFERROR(__xludf.DUMMYFUNCTION("""COMPUTED_VALUE"""),0)</f>
        <v>0</v>
      </c>
      <c r="AW32" s="2">
        <f ca="1">IFERROR(__xludf.DUMMYFUNCTION("""COMPUTED_VALUE"""),0)</f>
        <v>0</v>
      </c>
      <c r="AY32" s="2">
        <f t="shared" ca="1" si="0"/>
        <v>3</v>
      </c>
      <c r="AZ32" s="2" t="e">
        <f ca="1">IF(NOT(COUNTA(D32:J32)), _xludf.IFS(AL32="W", 'Round Bonuses'!$F$14, AL32="X", 'Round Bonuses'!$F$13, AK32="X", 'Round Bonuses'!$F$12, AJ32="X", 'Round Bonuses'!$F$11, AI32="X", 'Round Bonuses'!$F$10, AH32="X", 'Round Bonuses'!$F$9, AG32="X", 'Round Bonuses'!$F$8, AF32="X", 'Round Bonuses'!$F$7, AE32="X", 'Round Bonuses'!$F$6, AD32="X", 'Round Bonuses'!$F$5, AC32="X", 'Round Bonuses'!$F$4, AB32="X", 'Round Bonuses'!$F$3, TRUE, 0), IF(AA32="X", _xludf.IFS(AD32="X", 'Round Bonuses'!$E$4, AF32="X",'Round Bonuses'!$E$6,TRUE, 'Round Bonuses'!$E$7), 0) +IF(AB32="X", 'Round Bonuses'!$E$3, 0)+IF(AC32="X",'Round Bonuses'!$E$4, 0)+IF(AD32="X", 'Round Bonuses'!$E$5, 0)+IF(AE32="X", 'Round Bonuses'!$E$6, 0)+IF(AF32="X", 'Round Bonuses'!$E$7, 0)+IF(AG32="X", 'Round Bonuses'!$E$8, 0)+_xludf.IFS(AL32="W", 'Round Bonuses'!$G$14, AL32="X", 'Round Bonuses'!$G$13, AK32="X", 'Round Bonuses'!$G$12, AJ32="X", 'Round Bonuses'!$G$11, AI32="X", 'Round Bonuses'!$G$10, AH32="X", 'Round Bonuses'!$G$9, TRUE, 0))+_xludf.IFS(N32="W", 'Round Bonuses'!$C$13, N32="X", 'Round Bonuses'!$C$12, M32="X", 'Round Bonuses'!$C$11, L32="X", 'Round Bonuses'!$C$10, K32="X", 'Round Bonuses'!$C$9, J32="X", 'Round Bonuses'!$C$8, I32="X", 'Round Bonuses'!$C$7, H32="X", 'Round Bonuses'!$C$6, G32="X", 'Round Bonuses'!$C$5, F32="X", 'Round Bonuses'!$C$4, E32="X", 'Round Bonuses'!$C$3, D32="X", 'Round Bonuses'!$C$3, TRUE, 0)</f>
        <v>#NAME?</v>
      </c>
      <c r="BA32" s="2">
        <f t="shared" ca="1" si="1"/>
        <v>5.8499999999999988</v>
      </c>
      <c r="BB32" s="10" t="e">
        <f t="shared" ca="1" si="2"/>
        <v>#NAME?</v>
      </c>
      <c r="BD32" s="11" t="str">
        <f t="shared" ca="1" si="3"/>
        <v>Bodø/Glimt</v>
      </c>
      <c r="BE32" s="2" t="str">
        <f t="shared" ca="1" si="4"/>
        <v>Norway</v>
      </c>
      <c r="BF32" s="2" t="e">
        <f t="shared" ca="1" si="5"/>
        <v>#NAME?</v>
      </c>
      <c r="BG32" s="2">
        <f t="shared" ca="1" si="6"/>
        <v>3</v>
      </c>
      <c r="BH32" s="2" t="s">
        <v>59</v>
      </c>
      <c r="BI32" s="2" t="s">
        <v>60</v>
      </c>
      <c r="BJ32" s="7">
        <v>9.7186249999999994</v>
      </c>
      <c r="BK32" s="2">
        <v>10</v>
      </c>
      <c r="BL32" s="2">
        <f t="shared" si="10"/>
        <v>30</v>
      </c>
      <c r="BM32" s="2" t="str">
        <f t="shared" si="7"/>
        <v>Red Bull Salzburg</v>
      </c>
      <c r="BN32" s="7">
        <f t="shared" ref="BN32:BO32" si="39">BJ32</f>
        <v>9.7186249999999994</v>
      </c>
      <c r="BO32" s="2">
        <f t="shared" si="39"/>
        <v>10</v>
      </c>
      <c r="BS32" s="2" t="str">
        <f t="shared" si="9"/>
        <v>Austria</v>
      </c>
    </row>
    <row r="33" spans="1:71" ht="13.8" x14ac:dyDescent="0.45">
      <c r="A33" s="2" t="str">
        <f ca="1">IFERROR(__xludf.DUMMYFUNCTION("""COMPUTED_VALUE"""),"Bohemians")</f>
        <v>Bohemians</v>
      </c>
      <c r="B33" s="2">
        <f ca="1">IFERROR(__xludf.DUMMYFUNCTION("""COMPUTED_VALUE"""),0.61)</f>
        <v>0.61</v>
      </c>
      <c r="C33" s="2" t="str">
        <f ca="1">IFERROR(__xludf.DUMMYFUNCTION("""COMPUTED_VALUE"""),"Republic of Ireland")</f>
        <v>Republic of Ireland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5">
        <f ca="1">IFERROR(__xludf.DUMMYFUNCTION("""COMPUTED_VALUE"""),0)</f>
        <v>0</v>
      </c>
      <c r="P33" s="2">
        <f ca="1">IFERROR(__xludf.DUMMYFUNCTION("""COMPUTED_VALUE"""),0)</f>
        <v>0</v>
      </c>
      <c r="Q33" s="2">
        <f ca="1">IFERROR(__xludf.DUMMYFUNCTION("""COMPUTED_VALUE"""),0)</f>
        <v>0</v>
      </c>
      <c r="R33" s="2">
        <f ca="1">IFERROR(__xludf.DUMMYFUNCTION("""COMPUTED_VALUE"""),0)</f>
        <v>0</v>
      </c>
      <c r="S33" s="2">
        <f ca="1">IFERROR(__xludf.DUMMYFUNCTION("""COMPUTED_VALUE"""),0)</f>
        <v>0</v>
      </c>
      <c r="T33" s="2">
        <f ca="1">IFERROR(__xludf.DUMMYFUNCTION("""COMPUTED_VALUE"""),0)</f>
        <v>0</v>
      </c>
      <c r="U33" s="2">
        <f ca="1">IFERROR(__xludf.DUMMYFUNCTION("""COMPUTED_VALUE"""),0)</f>
        <v>0</v>
      </c>
      <c r="V33" s="2">
        <f ca="1">IFERROR(__xludf.DUMMYFUNCTION("""COMPUTED_VALUE"""),0)</f>
        <v>0</v>
      </c>
      <c r="W33" s="2">
        <f ca="1">IFERROR(__xludf.DUMMYFUNCTION("""COMPUTED_VALUE"""),0)</f>
        <v>0</v>
      </c>
      <c r="X33" s="2">
        <f ca="1">IFERROR(__xludf.DUMMYFUNCTION("""COMPUTED_VALUE"""),0)</f>
        <v>0</v>
      </c>
      <c r="Y33" s="2">
        <f ca="1">IFERROR(__xludf.DUMMYFUNCTION("""COMPUTED_VALUE"""),0)</f>
        <v>0</v>
      </c>
      <c r="AB33" s="2"/>
      <c r="AC33" s="2" t="str">
        <f ca="1">IFERROR(__xludf.DUMMYFUNCTION("""COMPUTED_VALUE"""),"X")</f>
        <v>X</v>
      </c>
      <c r="AD33" s="2"/>
      <c r="AE33" s="2"/>
      <c r="AF33" s="2"/>
      <c r="AG33" s="2"/>
      <c r="AH33" s="2"/>
      <c r="AI33" s="2"/>
      <c r="AJ33" s="2"/>
      <c r="AK33" s="2"/>
      <c r="AL33" s="2"/>
      <c r="AM33" s="2">
        <f ca="1">IFERROR(__xludf.DUMMYFUNCTION("""COMPUTED_VALUE"""),0)</f>
        <v>0</v>
      </c>
      <c r="AN33" s="2">
        <f ca="1">IFERROR(__xludf.DUMMYFUNCTION("""COMPUTED_VALUE"""),0.659999999999999)</f>
        <v>0.65999999999999903</v>
      </c>
      <c r="AO33" s="2">
        <f ca="1">IFERROR(__xludf.DUMMYFUNCTION("""COMPUTED_VALUE"""),0)</f>
        <v>0</v>
      </c>
      <c r="AP33" s="2">
        <f ca="1">IFERROR(__xludf.DUMMYFUNCTION("""COMPUTED_VALUE"""),0)</f>
        <v>0</v>
      </c>
      <c r="AQ33" s="2">
        <f ca="1">IFERROR(__xludf.DUMMYFUNCTION("""COMPUTED_VALUE"""),0)</f>
        <v>0</v>
      </c>
      <c r="AR33" s="2">
        <f ca="1">IFERROR(__xludf.DUMMYFUNCTION("""COMPUTED_VALUE"""),0)</f>
        <v>0</v>
      </c>
      <c r="AS33" s="2">
        <f ca="1">IFERROR(__xludf.DUMMYFUNCTION("""COMPUTED_VALUE"""),0)</f>
        <v>0</v>
      </c>
      <c r="AT33" s="2">
        <f ca="1">IFERROR(__xludf.DUMMYFUNCTION("""COMPUTED_VALUE"""),0)</f>
        <v>0</v>
      </c>
      <c r="AU33" s="2">
        <f ca="1">IFERROR(__xludf.DUMMYFUNCTION("""COMPUTED_VALUE"""),0)</f>
        <v>0</v>
      </c>
      <c r="AV33" s="2">
        <f ca="1">IFERROR(__xludf.DUMMYFUNCTION("""COMPUTED_VALUE"""),0)</f>
        <v>0</v>
      </c>
      <c r="AW33" s="2">
        <f ca="1">IFERROR(__xludf.DUMMYFUNCTION("""COMPUTED_VALUE"""),0)</f>
        <v>0</v>
      </c>
      <c r="AY33" s="2">
        <f t="shared" ca="1" si="0"/>
        <v>1</v>
      </c>
      <c r="AZ33" s="2" t="e">
        <f ca="1">IF(NOT(COUNTA(D33:J33)), _xludf.IFS(AL33="W", 'Round Bonuses'!$F$14, AL33="X", 'Round Bonuses'!$F$13, AK33="X", 'Round Bonuses'!$F$12, AJ33="X", 'Round Bonuses'!$F$11, AI33="X", 'Round Bonuses'!$F$10, AH33="X", 'Round Bonuses'!$F$9, AG33="X", 'Round Bonuses'!$F$8, AF33="X", 'Round Bonuses'!$F$7, AE33="X", 'Round Bonuses'!$F$6, AD33="X", 'Round Bonuses'!$F$5, AC33="X", 'Round Bonuses'!$F$4, AB33="X", 'Round Bonuses'!$F$3, TRUE, 0), IF(AA33="X", _xludf.IFS(AD33="X", 'Round Bonuses'!$E$4, AF33="X",'Round Bonuses'!$E$6,TRUE, 'Round Bonuses'!$E$7), 0) +IF(AB33="X", 'Round Bonuses'!$E$3, 0)+IF(AC33="X",'Round Bonuses'!$E$4, 0)+IF(AD33="X", 'Round Bonuses'!$E$5, 0)+IF(AE33="X", 'Round Bonuses'!$E$6, 0)+IF(AF33="X", 'Round Bonuses'!$E$7, 0)+IF(AG33="X", 'Round Bonuses'!$E$8, 0)+_xludf.IFS(AL33="W", 'Round Bonuses'!$G$14, AL33="X", 'Round Bonuses'!$G$13, AK33="X", 'Round Bonuses'!$G$12, AJ33="X", 'Round Bonuses'!$G$11, AI33="X", 'Round Bonuses'!$G$10, AH33="X", 'Round Bonuses'!$G$9, TRUE, 0))+_xludf.IFS(N33="W", 'Round Bonuses'!$C$13, N33="X", 'Round Bonuses'!$C$12, M33="X", 'Round Bonuses'!$C$11, L33="X", 'Round Bonuses'!$C$10, K33="X", 'Round Bonuses'!$C$9, J33="X", 'Round Bonuses'!$C$8, I33="X", 'Round Bonuses'!$C$7, H33="X", 'Round Bonuses'!$C$6, G33="X", 'Round Bonuses'!$C$5, F33="X", 'Round Bonuses'!$C$4, E33="X", 'Round Bonuses'!$C$3, D33="X", 'Round Bonuses'!$C$3, TRUE, 0)</f>
        <v>#NAME?</v>
      </c>
      <c r="BA33" s="2">
        <f t="shared" ca="1" si="1"/>
        <v>0.65999999999999903</v>
      </c>
      <c r="BB33" s="10" t="e">
        <f t="shared" ca="1" si="2"/>
        <v>#NAME?</v>
      </c>
      <c r="BD33" s="11" t="str">
        <f t="shared" ca="1" si="3"/>
        <v>Bohemians</v>
      </c>
      <c r="BE33" s="2" t="str">
        <f t="shared" ca="1" si="4"/>
        <v>Republic of Ireland</v>
      </c>
      <c r="BF33" s="2" t="e">
        <f t="shared" ca="1" si="5"/>
        <v>#NAME?</v>
      </c>
      <c r="BG33" s="2">
        <f t="shared" ca="1" si="6"/>
        <v>1</v>
      </c>
      <c r="BH33" s="2" t="s">
        <v>61</v>
      </c>
      <c r="BI33" s="2" t="s">
        <v>19</v>
      </c>
      <c r="BJ33" s="7">
        <v>8.9853333333333332</v>
      </c>
      <c r="BK33" s="2">
        <v>15</v>
      </c>
      <c r="BL33" s="2">
        <f t="shared" si="10"/>
        <v>31</v>
      </c>
      <c r="BM33" s="2" t="str">
        <f t="shared" si="7"/>
        <v>Granada</v>
      </c>
      <c r="BN33" s="7">
        <f t="shared" ref="BN33:BO33" si="40">BJ33</f>
        <v>8.9853333333333332</v>
      </c>
      <c r="BO33" s="2">
        <f t="shared" si="40"/>
        <v>15</v>
      </c>
      <c r="BS33" s="2" t="str">
        <f t="shared" si="9"/>
        <v>Spain</v>
      </c>
    </row>
    <row r="34" spans="1:71" ht="13.8" x14ac:dyDescent="0.45">
      <c r="A34" s="2" t="str">
        <f ca="1">IFERROR(__xludf.DUMMYFUNCTION("""COMPUTED_VALUE"""),"Borac Banja Luka")</f>
        <v>Borac Banja Luka</v>
      </c>
      <c r="B34" s="2">
        <f ca="1">IFERROR(__xludf.DUMMYFUNCTION("""COMPUTED_VALUE"""),0.57)</f>
        <v>0.56999999999999995</v>
      </c>
      <c r="C34" s="2" t="str">
        <f ca="1">IFERROR(__xludf.DUMMYFUNCTION("""COMPUTED_VALUE"""),"Bosnia and Herzegovina")</f>
        <v>Bosnia and Herzegovina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5">
        <f ca="1">IFERROR(__xludf.DUMMYFUNCTION("""COMPUTED_VALUE"""),0)</f>
        <v>0</v>
      </c>
      <c r="P34" s="2">
        <f ca="1">IFERROR(__xludf.DUMMYFUNCTION("""COMPUTED_VALUE"""),0)</f>
        <v>0</v>
      </c>
      <c r="Q34" s="2">
        <f ca="1">IFERROR(__xludf.DUMMYFUNCTION("""COMPUTED_VALUE"""),0)</f>
        <v>0</v>
      </c>
      <c r="R34" s="2">
        <f ca="1">IFERROR(__xludf.DUMMYFUNCTION("""COMPUTED_VALUE"""),0)</f>
        <v>0</v>
      </c>
      <c r="S34" s="2">
        <f ca="1">IFERROR(__xludf.DUMMYFUNCTION("""COMPUTED_VALUE"""),0)</f>
        <v>0</v>
      </c>
      <c r="T34" s="2">
        <f ca="1">IFERROR(__xludf.DUMMYFUNCTION("""COMPUTED_VALUE"""),0)</f>
        <v>0</v>
      </c>
      <c r="U34" s="2">
        <f ca="1">IFERROR(__xludf.DUMMYFUNCTION("""COMPUTED_VALUE"""),0)</f>
        <v>0</v>
      </c>
      <c r="V34" s="2">
        <f ca="1">IFERROR(__xludf.DUMMYFUNCTION("""COMPUTED_VALUE"""),0)</f>
        <v>0</v>
      </c>
      <c r="W34" s="2">
        <f ca="1">IFERROR(__xludf.DUMMYFUNCTION("""COMPUTED_VALUE"""),0)</f>
        <v>0</v>
      </c>
      <c r="X34" s="2">
        <f ca="1">IFERROR(__xludf.DUMMYFUNCTION("""COMPUTED_VALUE"""),0)</f>
        <v>0</v>
      </c>
      <c r="Y34" s="2">
        <f ca="1">IFERROR(__xludf.DUMMYFUNCTION("""COMPUTED_VALUE"""),0)</f>
        <v>0</v>
      </c>
      <c r="AB34" s="2"/>
      <c r="AC34" s="2" t="str">
        <f ca="1">IFERROR(__xludf.DUMMYFUNCTION("""COMPUTED_VALUE"""),"X")</f>
        <v>X</v>
      </c>
      <c r="AD34" s="2" t="str">
        <f ca="1">IFERROR(__xludf.DUMMYFUNCTION("""COMPUTED_VALUE"""),"X")</f>
        <v>X</v>
      </c>
      <c r="AE34" s="2"/>
      <c r="AF34" s="2"/>
      <c r="AG34" s="2"/>
      <c r="AH34" s="2"/>
      <c r="AI34" s="2"/>
      <c r="AJ34" s="2"/>
      <c r="AK34" s="2"/>
      <c r="AL34" s="2"/>
      <c r="AM34" s="2">
        <f ca="1">IFERROR(__xludf.DUMMYFUNCTION("""COMPUTED_VALUE"""),0)</f>
        <v>0</v>
      </c>
      <c r="AN34" s="2">
        <f ca="1">IFERROR(__xludf.DUMMYFUNCTION("""COMPUTED_VALUE"""),2.0625)</f>
        <v>2.0625</v>
      </c>
      <c r="AO34" s="2">
        <f ca="1">IFERROR(__xludf.DUMMYFUNCTION("""COMPUTED_VALUE"""),0.639999999999999)</f>
        <v>0.63999999999999901</v>
      </c>
      <c r="AP34" s="2">
        <f ca="1">IFERROR(__xludf.DUMMYFUNCTION("""COMPUTED_VALUE"""),0)</f>
        <v>0</v>
      </c>
      <c r="AQ34" s="2">
        <f ca="1">IFERROR(__xludf.DUMMYFUNCTION("""COMPUTED_VALUE"""),0)</f>
        <v>0</v>
      </c>
      <c r="AR34" s="2">
        <f ca="1">IFERROR(__xludf.DUMMYFUNCTION("""COMPUTED_VALUE"""),0)</f>
        <v>0</v>
      </c>
      <c r="AS34" s="2">
        <f ca="1">IFERROR(__xludf.DUMMYFUNCTION("""COMPUTED_VALUE"""),0)</f>
        <v>0</v>
      </c>
      <c r="AT34" s="2">
        <f ca="1">IFERROR(__xludf.DUMMYFUNCTION("""COMPUTED_VALUE"""),0)</f>
        <v>0</v>
      </c>
      <c r="AU34" s="2">
        <f ca="1">IFERROR(__xludf.DUMMYFUNCTION("""COMPUTED_VALUE"""),0)</f>
        <v>0</v>
      </c>
      <c r="AV34" s="2">
        <f ca="1">IFERROR(__xludf.DUMMYFUNCTION("""COMPUTED_VALUE"""),0)</f>
        <v>0</v>
      </c>
      <c r="AW34" s="2">
        <f ca="1">IFERROR(__xludf.DUMMYFUNCTION("""COMPUTED_VALUE"""),0)</f>
        <v>0</v>
      </c>
      <c r="AY34" s="2">
        <f t="shared" ca="1" si="0"/>
        <v>2</v>
      </c>
      <c r="AZ34" s="2" t="e">
        <f ca="1">IF(NOT(COUNTA(D34:J34)), _xludf.IFS(AL34="W", 'Round Bonuses'!$F$14, AL34="X", 'Round Bonuses'!$F$13, AK34="X", 'Round Bonuses'!$F$12, AJ34="X", 'Round Bonuses'!$F$11, AI34="X", 'Round Bonuses'!$F$10, AH34="X", 'Round Bonuses'!$F$9, AG34="X", 'Round Bonuses'!$F$8, AF34="X", 'Round Bonuses'!$F$7, AE34="X", 'Round Bonuses'!$F$6, AD34="X", 'Round Bonuses'!$F$5, AC34="X", 'Round Bonuses'!$F$4, AB34="X", 'Round Bonuses'!$F$3, TRUE, 0), IF(AA34="X", _xludf.IFS(AD34="X", 'Round Bonuses'!$E$4, AF34="X",'Round Bonuses'!$E$6,TRUE, 'Round Bonuses'!$E$7), 0) +IF(AB34="X", 'Round Bonuses'!$E$3, 0)+IF(AC34="X",'Round Bonuses'!$E$4, 0)+IF(AD34="X", 'Round Bonuses'!$E$5, 0)+IF(AE34="X", 'Round Bonuses'!$E$6, 0)+IF(AF34="X", 'Round Bonuses'!$E$7, 0)+IF(AG34="X", 'Round Bonuses'!$E$8, 0)+_xludf.IFS(AL34="W", 'Round Bonuses'!$G$14, AL34="X", 'Round Bonuses'!$G$13, AK34="X", 'Round Bonuses'!$G$12, AJ34="X", 'Round Bonuses'!$G$11, AI34="X", 'Round Bonuses'!$G$10, AH34="X", 'Round Bonuses'!$G$9, TRUE, 0))+_xludf.IFS(N34="W", 'Round Bonuses'!$C$13, N34="X", 'Round Bonuses'!$C$12, M34="X", 'Round Bonuses'!$C$11, L34="X", 'Round Bonuses'!$C$10, K34="X", 'Round Bonuses'!$C$9, J34="X", 'Round Bonuses'!$C$8, I34="X", 'Round Bonuses'!$C$7, H34="X", 'Round Bonuses'!$C$6, G34="X", 'Round Bonuses'!$C$5, F34="X", 'Round Bonuses'!$C$4, E34="X", 'Round Bonuses'!$C$3, D34="X", 'Round Bonuses'!$C$3, TRUE, 0)</f>
        <v>#NAME?</v>
      </c>
      <c r="BA34" s="2">
        <f t="shared" ca="1" si="1"/>
        <v>2.7024999999999988</v>
      </c>
      <c r="BB34" s="10" t="e">
        <f t="shared" ca="1" si="2"/>
        <v>#NAME?</v>
      </c>
      <c r="BD34" s="11" t="str">
        <f t="shared" ca="1" si="3"/>
        <v>Borac Banja Luka</v>
      </c>
      <c r="BE34" s="2" t="str">
        <f t="shared" ca="1" si="4"/>
        <v>Bosnia and Herzegovina</v>
      </c>
      <c r="BF34" s="2" t="e">
        <f t="shared" ca="1" si="5"/>
        <v>#NAME?</v>
      </c>
      <c r="BG34" s="2">
        <f t="shared" ca="1" si="6"/>
        <v>2</v>
      </c>
      <c r="BH34" s="2" t="s">
        <v>62</v>
      </c>
      <c r="BI34" s="2" t="s">
        <v>63</v>
      </c>
      <c r="BJ34" s="7">
        <v>8.8591346153846153</v>
      </c>
      <c r="BK34" s="2">
        <v>13</v>
      </c>
      <c r="BL34" s="2">
        <f t="shared" si="10"/>
        <v>32</v>
      </c>
      <c r="BM34" s="2" t="str">
        <f t="shared" si="7"/>
        <v>Young Boys</v>
      </c>
      <c r="BN34" s="7">
        <f t="shared" ref="BN34:BO34" si="41">BJ34</f>
        <v>8.8591346153846153</v>
      </c>
      <c r="BO34" s="2">
        <f t="shared" si="41"/>
        <v>13</v>
      </c>
      <c r="BS34" s="2" t="str">
        <f t="shared" si="9"/>
        <v>Switzerland</v>
      </c>
    </row>
    <row r="35" spans="1:71" ht="13.8" x14ac:dyDescent="0.45">
      <c r="A35" s="2" t="str">
        <f ca="1">IFERROR(__xludf.DUMMYFUNCTION("""COMPUTED_VALUE"""),"Borussia Dortmund")</f>
        <v>Borussia Dortmund</v>
      </c>
      <c r="B35" s="2">
        <f ca="1">IFERROR(__xludf.DUMMYFUNCTION("""COMPUTED_VALUE"""),0.95)</f>
        <v>0.95</v>
      </c>
      <c r="C35" s="2" t="str">
        <f ca="1">IFERROR(__xludf.DUMMYFUNCTION("""COMPUTED_VALUE"""),"Germany")</f>
        <v>Germany</v>
      </c>
      <c r="D35" s="2"/>
      <c r="E35" s="2"/>
      <c r="F35" s="2"/>
      <c r="G35" s="2"/>
      <c r="H35" s="2"/>
      <c r="I35" s="2"/>
      <c r="J35" s="2" t="str">
        <f ca="1">IFERROR(__xludf.DUMMYFUNCTION("""COMPUTED_VALUE"""),"X")</f>
        <v>X</v>
      </c>
      <c r="K35" s="2" t="str">
        <f ca="1">IFERROR(__xludf.DUMMYFUNCTION("""COMPUTED_VALUE"""),"X")</f>
        <v>X</v>
      </c>
      <c r="L35" s="2" t="str">
        <f ca="1">IFERROR(__xludf.DUMMYFUNCTION("""COMPUTED_VALUE"""),"X")</f>
        <v>X</v>
      </c>
      <c r="M35" s="2"/>
      <c r="N35" s="2"/>
      <c r="O35" s="5">
        <f ca="1">IFERROR(__xludf.DUMMYFUNCTION("""COMPUTED_VALUE"""),0)</f>
        <v>0</v>
      </c>
      <c r="P35" s="2">
        <f ca="1">IFERROR(__xludf.DUMMYFUNCTION("""COMPUTED_VALUE"""),0)</f>
        <v>0</v>
      </c>
      <c r="Q35" s="2">
        <f ca="1">IFERROR(__xludf.DUMMYFUNCTION("""COMPUTED_VALUE"""),0)</f>
        <v>0</v>
      </c>
      <c r="R35" s="2">
        <f ca="1">IFERROR(__xludf.DUMMYFUNCTION("""COMPUTED_VALUE"""),0)</f>
        <v>0</v>
      </c>
      <c r="S35" s="2">
        <f ca="1">IFERROR(__xludf.DUMMYFUNCTION("""COMPUTED_VALUE"""),0)</f>
        <v>0</v>
      </c>
      <c r="T35" s="2">
        <f ca="1">IFERROR(__xludf.DUMMYFUNCTION("""COMPUTED_VALUE"""),0)</f>
        <v>0</v>
      </c>
      <c r="U35" s="2">
        <f ca="1">IFERROR(__xludf.DUMMYFUNCTION("""COMPUTED_VALUE"""),18.4925)</f>
        <v>18.4925</v>
      </c>
      <c r="V35" s="2">
        <f ca="1">IFERROR(__xludf.DUMMYFUNCTION("""COMPUTED_VALUE"""),5.88)</f>
        <v>5.88</v>
      </c>
      <c r="W35" s="2">
        <f ca="1">IFERROR(__xludf.DUMMYFUNCTION("""COMPUTED_VALUE"""),1.69)</f>
        <v>1.69</v>
      </c>
      <c r="X35" s="2">
        <f ca="1">IFERROR(__xludf.DUMMYFUNCTION("""COMPUTED_VALUE"""),0)</f>
        <v>0</v>
      </c>
      <c r="Y35" s="2">
        <f ca="1">IFERROR(__xludf.DUMMYFUNCTION("""COMPUTED_VALUE"""),0)</f>
        <v>0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f ca="1">IFERROR(__xludf.DUMMYFUNCTION("""COMPUTED_VALUE"""),0)</f>
        <v>0</v>
      </c>
      <c r="AN35" s="2">
        <f ca="1">IFERROR(__xludf.DUMMYFUNCTION("""COMPUTED_VALUE"""),0)</f>
        <v>0</v>
      </c>
      <c r="AO35" s="2">
        <f ca="1">IFERROR(__xludf.DUMMYFUNCTION("""COMPUTED_VALUE"""),0)</f>
        <v>0</v>
      </c>
      <c r="AP35" s="2">
        <f ca="1">IFERROR(__xludf.DUMMYFUNCTION("""COMPUTED_VALUE"""),0)</f>
        <v>0</v>
      </c>
      <c r="AQ35" s="2">
        <f ca="1">IFERROR(__xludf.DUMMYFUNCTION("""COMPUTED_VALUE"""),0)</f>
        <v>0</v>
      </c>
      <c r="AR35" s="2">
        <f ca="1">IFERROR(__xludf.DUMMYFUNCTION("""COMPUTED_VALUE"""),0)</f>
        <v>0</v>
      </c>
      <c r="AS35" s="2">
        <f ca="1">IFERROR(__xludf.DUMMYFUNCTION("""COMPUTED_VALUE"""),0)</f>
        <v>0</v>
      </c>
      <c r="AT35" s="2">
        <f ca="1">IFERROR(__xludf.DUMMYFUNCTION("""COMPUTED_VALUE"""),0)</f>
        <v>0</v>
      </c>
      <c r="AU35" s="2">
        <f ca="1">IFERROR(__xludf.DUMMYFUNCTION("""COMPUTED_VALUE"""),0)</f>
        <v>0</v>
      </c>
      <c r="AV35" s="2">
        <f ca="1">IFERROR(__xludf.DUMMYFUNCTION("""COMPUTED_VALUE"""),0)</f>
        <v>0</v>
      </c>
      <c r="AW35" s="2">
        <f ca="1">IFERROR(__xludf.DUMMYFUNCTION("""COMPUTED_VALUE"""),0)</f>
        <v>0</v>
      </c>
      <c r="AY35" s="2">
        <f t="shared" ca="1" si="0"/>
        <v>10</v>
      </c>
      <c r="AZ35" s="2" t="e">
        <f ca="1">IF(NOT(COUNTA(D35:J35)), _xludf.IFS(AL35="W", 'Round Bonuses'!$F$14, AL35="X", 'Round Bonuses'!$F$13, AK35="X", 'Round Bonuses'!$F$12, AJ35="X", 'Round Bonuses'!$F$11, AI35="X", 'Round Bonuses'!$F$10, AH35="X", 'Round Bonuses'!$F$9, AG35="X", 'Round Bonuses'!$F$8, AF35="X", 'Round Bonuses'!$F$7, AE35="X", 'Round Bonuses'!$F$6, AD35="X", 'Round Bonuses'!$F$5, AC35="X", 'Round Bonuses'!$F$4, AB35="X", 'Round Bonuses'!$F$3, TRUE, 0), IF(AA35="X", _xludf.IFS(AD35="X", 'Round Bonuses'!$E$4, AF35="X",'Round Bonuses'!$E$6,TRUE, 'Round Bonuses'!$E$7), 0) +IF(AB35="X", 'Round Bonuses'!$E$3, 0)+IF(AC35="X",'Round Bonuses'!$E$4, 0)+IF(AD35="X", 'Round Bonuses'!$E$5, 0)+IF(AE35="X", 'Round Bonuses'!$E$6, 0)+IF(AF35="X", 'Round Bonuses'!$E$7, 0)+IF(AG35="X", 'Round Bonuses'!$E$8, 0)+_xludf.IFS(AL35="W", 'Round Bonuses'!$G$14, AL35="X", 'Round Bonuses'!$G$13, AK35="X", 'Round Bonuses'!$G$12, AJ35="X", 'Round Bonuses'!$G$11, AI35="X", 'Round Bonuses'!$G$10, AH35="X", 'Round Bonuses'!$G$9, TRUE, 0))+_xludf.IFS(N35="W", 'Round Bonuses'!$C$13, N35="X", 'Round Bonuses'!$C$12, M35="X", 'Round Bonuses'!$C$11, L35="X", 'Round Bonuses'!$C$10, K35="X", 'Round Bonuses'!$C$9, J35="X", 'Round Bonuses'!$C$8, I35="X", 'Round Bonuses'!$C$7, H35="X", 'Round Bonuses'!$C$6, G35="X", 'Round Bonuses'!$C$5, F35="X", 'Round Bonuses'!$C$4, E35="X", 'Round Bonuses'!$C$3, D35="X", 'Round Bonuses'!$C$3, TRUE, 0)</f>
        <v>#NAME?</v>
      </c>
      <c r="BA35" s="2">
        <f t="shared" ca="1" si="1"/>
        <v>26.0625</v>
      </c>
      <c r="BB35" s="10" t="e">
        <f t="shared" ca="1" si="2"/>
        <v>#NAME?</v>
      </c>
      <c r="BD35" s="11" t="str">
        <f t="shared" ca="1" si="3"/>
        <v>Borussia Dortmund</v>
      </c>
      <c r="BE35" s="2" t="str">
        <f t="shared" ca="1" si="4"/>
        <v>Germany</v>
      </c>
      <c r="BF35" s="2" t="e">
        <f t="shared" ca="1" si="5"/>
        <v>#NAME?</v>
      </c>
      <c r="BG35" s="2">
        <f t="shared" ca="1" si="6"/>
        <v>10</v>
      </c>
      <c r="BH35" s="2" t="s">
        <v>64</v>
      </c>
      <c r="BI35" s="2" t="s">
        <v>16</v>
      </c>
      <c r="BJ35" s="7">
        <v>8.6402884615384608</v>
      </c>
      <c r="BK35" s="2">
        <v>13</v>
      </c>
      <c r="BL35" s="2">
        <f t="shared" si="10"/>
        <v>33</v>
      </c>
      <c r="BM35" s="2" t="str">
        <f t="shared" si="7"/>
        <v>Tottenham Hotspur</v>
      </c>
      <c r="BN35" s="7">
        <f t="shared" ref="BN35:BO35" si="42">BJ35</f>
        <v>8.6402884615384608</v>
      </c>
      <c r="BO35" s="2">
        <f t="shared" si="42"/>
        <v>13</v>
      </c>
      <c r="BS35" s="2" t="str">
        <f t="shared" si="9"/>
        <v>England</v>
      </c>
    </row>
    <row r="36" spans="1:71" ht="13.8" x14ac:dyDescent="0.45">
      <c r="A36" s="2" t="str">
        <f ca="1">IFERROR(__xludf.DUMMYFUNCTION("""COMPUTED_VALUE"""),"Borussia Mönchengladbach")</f>
        <v>Borussia Mönchengladbach</v>
      </c>
      <c r="B36" s="2">
        <f ca="1">IFERROR(__xludf.DUMMYFUNCTION("""COMPUTED_VALUE"""),0.929999999999999)</f>
        <v>0.92999999999999905</v>
      </c>
      <c r="C36" s="2" t="str">
        <f ca="1">IFERROR(__xludf.DUMMYFUNCTION("""COMPUTED_VALUE"""),"Germany")</f>
        <v>Germany</v>
      </c>
      <c r="D36" s="2"/>
      <c r="E36" s="2"/>
      <c r="F36" s="2"/>
      <c r="G36" s="2"/>
      <c r="H36" s="2"/>
      <c r="I36" s="2"/>
      <c r="J36" s="2" t="str">
        <f ca="1">IFERROR(__xludf.DUMMYFUNCTION("""COMPUTED_VALUE"""),"X")</f>
        <v>X</v>
      </c>
      <c r="K36" s="2" t="str">
        <f ca="1">IFERROR(__xludf.DUMMYFUNCTION("""COMPUTED_VALUE"""),"X")</f>
        <v>X</v>
      </c>
      <c r="L36" s="2"/>
      <c r="M36" s="2"/>
      <c r="N36" s="2"/>
      <c r="O36" s="5">
        <f ca="1">IFERROR(__xludf.DUMMYFUNCTION("""COMPUTED_VALUE"""),0)</f>
        <v>0</v>
      </c>
      <c r="P36" s="2">
        <f ca="1">IFERROR(__xludf.DUMMYFUNCTION("""COMPUTED_VALUE"""),0)</f>
        <v>0</v>
      </c>
      <c r="Q36" s="2">
        <f ca="1">IFERROR(__xludf.DUMMYFUNCTION("""COMPUTED_VALUE"""),0)</f>
        <v>0</v>
      </c>
      <c r="R36" s="2">
        <f ca="1">IFERROR(__xludf.DUMMYFUNCTION("""COMPUTED_VALUE"""),0)</f>
        <v>0</v>
      </c>
      <c r="S36" s="2">
        <f ca="1">IFERROR(__xludf.DUMMYFUNCTION("""COMPUTED_VALUE"""),0)</f>
        <v>0</v>
      </c>
      <c r="T36" s="2">
        <f ca="1">IFERROR(__xludf.DUMMYFUNCTION("""COMPUTED_VALUE"""),0)</f>
        <v>0</v>
      </c>
      <c r="U36" s="2">
        <f ca="1">IFERROR(__xludf.DUMMYFUNCTION("""COMPUTED_VALUE"""),13.8925)</f>
        <v>13.8925</v>
      </c>
      <c r="V36" s="2">
        <f ca="1">IFERROR(__xludf.DUMMYFUNCTION("""COMPUTED_VALUE"""),1.44)</f>
        <v>1.44</v>
      </c>
      <c r="W36" s="2">
        <f ca="1">IFERROR(__xludf.DUMMYFUNCTION("""COMPUTED_VALUE"""),0)</f>
        <v>0</v>
      </c>
      <c r="X36" s="2">
        <f ca="1">IFERROR(__xludf.DUMMYFUNCTION("""COMPUTED_VALUE"""),0)</f>
        <v>0</v>
      </c>
      <c r="Y36" s="2">
        <f ca="1">IFERROR(__xludf.DUMMYFUNCTION("""COMPUTED_VALUE"""),0)</f>
        <v>0</v>
      </c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>
        <f ca="1">IFERROR(__xludf.DUMMYFUNCTION("""COMPUTED_VALUE"""),0)</f>
        <v>0</v>
      </c>
      <c r="AN36" s="2">
        <f ca="1">IFERROR(__xludf.DUMMYFUNCTION("""COMPUTED_VALUE"""),0)</f>
        <v>0</v>
      </c>
      <c r="AO36" s="2">
        <f ca="1">IFERROR(__xludf.DUMMYFUNCTION("""COMPUTED_VALUE"""),0)</f>
        <v>0</v>
      </c>
      <c r="AP36" s="2">
        <f ca="1">IFERROR(__xludf.DUMMYFUNCTION("""COMPUTED_VALUE"""),0)</f>
        <v>0</v>
      </c>
      <c r="AQ36" s="2">
        <f ca="1">IFERROR(__xludf.DUMMYFUNCTION("""COMPUTED_VALUE"""),0)</f>
        <v>0</v>
      </c>
      <c r="AR36" s="2">
        <f ca="1">IFERROR(__xludf.DUMMYFUNCTION("""COMPUTED_VALUE"""),0)</f>
        <v>0</v>
      </c>
      <c r="AS36" s="2">
        <f ca="1">IFERROR(__xludf.DUMMYFUNCTION("""COMPUTED_VALUE"""),0)</f>
        <v>0</v>
      </c>
      <c r="AT36" s="2">
        <f ca="1">IFERROR(__xludf.DUMMYFUNCTION("""COMPUTED_VALUE"""),0)</f>
        <v>0</v>
      </c>
      <c r="AU36" s="2">
        <f ca="1">IFERROR(__xludf.DUMMYFUNCTION("""COMPUTED_VALUE"""),0)</f>
        <v>0</v>
      </c>
      <c r="AV36" s="2">
        <f ca="1">IFERROR(__xludf.DUMMYFUNCTION("""COMPUTED_VALUE"""),0)</f>
        <v>0</v>
      </c>
      <c r="AW36" s="2">
        <f ca="1">IFERROR(__xludf.DUMMYFUNCTION("""COMPUTED_VALUE"""),0)</f>
        <v>0</v>
      </c>
      <c r="AY36" s="2">
        <f t="shared" ca="1" si="0"/>
        <v>8</v>
      </c>
      <c r="AZ36" s="2" t="e">
        <f ca="1">IF(NOT(COUNTA(D36:J36)), _xludf.IFS(AL36="W", 'Round Bonuses'!$F$14, AL36="X", 'Round Bonuses'!$F$13, AK36="X", 'Round Bonuses'!$F$12, AJ36="X", 'Round Bonuses'!$F$11, AI36="X", 'Round Bonuses'!$F$10, AH36="X", 'Round Bonuses'!$F$9, AG36="X", 'Round Bonuses'!$F$8, AF36="X", 'Round Bonuses'!$F$7, AE36="X", 'Round Bonuses'!$F$6, AD36="X", 'Round Bonuses'!$F$5, AC36="X", 'Round Bonuses'!$F$4, AB36="X", 'Round Bonuses'!$F$3, TRUE, 0), IF(AA36="X", _xludf.IFS(AD36="X", 'Round Bonuses'!$E$4, AF36="X",'Round Bonuses'!$E$6,TRUE, 'Round Bonuses'!$E$7), 0) +IF(AB36="X", 'Round Bonuses'!$E$3, 0)+IF(AC36="X",'Round Bonuses'!$E$4, 0)+IF(AD36="X", 'Round Bonuses'!$E$5, 0)+IF(AE36="X", 'Round Bonuses'!$E$6, 0)+IF(AF36="X", 'Round Bonuses'!$E$7, 0)+IF(AG36="X", 'Round Bonuses'!$E$8, 0)+_xludf.IFS(AL36="W", 'Round Bonuses'!$G$14, AL36="X", 'Round Bonuses'!$G$13, AK36="X", 'Round Bonuses'!$G$12, AJ36="X", 'Round Bonuses'!$G$11, AI36="X", 'Round Bonuses'!$G$10, AH36="X", 'Round Bonuses'!$G$9, TRUE, 0))+_xludf.IFS(N36="W", 'Round Bonuses'!$C$13, N36="X", 'Round Bonuses'!$C$12, M36="X", 'Round Bonuses'!$C$11, L36="X", 'Round Bonuses'!$C$10, K36="X", 'Round Bonuses'!$C$9, J36="X", 'Round Bonuses'!$C$8, I36="X", 'Round Bonuses'!$C$7, H36="X", 'Round Bonuses'!$C$6, G36="X", 'Round Bonuses'!$C$5, F36="X", 'Round Bonuses'!$C$4, E36="X", 'Round Bonuses'!$C$3, D36="X", 'Round Bonuses'!$C$3, TRUE, 0)</f>
        <v>#NAME?</v>
      </c>
      <c r="BA36" s="2">
        <f t="shared" ca="1" si="1"/>
        <v>15.3325</v>
      </c>
      <c r="BB36" s="10" t="e">
        <f t="shared" ca="1" si="2"/>
        <v>#NAME?</v>
      </c>
      <c r="BD36" s="11" t="str">
        <f t="shared" ca="1" si="3"/>
        <v>Borussia Mönchengladbach</v>
      </c>
      <c r="BE36" s="2" t="str">
        <f t="shared" ca="1" si="4"/>
        <v>Germany</v>
      </c>
      <c r="BF36" s="2" t="e">
        <f t="shared" ca="1" si="5"/>
        <v>#NAME?</v>
      </c>
      <c r="BG36" s="2">
        <f t="shared" ca="1" si="6"/>
        <v>8</v>
      </c>
      <c r="BH36" s="2" t="s">
        <v>65</v>
      </c>
      <c r="BI36" s="2" t="s">
        <v>66</v>
      </c>
      <c r="BJ36" s="7">
        <v>8.6213461538461527</v>
      </c>
      <c r="BK36" s="2">
        <v>13</v>
      </c>
      <c r="BL36" s="2">
        <f t="shared" si="10"/>
        <v>34</v>
      </c>
      <c r="BM36" s="2" t="str">
        <f t="shared" si="7"/>
        <v>Rangers</v>
      </c>
      <c r="BN36" s="7">
        <f t="shared" ref="BN36:BO36" si="43">BJ36</f>
        <v>8.6213461538461527</v>
      </c>
      <c r="BO36" s="2">
        <f t="shared" si="43"/>
        <v>13</v>
      </c>
      <c r="BS36" s="2" t="str">
        <f t="shared" si="9"/>
        <v>Scotland</v>
      </c>
    </row>
    <row r="37" spans="1:71" ht="13.8" x14ac:dyDescent="0.45">
      <c r="A37" s="2" t="str">
        <f ca="1">IFERROR(__xludf.DUMMYFUNCTION("""COMPUTED_VALUE"""),"Botoșani")</f>
        <v>Botoșani</v>
      </c>
      <c r="B37" s="2">
        <f ca="1">IFERROR(__xludf.DUMMYFUNCTION("""COMPUTED_VALUE"""),0.679999999999999)</f>
        <v>0.67999999999999905</v>
      </c>
      <c r="C37" s="2" t="str">
        <f ca="1">IFERROR(__xludf.DUMMYFUNCTION("""COMPUTED_VALUE"""),"Romania")</f>
        <v>Romania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5">
        <f ca="1">IFERROR(__xludf.DUMMYFUNCTION("""COMPUTED_VALUE"""),0)</f>
        <v>0</v>
      </c>
      <c r="P37" s="2">
        <f ca="1">IFERROR(__xludf.DUMMYFUNCTION("""COMPUTED_VALUE"""),0)</f>
        <v>0</v>
      </c>
      <c r="Q37" s="2">
        <f ca="1">IFERROR(__xludf.DUMMYFUNCTION("""COMPUTED_VALUE"""),0)</f>
        <v>0</v>
      </c>
      <c r="R37" s="2">
        <f ca="1">IFERROR(__xludf.DUMMYFUNCTION("""COMPUTED_VALUE"""),0)</f>
        <v>0</v>
      </c>
      <c r="S37" s="2">
        <f ca="1">IFERROR(__xludf.DUMMYFUNCTION("""COMPUTED_VALUE"""),0)</f>
        <v>0</v>
      </c>
      <c r="T37" s="2">
        <f ca="1">IFERROR(__xludf.DUMMYFUNCTION("""COMPUTED_VALUE"""),0)</f>
        <v>0</v>
      </c>
      <c r="U37" s="2">
        <f ca="1">IFERROR(__xludf.DUMMYFUNCTION("""COMPUTED_VALUE"""),0)</f>
        <v>0</v>
      </c>
      <c r="V37" s="2">
        <f ca="1">IFERROR(__xludf.DUMMYFUNCTION("""COMPUTED_VALUE"""),0)</f>
        <v>0</v>
      </c>
      <c r="W37" s="2">
        <f ca="1">IFERROR(__xludf.DUMMYFUNCTION("""COMPUTED_VALUE"""),0)</f>
        <v>0</v>
      </c>
      <c r="X37" s="2">
        <f ca="1">IFERROR(__xludf.DUMMYFUNCTION("""COMPUTED_VALUE"""),0)</f>
        <v>0</v>
      </c>
      <c r="Y37" s="2">
        <f ca="1">IFERROR(__xludf.DUMMYFUNCTION("""COMPUTED_VALUE"""),0)</f>
        <v>0</v>
      </c>
      <c r="AB37" s="2"/>
      <c r="AC37" s="2" t="str">
        <f ca="1">IFERROR(__xludf.DUMMYFUNCTION("""COMPUTED_VALUE"""),"X")</f>
        <v>X</v>
      </c>
      <c r="AD37" s="2" t="str">
        <f ca="1">IFERROR(__xludf.DUMMYFUNCTION("""COMPUTED_VALUE"""),"X")</f>
        <v>X</v>
      </c>
      <c r="AE37" s="2"/>
      <c r="AF37" s="2"/>
      <c r="AG37" s="2"/>
      <c r="AH37" s="2"/>
      <c r="AI37" s="2"/>
      <c r="AJ37" s="2"/>
      <c r="AK37" s="2"/>
      <c r="AL37" s="2"/>
      <c r="AM37" s="2">
        <f ca="1">IFERROR(__xludf.DUMMYFUNCTION("""COMPUTED_VALUE"""),0)</f>
        <v>0</v>
      </c>
      <c r="AN37" s="2">
        <f ca="1">IFERROR(__xludf.DUMMYFUNCTION("""COMPUTED_VALUE"""),3.0525)</f>
        <v>3.0525000000000002</v>
      </c>
      <c r="AO37" s="2">
        <f ca="1">IFERROR(__xludf.DUMMYFUNCTION("""COMPUTED_VALUE"""),0.514999999999999)</f>
        <v>0.51499999999999901</v>
      </c>
      <c r="AP37" s="2">
        <f ca="1">IFERROR(__xludf.DUMMYFUNCTION("""COMPUTED_VALUE"""),0)</f>
        <v>0</v>
      </c>
      <c r="AQ37" s="2">
        <f ca="1">IFERROR(__xludf.DUMMYFUNCTION("""COMPUTED_VALUE"""),0)</f>
        <v>0</v>
      </c>
      <c r="AR37" s="2">
        <f ca="1">IFERROR(__xludf.DUMMYFUNCTION("""COMPUTED_VALUE"""),0)</f>
        <v>0</v>
      </c>
      <c r="AS37" s="2">
        <f ca="1">IFERROR(__xludf.DUMMYFUNCTION("""COMPUTED_VALUE"""),0)</f>
        <v>0</v>
      </c>
      <c r="AT37" s="2">
        <f ca="1">IFERROR(__xludf.DUMMYFUNCTION("""COMPUTED_VALUE"""),0)</f>
        <v>0</v>
      </c>
      <c r="AU37" s="2">
        <f ca="1">IFERROR(__xludf.DUMMYFUNCTION("""COMPUTED_VALUE"""),0)</f>
        <v>0</v>
      </c>
      <c r="AV37" s="2">
        <f ca="1">IFERROR(__xludf.DUMMYFUNCTION("""COMPUTED_VALUE"""),0)</f>
        <v>0</v>
      </c>
      <c r="AW37" s="2">
        <f ca="1">IFERROR(__xludf.DUMMYFUNCTION("""COMPUTED_VALUE"""),0)</f>
        <v>0</v>
      </c>
      <c r="AY37" s="2">
        <f t="shared" ca="1" si="0"/>
        <v>2</v>
      </c>
      <c r="AZ37" s="2" t="e">
        <f ca="1">IF(NOT(COUNTA(D37:J37)), _xludf.IFS(AL37="W", 'Round Bonuses'!$F$14, AL37="X", 'Round Bonuses'!$F$13, AK37="X", 'Round Bonuses'!$F$12, AJ37="X", 'Round Bonuses'!$F$11, AI37="X", 'Round Bonuses'!$F$10, AH37="X", 'Round Bonuses'!$F$9, AG37="X", 'Round Bonuses'!$F$8, AF37="X", 'Round Bonuses'!$F$7, AE37="X", 'Round Bonuses'!$F$6, AD37="X", 'Round Bonuses'!$F$5, AC37="X", 'Round Bonuses'!$F$4, AB37="X", 'Round Bonuses'!$F$3, TRUE, 0), IF(AA37="X", _xludf.IFS(AD37="X", 'Round Bonuses'!$E$4, AF37="X",'Round Bonuses'!$E$6,TRUE, 'Round Bonuses'!$E$7), 0) +IF(AB37="X", 'Round Bonuses'!$E$3, 0)+IF(AC37="X",'Round Bonuses'!$E$4, 0)+IF(AD37="X", 'Round Bonuses'!$E$5, 0)+IF(AE37="X", 'Round Bonuses'!$E$6, 0)+IF(AF37="X", 'Round Bonuses'!$E$7, 0)+IF(AG37="X", 'Round Bonuses'!$E$8, 0)+_xludf.IFS(AL37="W", 'Round Bonuses'!$G$14, AL37="X", 'Round Bonuses'!$G$13, AK37="X", 'Round Bonuses'!$G$12, AJ37="X", 'Round Bonuses'!$G$11, AI37="X", 'Round Bonuses'!$G$10, AH37="X", 'Round Bonuses'!$G$9, TRUE, 0))+_xludf.IFS(N37="W", 'Round Bonuses'!$C$13, N37="X", 'Round Bonuses'!$C$12, M37="X", 'Round Bonuses'!$C$11, L37="X", 'Round Bonuses'!$C$10, K37="X", 'Round Bonuses'!$C$9, J37="X", 'Round Bonuses'!$C$8, I37="X", 'Round Bonuses'!$C$7, H37="X", 'Round Bonuses'!$C$6, G37="X", 'Round Bonuses'!$C$5, F37="X", 'Round Bonuses'!$C$4, E37="X", 'Round Bonuses'!$C$3, D37="X", 'Round Bonuses'!$C$3, TRUE, 0)</f>
        <v>#NAME?</v>
      </c>
      <c r="BA37" s="2">
        <f t="shared" ca="1" si="1"/>
        <v>3.567499999999999</v>
      </c>
      <c r="BB37" s="10" t="e">
        <f t="shared" ca="1" si="2"/>
        <v>#NAME?</v>
      </c>
      <c r="BD37" s="11" t="str">
        <f t="shared" ca="1" si="3"/>
        <v>Botoșani</v>
      </c>
      <c r="BE37" s="2" t="str">
        <f t="shared" ca="1" si="4"/>
        <v>Romania</v>
      </c>
      <c r="BF37" s="2" t="e">
        <f t="shared" ca="1" si="5"/>
        <v>#NAME?</v>
      </c>
      <c r="BG37" s="2">
        <f t="shared" ca="1" si="6"/>
        <v>2</v>
      </c>
      <c r="BH37" s="2" t="s">
        <v>67</v>
      </c>
      <c r="BI37" s="2" t="s">
        <v>68</v>
      </c>
      <c r="BJ37" s="7">
        <v>8.5380769230769218</v>
      </c>
      <c r="BK37" s="2">
        <v>13</v>
      </c>
      <c r="BL37" s="2">
        <f t="shared" si="10"/>
        <v>35</v>
      </c>
      <c r="BM37" s="2" t="str">
        <f t="shared" si="7"/>
        <v>Maccabi Tel Aviv</v>
      </c>
      <c r="BN37" s="7">
        <f t="shared" ref="BN37:BO37" si="44">BJ37</f>
        <v>8.5380769230769218</v>
      </c>
      <c r="BO37" s="2">
        <f t="shared" si="44"/>
        <v>13</v>
      </c>
      <c r="BS37" s="2" t="str">
        <f t="shared" si="9"/>
        <v>Israel</v>
      </c>
    </row>
    <row r="38" spans="1:71" ht="13.8" x14ac:dyDescent="0.45">
      <c r="A38" s="2" t="str">
        <f ca="1">IFERROR(__xludf.DUMMYFUNCTION("""COMPUTED_VALUE"""),"Braga")</f>
        <v>Braga</v>
      </c>
      <c r="B38" s="2">
        <f ca="1">IFERROR(__xludf.DUMMYFUNCTION("""COMPUTED_VALUE"""),0.909999999999999)</f>
        <v>0.90999999999999903</v>
      </c>
      <c r="C38" s="2" t="str">
        <f ca="1">IFERROR(__xludf.DUMMYFUNCTION("""COMPUTED_VALUE"""),"Portugal")</f>
        <v>Portugal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5">
        <f ca="1">IFERROR(__xludf.DUMMYFUNCTION("""COMPUTED_VALUE"""),0)</f>
        <v>0</v>
      </c>
      <c r="P38" s="2">
        <f ca="1">IFERROR(__xludf.DUMMYFUNCTION("""COMPUTED_VALUE"""),0)</f>
        <v>0</v>
      </c>
      <c r="Q38" s="2">
        <f ca="1">IFERROR(__xludf.DUMMYFUNCTION("""COMPUTED_VALUE"""),0)</f>
        <v>0</v>
      </c>
      <c r="R38" s="2">
        <f ca="1">IFERROR(__xludf.DUMMYFUNCTION("""COMPUTED_VALUE"""),0)</f>
        <v>0</v>
      </c>
      <c r="S38" s="2">
        <f ca="1">IFERROR(__xludf.DUMMYFUNCTION("""COMPUTED_VALUE"""),0)</f>
        <v>0</v>
      </c>
      <c r="T38" s="2">
        <f ca="1">IFERROR(__xludf.DUMMYFUNCTION("""COMPUTED_VALUE"""),0)</f>
        <v>0</v>
      </c>
      <c r="U38" s="2">
        <f ca="1">IFERROR(__xludf.DUMMYFUNCTION("""COMPUTED_VALUE"""),0)</f>
        <v>0</v>
      </c>
      <c r="V38" s="2">
        <f ca="1">IFERROR(__xludf.DUMMYFUNCTION("""COMPUTED_VALUE"""),0)</f>
        <v>0</v>
      </c>
      <c r="W38" s="2">
        <f ca="1">IFERROR(__xludf.DUMMYFUNCTION("""COMPUTED_VALUE"""),0)</f>
        <v>0</v>
      </c>
      <c r="X38" s="2">
        <f ca="1">IFERROR(__xludf.DUMMYFUNCTION("""COMPUTED_VALUE"""),0)</f>
        <v>0</v>
      </c>
      <c r="Y38" s="2">
        <f ca="1">IFERROR(__xludf.DUMMYFUNCTION("""COMPUTED_VALUE"""),0)</f>
        <v>0</v>
      </c>
      <c r="AB38" s="2"/>
      <c r="AC38" s="2"/>
      <c r="AD38" s="2"/>
      <c r="AE38" s="2"/>
      <c r="AF38" s="2"/>
      <c r="AG38" s="2" t="str">
        <f ca="1">IFERROR(__xludf.DUMMYFUNCTION("""COMPUTED_VALUE"""),"X")</f>
        <v>X</v>
      </c>
      <c r="AH38" s="2" t="str">
        <f ca="1">IFERROR(__xludf.DUMMYFUNCTION("""COMPUTED_VALUE"""),"X")</f>
        <v>X</v>
      </c>
      <c r="AI38" s="2"/>
      <c r="AJ38" s="2"/>
      <c r="AK38" s="2"/>
      <c r="AL38" s="2"/>
      <c r="AM38" s="2">
        <f ca="1">IFERROR(__xludf.DUMMYFUNCTION("""COMPUTED_VALUE"""),0)</f>
        <v>0</v>
      </c>
      <c r="AN38" s="2">
        <f ca="1">IFERROR(__xludf.DUMMYFUNCTION("""COMPUTED_VALUE"""),0)</f>
        <v>0</v>
      </c>
      <c r="AO38" s="2">
        <f ca="1">IFERROR(__xludf.DUMMYFUNCTION("""COMPUTED_VALUE"""),0)</f>
        <v>0</v>
      </c>
      <c r="AP38" s="2">
        <f ca="1">IFERROR(__xludf.DUMMYFUNCTION("""COMPUTED_VALUE"""),0)</f>
        <v>0</v>
      </c>
      <c r="AQ38" s="2">
        <f ca="1">IFERROR(__xludf.DUMMYFUNCTION("""COMPUTED_VALUE"""),0)</f>
        <v>0</v>
      </c>
      <c r="AR38" s="2">
        <f ca="1">IFERROR(__xludf.DUMMYFUNCTION("""COMPUTED_VALUE"""),17.01875)</f>
        <v>17.018750000000001</v>
      </c>
      <c r="AS38" s="2">
        <f ca="1">IFERROR(__xludf.DUMMYFUNCTION("""COMPUTED_VALUE"""),1.35999999999999)</f>
        <v>1.3599999999999901</v>
      </c>
      <c r="AT38" s="2">
        <f ca="1">IFERROR(__xludf.DUMMYFUNCTION("""COMPUTED_VALUE"""),0)</f>
        <v>0</v>
      </c>
      <c r="AU38" s="2">
        <f ca="1">IFERROR(__xludf.DUMMYFUNCTION("""COMPUTED_VALUE"""),0)</f>
        <v>0</v>
      </c>
      <c r="AV38" s="2">
        <f ca="1">IFERROR(__xludf.DUMMYFUNCTION("""COMPUTED_VALUE"""),0)</f>
        <v>0</v>
      </c>
      <c r="AW38" s="2">
        <f ca="1">IFERROR(__xludf.DUMMYFUNCTION("""COMPUTED_VALUE"""),0)</f>
        <v>0</v>
      </c>
      <c r="AY38" s="2">
        <f t="shared" ca="1" si="0"/>
        <v>8</v>
      </c>
      <c r="AZ38" s="2" t="e">
        <f ca="1">IF(NOT(COUNTA(D38:J38)), _xludf.IFS(AL38="W", 'Round Bonuses'!$F$14, AL38="X", 'Round Bonuses'!$F$13, AK38="X", 'Round Bonuses'!$F$12, AJ38="X", 'Round Bonuses'!$F$11, AI38="X", 'Round Bonuses'!$F$10, AH38="X", 'Round Bonuses'!$F$9, AG38="X", 'Round Bonuses'!$F$8, AF38="X", 'Round Bonuses'!$F$7, AE38="X", 'Round Bonuses'!$F$6, AD38="X", 'Round Bonuses'!$F$5, AC38="X", 'Round Bonuses'!$F$4, AB38="X", 'Round Bonuses'!$F$3, TRUE, 0), IF(AA38="X", _xludf.IFS(AD38="X", 'Round Bonuses'!$E$4, AF38="X",'Round Bonuses'!$E$6,TRUE, 'Round Bonuses'!$E$7), 0) +IF(AB38="X", 'Round Bonuses'!$E$3, 0)+IF(AC38="X",'Round Bonuses'!$E$4, 0)+IF(AD38="X", 'Round Bonuses'!$E$5, 0)+IF(AE38="X", 'Round Bonuses'!$E$6, 0)+IF(AF38="X", 'Round Bonuses'!$E$7, 0)+IF(AG38="X", 'Round Bonuses'!$E$8, 0)+_xludf.IFS(AL38="W", 'Round Bonuses'!$G$14, AL38="X", 'Round Bonuses'!$G$13, AK38="X", 'Round Bonuses'!$G$12, AJ38="X", 'Round Bonuses'!$G$11, AI38="X", 'Round Bonuses'!$G$10, AH38="X", 'Round Bonuses'!$G$9, TRUE, 0))+_xludf.IFS(N38="W", 'Round Bonuses'!$C$13, N38="X", 'Round Bonuses'!$C$12, M38="X", 'Round Bonuses'!$C$11, L38="X", 'Round Bonuses'!$C$10, K38="X", 'Round Bonuses'!$C$9, J38="X", 'Round Bonuses'!$C$8, I38="X", 'Round Bonuses'!$C$7, H38="X", 'Round Bonuses'!$C$6, G38="X", 'Round Bonuses'!$C$5, F38="X", 'Round Bonuses'!$C$4, E38="X", 'Round Bonuses'!$C$3, D38="X", 'Round Bonuses'!$C$3, TRUE, 0)</f>
        <v>#NAME?</v>
      </c>
      <c r="BA38" s="2">
        <f t="shared" ca="1" si="1"/>
        <v>18.378749999999989</v>
      </c>
      <c r="BB38" s="10" t="e">
        <f t="shared" ca="1" si="2"/>
        <v>#NAME?</v>
      </c>
      <c r="BD38" s="11" t="str">
        <f t="shared" ca="1" si="3"/>
        <v>Braga</v>
      </c>
      <c r="BE38" s="2" t="str">
        <f t="shared" ca="1" si="4"/>
        <v>Portugal</v>
      </c>
      <c r="BF38" s="2" t="e">
        <f t="shared" ca="1" si="5"/>
        <v>#NAME?</v>
      </c>
      <c r="BG38" s="2">
        <f t="shared" ca="1" si="6"/>
        <v>8</v>
      </c>
      <c r="BH38" s="2" t="s">
        <v>69</v>
      </c>
      <c r="BI38" s="2" t="s">
        <v>70</v>
      </c>
      <c r="BJ38" s="7">
        <v>8.459249999999999</v>
      </c>
      <c r="BK38" s="2">
        <v>10</v>
      </c>
      <c r="BL38" s="2">
        <f t="shared" si="10"/>
        <v>36</v>
      </c>
      <c r="BM38" s="2" t="str">
        <f t="shared" si="7"/>
        <v>Midtjylland</v>
      </c>
      <c r="BN38" s="7">
        <f t="shared" ref="BN38:BO38" si="45">BJ38</f>
        <v>8.459249999999999</v>
      </c>
      <c r="BO38" s="2">
        <f t="shared" si="45"/>
        <v>10</v>
      </c>
      <c r="BS38" s="2" t="str">
        <f t="shared" si="9"/>
        <v>Denmark</v>
      </c>
    </row>
    <row r="39" spans="1:71" ht="13.8" x14ac:dyDescent="0.45">
      <c r="A39" s="2" t="str">
        <f ca="1">IFERROR(__xludf.DUMMYFUNCTION("""COMPUTED_VALUE"""),"Breiðablik")</f>
        <v>Breiðablik</v>
      </c>
      <c r="B39" s="2">
        <f ca="1">IFERROR(__xludf.DUMMYFUNCTION("""COMPUTED_VALUE"""),0.6)</f>
        <v>0.6</v>
      </c>
      <c r="C39" s="2" t="str">
        <f ca="1">IFERROR(__xludf.DUMMYFUNCTION("""COMPUTED_VALUE"""),"Iceland")</f>
        <v>Iceland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5">
        <f ca="1">IFERROR(__xludf.DUMMYFUNCTION("""COMPUTED_VALUE"""),0)</f>
        <v>0</v>
      </c>
      <c r="P39" s="2">
        <f ca="1">IFERROR(__xludf.DUMMYFUNCTION("""COMPUTED_VALUE"""),0)</f>
        <v>0</v>
      </c>
      <c r="Q39" s="2">
        <f ca="1">IFERROR(__xludf.DUMMYFUNCTION("""COMPUTED_VALUE"""),0)</f>
        <v>0</v>
      </c>
      <c r="R39" s="2">
        <f ca="1">IFERROR(__xludf.DUMMYFUNCTION("""COMPUTED_VALUE"""),0)</f>
        <v>0</v>
      </c>
      <c r="S39" s="2">
        <f ca="1">IFERROR(__xludf.DUMMYFUNCTION("""COMPUTED_VALUE"""),0)</f>
        <v>0</v>
      </c>
      <c r="T39" s="2">
        <f ca="1">IFERROR(__xludf.DUMMYFUNCTION("""COMPUTED_VALUE"""),0)</f>
        <v>0</v>
      </c>
      <c r="U39" s="2">
        <f ca="1">IFERROR(__xludf.DUMMYFUNCTION("""COMPUTED_VALUE"""),0)</f>
        <v>0</v>
      </c>
      <c r="V39" s="2">
        <f ca="1">IFERROR(__xludf.DUMMYFUNCTION("""COMPUTED_VALUE"""),0)</f>
        <v>0</v>
      </c>
      <c r="W39" s="2">
        <f ca="1">IFERROR(__xludf.DUMMYFUNCTION("""COMPUTED_VALUE"""),0)</f>
        <v>0</v>
      </c>
      <c r="X39" s="2">
        <f ca="1">IFERROR(__xludf.DUMMYFUNCTION("""COMPUTED_VALUE"""),0)</f>
        <v>0</v>
      </c>
      <c r="Y39" s="2">
        <f ca="1">IFERROR(__xludf.DUMMYFUNCTION("""COMPUTED_VALUE"""),0)</f>
        <v>0</v>
      </c>
      <c r="AB39" s="2"/>
      <c r="AC39" s="2" t="str">
        <f ca="1">IFERROR(__xludf.DUMMYFUNCTION("""COMPUTED_VALUE"""),"X")</f>
        <v>X</v>
      </c>
      <c r="AD39" s="2"/>
      <c r="AE39" s="2"/>
      <c r="AF39" s="2"/>
      <c r="AG39" s="2"/>
      <c r="AH39" s="2"/>
      <c r="AI39" s="2"/>
      <c r="AJ39" s="2"/>
      <c r="AK39" s="2"/>
      <c r="AL39" s="2"/>
      <c r="AM39" s="2">
        <f ca="1">IFERROR(__xludf.DUMMYFUNCTION("""COMPUTED_VALUE"""),0)</f>
        <v>0</v>
      </c>
      <c r="AN39" s="2">
        <f ca="1">IFERROR(__xludf.DUMMYFUNCTION("""COMPUTED_VALUE"""),0.5)</f>
        <v>0.5</v>
      </c>
      <c r="AO39" s="2">
        <f ca="1">IFERROR(__xludf.DUMMYFUNCTION("""COMPUTED_VALUE"""),0)</f>
        <v>0</v>
      </c>
      <c r="AP39" s="2">
        <f ca="1">IFERROR(__xludf.DUMMYFUNCTION("""COMPUTED_VALUE"""),0)</f>
        <v>0</v>
      </c>
      <c r="AQ39" s="2">
        <f ca="1">IFERROR(__xludf.DUMMYFUNCTION("""COMPUTED_VALUE"""),0)</f>
        <v>0</v>
      </c>
      <c r="AR39" s="2">
        <f ca="1">IFERROR(__xludf.DUMMYFUNCTION("""COMPUTED_VALUE"""),0)</f>
        <v>0</v>
      </c>
      <c r="AS39" s="2">
        <f ca="1">IFERROR(__xludf.DUMMYFUNCTION("""COMPUTED_VALUE"""),0)</f>
        <v>0</v>
      </c>
      <c r="AT39" s="2">
        <f ca="1">IFERROR(__xludf.DUMMYFUNCTION("""COMPUTED_VALUE"""),0)</f>
        <v>0</v>
      </c>
      <c r="AU39" s="2">
        <f ca="1">IFERROR(__xludf.DUMMYFUNCTION("""COMPUTED_VALUE"""),0)</f>
        <v>0</v>
      </c>
      <c r="AV39" s="2">
        <f ca="1">IFERROR(__xludf.DUMMYFUNCTION("""COMPUTED_VALUE"""),0)</f>
        <v>0</v>
      </c>
      <c r="AW39" s="2">
        <f ca="1">IFERROR(__xludf.DUMMYFUNCTION("""COMPUTED_VALUE"""),0)</f>
        <v>0</v>
      </c>
      <c r="AY39" s="2">
        <f t="shared" ca="1" si="0"/>
        <v>1</v>
      </c>
      <c r="AZ39" s="2" t="e">
        <f ca="1">IF(NOT(COUNTA(D39:J39)), _xludf.IFS(AL39="W", 'Round Bonuses'!$F$14, AL39="X", 'Round Bonuses'!$F$13, AK39="X", 'Round Bonuses'!$F$12, AJ39="X", 'Round Bonuses'!$F$11, AI39="X", 'Round Bonuses'!$F$10, AH39="X", 'Round Bonuses'!$F$9, AG39="X", 'Round Bonuses'!$F$8, AF39="X", 'Round Bonuses'!$F$7, AE39="X", 'Round Bonuses'!$F$6, AD39="X", 'Round Bonuses'!$F$5, AC39="X", 'Round Bonuses'!$F$4, AB39="X", 'Round Bonuses'!$F$3, TRUE, 0), IF(AA39="X", _xludf.IFS(AD39="X", 'Round Bonuses'!$E$4, AF39="X",'Round Bonuses'!$E$6,TRUE, 'Round Bonuses'!$E$7), 0) +IF(AB39="X", 'Round Bonuses'!$E$3, 0)+IF(AC39="X",'Round Bonuses'!$E$4, 0)+IF(AD39="X", 'Round Bonuses'!$E$5, 0)+IF(AE39="X", 'Round Bonuses'!$E$6, 0)+IF(AF39="X", 'Round Bonuses'!$E$7, 0)+IF(AG39="X", 'Round Bonuses'!$E$8, 0)+_xludf.IFS(AL39="W", 'Round Bonuses'!$G$14, AL39="X", 'Round Bonuses'!$G$13, AK39="X", 'Round Bonuses'!$G$12, AJ39="X", 'Round Bonuses'!$G$11, AI39="X", 'Round Bonuses'!$G$10, AH39="X", 'Round Bonuses'!$G$9, TRUE, 0))+_xludf.IFS(N39="W", 'Round Bonuses'!$C$13, N39="X", 'Round Bonuses'!$C$12, M39="X", 'Round Bonuses'!$C$11, L39="X", 'Round Bonuses'!$C$10, K39="X", 'Round Bonuses'!$C$9, J39="X", 'Round Bonuses'!$C$8, I39="X", 'Round Bonuses'!$C$7, H39="X", 'Round Bonuses'!$C$6, G39="X", 'Round Bonuses'!$C$5, F39="X", 'Round Bonuses'!$C$4, E39="X", 'Round Bonuses'!$C$3, D39="X", 'Round Bonuses'!$C$3, TRUE, 0)</f>
        <v>#NAME?</v>
      </c>
      <c r="BA39" s="2">
        <f t="shared" ca="1" si="1"/>
        <v>0.5</v>
      </c>
      <c r="BB39" s="10" t="e">
        <f t="shared" ca="1" si="2"/>
        <v>#NAME?</v>
      </c>
      <c r="BD39" s="11" t="str">
        <f t="shared" ca="1" si="3"/>
        <v>Breiðablik</v>
      </c>
      <c r="BE39" s="2" t="str">
        <f t="shared" ca="1" si="4"/>
        <v>Iceland</v>
      </c>
      <c r="BF39" s="2" t="e">
        <f t="shared" ca="1" si="5"/>
        <v>#NAME?</v>
      </c>
      <c r="BG39" s="2">
        <f t="shared" ca="1" si="6"/>
        <v>1</v>
      </c>
      <c r="BH39" s="2" t="s">
        <v>71</v>
      </c>
      <c r="BI39" s="2" t="s">
        <v>33</v>
      </c>
      <c r="BJ39" s="7">
        <v>8.4235416666666669</v>
      </c>
      <c r="BK39" s="2">
        <v>6</v>
      </c>
      <c r="BL39" s="2">
        <f t="shared" si="10"/>
        <v>37</v>
      </c>
      <c r="BM39" s="2" t="str">
        <f t="shared" si="7"/>
        <v>Inter Milan</v>
      </c>
      <c r="BN39" s="7">
        <f t="shared" ref="BN39:BO39" si="46">BJ39</f>
        <v>8.4235416666666669</v>
      </c>
      <c r="BO39" s="2">
        <f t="shared" si="46"/>
        <v>6</v>
      </c>
      <c r="BS39" s="2" t="str">
        <f t="shared" si="9"/>
        <v>Italy</v>
      </c>
    </row>
    <row r="40" spans="1:71" ht="13.8" x14ac:dyDescent="0.45">
      <c r="A40" s="2" t="str">
        <f ca="1">IFERROR(__xludf.DUMMYFUNCTION("""COMPUTED_VALUE"""),"Budućnost Podgorica")</f>
        <v>Budućnost Podgorica</v>
      </c>
      <c r="B40" s="2">
        <f ca="1">IFERROR(__xludf.DUMMYFUNCTION("""COMPUTED_VALUE"""),0.51)</f>
        <v>0.51</v>
      </c>
      <c r="C40" s="2" t="str">
        <f ca="1">IFERROR(__xludf.DUMMYFUNCTION("""COMPUTED_VALUE"""),"Montenegro")</f>
        <v>Montenegro</v>
      </c>
      <c r="D40" s="2"/>
      <c r="E40" s="2"/>
      <c r="F40" s="2" t="str">
        <f ca="1">IFERROR(__xludf.DUMMYFUNCTION("""COMPUTED_VALUE"""),"X")</f>
        <v>X</v>
      </c>
      <c r="G40" s="2"/>
      <c r="H40" s="2"/>
      <c r="I40" s="2"/>
      <c r="J40" s="2"/>
      <c r="K40" s="2"/>
      <c r="L40" s="2"/>
      <c r="M40" s="2"/>
      <c r="N40" s="2"/>
      <c r="O40" s="5">
        <f ca="1">IFERROR(__xludf.DUMMYFUNCTION("""COMPUTED_VALUE"""),0)</f>
        <v>0</v>
      </c>
      <c r="P40" s="2">
        <f ca="1">IFERROR(__xludf.DUMMYFUNCTION("""COMPUTED_VALUE"""),0)</f>
        <v>0</v>
      </c>
      <c r="Q40" s="2">
        <f ca="1">IFERROR(__xludf.DUMMYFUNCTION("""COMPUTED_VALUE"""),0.47)</f>
        <v>0.47</v>
      </c>
      <c r="R40" s="2">
        <f ca="1">IFERROR(__xludf.DUMMYFUNCTION("""COMPUTED_VALUE"""),0)</f>
        <v>0</v>
      </c>
      <c r="S40" s="2">
        <f ca="1">IFERROR(__xludf.DUMMYFUNCTION("""COMPUTED_VALUE"""),0)</f>
        <v>0</v>
      </c>
      <c r="T40" s="2">
        <f ca="1">IFERROR(__xludf.DUMMYFUNCTION("""COMPUTED_VALUE"""),0)</f>
        <v>0</v>
      </c>
      <c r="U40" s="2">
        <f ca="1">IFERROR(__xludf.DUMMYFUNCTION("""COMPUTED_VALUE"""),0)</f>
        <v>0</v>
      </c>
      <c r="V40" s="2">
        <f ca="1">IFERROR(__xludf.DUMMYFUNCTION("""COMPUTED_VALUE"""),0)</f>
        <v>0</v>
      </c>
      <c r="W40" s="2">
        <f ca="1">IFERROR(__xludf.DUMMYFUNCTION("""COMPUTED_VALUE"""),0)</f>
        <v>0</v>
      </c>
      <c r="X40" s="2">
        <f ca="1">IFERROR(__xludf.DUMMYFUNCTION("""COMPUTED_VALUE"""),0)</f>
        <v>0</v>
      </c>
      <c r="Y40" s="2">
        <f ca="1">IFERROR(__xludf.DUMMYFUNCTION("""COMPUTED_VALUE"""),0)</f>
        <v>0</v>
      </c>
      <c r="AB40" s="2"/>
      <c r="AC40" s="2"/>
      <c r="AD40" s="2" t="str">
        <f ca="1">IFERROR(__xludf.DUMMYFUNCTION("""COMPUTED_VALUE"""),"X")</f>
        <v>X</v>
      </c>
      <c r="AE40" s="2" t="str">
        <f ca="1">IFERROR(__xludf.DUMMYFUNCTION("""COMPUTED_VALUE"""),"X")</f>
        <v>X</v>
      </c>
      <c r="AF40" s="2"/>
      <c r="AG40" s="2"/>
      <c r="AH40" s="2"/>
      <c r="AI40" s="2"/>
      <c r="AJ40" s="2"/>
      <c r="AK40" s="2"/>
      <c r="AL40" s="2"/>
      <c r="AM40" s="2">
        <f ca="1">IFERROR(__xludf.DUMMYFUNCTION("""COMPUTED_VALUE"""),0)</f>
        <v>0</v>
      </c>
      <c r="AN40" s="2">
        <f ca="1">IFERROR(__xludf.DUMMYFUNCTION("""COMPUTED_VALUE"""),0)</f>
        <v>0</v>
      </c>
      <c r="AO40" s="2">
        <f ca="1">IFERROR(__xludf.DUMMYFUNCTION("""COMPUTED_VALUE"""),3.135)</f>
        <v>3.1349999999999998</v>
      </c>
      <c r="AP40" s="2">
        <f ca="1">IFERROR(__xludf.DUMMYFUNCTION("""COMPUTED_VALUE"""),0.475)</f>
        <v>0.47499999999999998</v>
      </c>
      <c r="AQ40" s="2">
        <f ca="1">IFERROR(__xludf.DUMMYFUNCTION("""COMPUTED_VALUE"""),0)</f>
        <v>0</v>
      </c>
      <c r="AR40" s="2">
        <f ca="1">IFERROR(__xludf.DUMMYFUNCTION("""COMPUTED_VALUE"""),0)</f>
        <v>0</v>
      </c>
      <c r="AS40" s="2">
        <f ca="1">IFERROR(__xludf.DUMMYFUNCTION("""COMPUTED_VALUE"""),0)</f>
        <v>0</v>
      </c>
      <c r="AT40" s="2">
        <f ca="1">IFERROR(__xludf.DUMMYFUNCTION("""COMPUTED_VALUE"""),0)</f>
        <v>0</v>
      </c>
      <c r="AU40" s="2">
        <f ca="1">IFERROR(__xludf.DUMMYFUNCTION("""COMPUTED_VALUE"""),0)</f>
        <v>0</v>
      </c>
      <c r="AV40" s="2">
        <f ca="1">IFERROR(__xludf.DUMMYFUNCTION("""COMPUTED_VALUE"""),0)</f>
        <v>0</v>
      </c>
      <c r="AW40" s="2">
        <f ca="1">IFERROR(__xludf.DUMMYFUNCTION("""COMPUTED_VALUE"""),0)</f>
        <v>0</v>
      </c>
      <c r="AY40" s="2">
        <f t="shared" ca="1" si="0"/>
        <v>3</v>
      </c>
      <c r="AZ40" s="2" t="e">
        <f ca="1">IF(NOT(COUNTA(D40:J40)), _xludf.IFS(AL40="W", 'Round Bonuses'!$F$14, AL40="X", 'Round Bonuses'!$F$13, AK40="X", 'Round Bonuses'!$F$12, AJ40="X", 'Round Bonuses'!$F$11, AI40="X", 'Round Bonuses'!$F$10, AH40="X", 'Round Bonuses'!$F$9, AG40="X", 'Round Bonuses'!$F$8, AF40="X", 'Round Bonuses'!$F$7, AE40="X", 'Round Bonuses'!$F$6, AD40="X", 'Round Bonuses'!$F$5, AC40="X", 'Round Bonuses'!$F$4, AB40="X", 'Round Bonuses'!$F$3, TRUE, 0), IF(AA40="X", _xludf.IFS(AD40="X", 'Round Bonuses'!$E$4, AF40="X",'Round Bonuses'!$E$6,TRUE, 'Round Bonuses'!$E$7), 0) +IF(AB40="X", 'Round Bonuses'!$E$3, 0)+IF(AC40="X",'Round Bonuses'!$E$4, 0)+IF(AD40="X", 'Round Bonuses'!$E$5, 0)+IF(AE40="X", 'Round Bonuses'!$E$6, 0)+IF(AF40="X", 'Round Bonuses'!$E$7, 0)+IF(AG40="X", 'Round Bonuses'!$E$8, 0)+_xludf.IFS(AL40="W", 'Round Bonuses'!$G$14, AL40="X", 'Round Bonuses'!$G$13, AK40="X", 'Round Bonuses'!$G$12, AJ40="X", 'Round Bonuses'!$G$11, AI40="X", 'Round Bonuses'!$G$10, AH40="X", 'Round Bonuses'!$G$9, TRUE, 0))+_xludf.IFS(N40="W", 'Round Bonuses'!$C$13, N40="X", 'Round Bonuses'!$C$12, M40="X", 'Round Bonuses'!$C$11, L40="X", 'Round Bonuses'!$C$10, K40="X", 'Round Bonuses'!$C$9, J40="X", 'Round Bonuses'!$C$8, I40="X", 'Round Bonuses'!$C$7, H40="X", 'Round Bonuses'!$C$6, G40="X", 'Round Bonuses'!$C$5, F40="X", 'Round Bonuses'!$C$4, E40="X", 'Round Bonuses'!$C$3, D40="X", 'Round Bonuses'!$C$3, TRUE, 0)</f>
        <v>#NAME?</v>
      </c>
      <c r="BA40" s="2">
        <f t="shared" ca="1" si="1"/>
        <v>4.08</v>
      </c>
      <c r="BB40" s="10" t="e">
        <f t="shared" ca="1" si="2"/>
        <v>#NAME?</v>
      </c>
      <c r="BD40" s="11" t="str">
        <f t="shared" ca="1" si="3"/>
        <v>Budućnost Podgorica</v>
      </c>
      <c r="BE40" s="2" t="str">
        <f t="shared" ca="1" si="4"/>
        <v>Montenegro</v>
      </c>
      <c r="BF40" s="2" t="e">
        <f t="shared" ca="1" si="5"/>
        <v>#NAME?</v>
      </c>
      <c r="BG40" s="2">
        <f t="shared" ca="1" si="6"/>
        <v>3</v>
      </c>
      <c r="BH40" s="2" t="s">
        <v>72</v>
      </c>
      <c r="BI40" s="2" t="s">
        <v>73</v>
      </c>
      <c r="BJ40" s="7">
        <v>8.2637499999999999</v>
      </c>
      <c r="BK40" s="2">
        <v>11</v>
      </c>
      <c r="BL40" s="2">
        <f t="shared" si="10"/>
        <v>38</v>
      </c>
      <c r="BM40" s="2" t="str">
        <f t="shared" si="7"/>
        <v>Ferencváros</v>
      </c>
      <c r="BN40" s="7">
        <f t="shared" ref="BN40:BO40" si="47">BJ40</f>
        <v>8.2637499999999999</v>
      </c>
      <c r="BO40" s="2">
        <f t="shared" si="47"/>
        <v>11</v>
      </c>
      <c r="BS40" s="2" t="str">
        <f t="shared" si="9"/>
        <v>Hungary</v>
      </c>
    </row>
    <row r="41" spans="1:71" ht="13.8" x14ac:dyDescent="0.45">
      <c r="A41" s="2" t="str">
        <f ca="1">IFERROR(__xludf.DUMMYFUNCTION("""COMPUTED_VALUE"""),"Celje")</f>
        <v>Celje</v>
      </c>
      <c r="B41" s="2">
        <f ca="1">IFERROR(__xludf.DUMMYFUNCTION("""COMPUTED_VALUE"""),0.69)</f>
        <v>0.69</v>
      </c>
      <c r="C41" s="2" t="str">
        <f ca="1">IFERROR(__xludf.DUMMYFUNCTION("""COMPUTED_VALUE"""),"Slovenia")</f>
        <v>Slovenia</v>
      </c>
      <c r="D41" s="2"/>
      <c r="E41" s="2"/>
      <c r="F41" s="2" t="str">
        <f ca="1">IFERROR(__xludf.DUMMYFUNCTION("""COMPUTED_VALUE"""),"X")</f>
        <v>X</v>
      </c>
      <c r="G41" s="2" t="str">
        <f ca="1">IFERROR(__xludf.DUMMYFUNCTION("""COMPUTED_VALUE"""),"X")</f>
        <v>X</v>
      </c>
      <c r="H41" s="2"/>
      <c r="I41" s="2"/>
      <c r="J41" s="2"/>
      <c r="K41" s="2"/>
      <c r="L41" s="2"/>
      <c r="M41" s="2"/>
      <c r="N41" s="2"/>
      <c r="O41" s="5">
        <f ca="1">IFERROR(__xludf.DUMMYFUNCTION("""COMPUTED_VALUE"""),0)</f>
        <v>0</v>
      </c>
      <c r="P41" s="2">
        <f ca="1">IFERROR(__xludf.DUMMYFUNCTION("""COMPUTED_VALUE"""),0)</f>
        <v>0</v>
      </c>
      <c r="Q41" s="2">
        <f ca="1">IFERROR(__xludf.DUMMYFUNCTION("""COMPUTED_VALUE"""),2.75625)</f>
        <v>2.7562500000000001</v>
      </c>
      <c r="R41" s="2">
        <f ca="1">IFERROR(__xludf.DUMMYFUNCTION("""COMPUTED_VALUE"""),0.645)</f>
        <v>0.64500000000000002</v>
      </c>
      <c r="S41" s="2">
        <f ca="1">IFERROR(__xludf.DUMMYFUNCTION("""COMPUTED_VALUE"""),0)</f>
        <v>0</v>
      </c>
      <c r="T41" s="2">
        <f ca="1">IFERROR(__xludf.DUMMYFUNCTION("""COMPUTED_VALUE"""),0)</f>
        <v>0</v>
      </c>
      <c r="U41" s="2">
        <f ca="1">IFERROR(__xludf.DUMMYFUNCTION("""COMPUTED_VALUE"""),0)</f>
        <v>0</v>
      </c>
      <c r="V41" s="2">
        <f ca="1">IFERROR(__xludf.DUMMYFUNCTION("""COMPUTED_VALUE"""),0)</f>
        <v>0</v>
      </c>
      <c r="W41" s="2">
        <f ca="1">IFERROR(__xludf.DUMMYFUNCTION("""COMPUTED_VALUE"""),0)</f>
        <v>0</v>
      </c>
      <c r="X41" s="2">
        <f ca="1">IFERROR(__xludf.DUMMYFUNCTION("""COMPUTED_VALUE"""),0)</f>
        <v>0</v>
      </c>
      <c r="Y41" s="2">
        <f ca="1">IFERROR(__xludf.DUMMYFUNCTION("""COMPUTED_VALUE"""),0)</f>
        <v>0</v>
      </c>
      <c r="AB41" s="2"/>
      <c r="AC41" s="2"/>
      <c r="AD41" s="2"/>
      <c r="AE41" s="2" t="str">
        <f ca="1">IFERROR(__xludf.DUMMYFUNCTION("""COMPUTED_VALUE"""),"X")</f>
        <v>X</v>
      </c>
      <c r="AF41" s="2"/>
      <c r="AG41" s="2"/>
      <c r="AH41" s="2"/>
      <c r="AI41" s="2"/>
      <c r="AJ41" s="2"/>
      <c r="AK41" s="2"/>
      <c r="AL41" s="2"/>
      <c r="AM41" s="2">
        <f ca="1">IFERROR(__xludf.DUMMYFUNCTION("""COMPUTED_VALUE"""),0)</f>
        <v>0</v>
      </c>
      <c r="AN41" s="2">
        <f ca="1">IFERROR(__xludf.DUMMYFUNCTION("""COMPUTED_VALUE"""),0)</f>
        <v>0</v>
      </c>
      <c r="AO41" s="2">
        <f ca="1">IFERROR(__xludf.DUMMYFUNCTION("""COMPUTED_VALUE"""),0)</f>
        <v>0</v>
      </c>
      <c r="AP41" s="2">
        <f ca="1">IFERROR(__xludf.DUMMYFUNCTION("""COMPUTED_VALUE"""),0.435)</f>
        <v>0.435</v>
      </c>
      <c r="AQ41" s="2">
        <f ca="1">IFERROR(__xludf.DUMMYFUNCTION("""COMPUTED_VALUE"""),0)</f>
        <v>0</v>
      </c>
      <c r="AR41" s="2">
        <f ca="1">IFERROR(__xludf.DUMMYFUNCTION("""COMPUTED_VALUE"""),0)</f>
        <v>0</v>
      </c>
      <c r="AS41" s="2">
        <f ca="1">IFERROR(__xludf.DUMMYFUNCTION("""COMPUTED_VALUE"""),0)</f>
        <v>0</v>
      </c>
      <c r="AT41" s="2">
        <f ca="1">IFERROR(__xludf.DUMMYFUNCTION("""COMPUTED_VALUE"""),0)</f>
        <v>0</v>
      </c>
      <c r="AU41" s="2">
        <f ca="1">IFERROR(__xludf.DUMMYFUNCTION("""COMPUTED_VALUE"""),0)</f>
        <v>0</v>
      </c>
      <c r="AV41" s="2">
        <f ca="1">IFERROR(__xludf.DUMMYFUNCTION("""COMPUTED_VALUE"""),0)</f>
        <v>0</v>
      </c>
      <c r="AW41" s="2">
        <f ca="1">IFERROR(__xludf.DUMMYFUNCTION("""COMPUTED_VALUE"""),0)</f>
        <v>0</v>
      </c>
      <c r="AY41" s="2">
        <f t="shared" ca="1" si="0"/>
        <v>3</v>
      </c>
      <c r="AZ41" s="2" t="e">
        <f ca="1">IF(NOT(COUNTA(D41:J41)), _xludf.IFS(AL41="W", 'Round Bonuses'!$F$14, AL41="X", 'Round Bonuses'!$F$13, AK41="X", 'Round Bonuses'!$F$12, AJ41="X", 'Round Bonuses'!$F$11, AI41="X", 'Round Bonuses'!$F$10, AH41="X", 'Round Bonuses'!$F$9, AG41="X", 'Round Bonuses'!$F$8, AF41="X", 'Round Bonuses'!$F$7, AE41="X", 'Round Bonuses'!$F$6, AD41="X", 'Round Bonuses'!$F$5, AC41="X", 'Round Bonuses'!$F$4, AB41="X", 'Round Bonuses'!$F$3, TRUE, 0), IF(AA41="X", _xludf.IFS(AD41="X", 'Round Bonuses'!$E$4, AF41="X",'Round Bonuses'!$E$6,TRUE, 'Round Bonuses'!$E$7), 0) +IF(AB41="X", 'Round Bonuses'!$E$3, 0)+IF(AC41="X",'Round Bonuses'!$E$4, 0)+IF(AD41="X", 'Round Bonuses'!$E$5, 0)+IF(AE41="X", 'Round Bonuses'!$E$6, 0)+IF(AF41="X", 'Round Bonuses'!$E$7, 0)+IF(AG41="X", 'Round Bonuses'!$E$8, 0)+_xludf.IFS(AL41="W", 'Round Bonuses'!$G$14, AL41="X", 'Round Bonuses'!$G$13, AK41="X", 'Round Bonuses'!$G$12, AJ41="X", 'Round Bonuses'!$G$11, AI41="X", 'Round Bonuses'!$G$10, AH41="X", 'Round Bonuses'!$G$9, TRUE, 0))+_xludf.IFS(N41="W", 'Round Bonuses'!$C$13, N41="X", 'Round Bonuses'!$C$12, M41="X", 'Round Bonuses'!$C$11, L41="X", 'Round Bonuses'!$C$10, K41="X", 'Round Bonuses'!$C$9, J41="X", 'Round Bonuses'!$C$8, I41="X", 'Round Bonuses'!$C$7, H41="X", 'Round Bonuses'!$C$6, G41="X", 'Round Bonuses'!$C$5, F41="X", 'Round Bonuses'!$C$4, E41="X", 'Round Bonuses'!$C$3, D41="X", 'Round Bonuses'!$C$3, TRUE, 0)</f>
        <v>#NAME?</v>
      </c>
      <c r="BA41" s="2">
        <f t="shared" ca="1" si="1"/>
        <v>3.8362500000000002</v>
      </c>
      <c r="BB41" s="10" t="e">
        <f t="shared" ca="1" si="2"/>
        <v>#NAME?</v>
      </c>
      <c r="BD41" s="11" t="str">
        <f t="shared" ca="1" si="3"/>
        <v>Celje</v>
      </c>
      <c r="BE41" s="2" t="str">
        <f t="shared" ca="1" si="4"/>
        <v>Slovenia</v>
      </c>
      <c r="BF41" s="2" t="e">
        <f t="shared" ca="1" si="5"/>
        <v>#NAME?</v>
      </c>
      <c r="BG41" s="2">
        <f t="shared" ca="1" si="6"/>
        <v>3</v>
      </c>
      <c r="BH41" s="2" t="s">
        <v>74</v>
      </c>
      <c r="BI41" s="2" t="s">
        <v>33</v>
      </c>
      <c r="BJ41" s="7">
        <v>8.1971153846153832</v>
      </c>
      <c r="BK41" s="2">
        <v>13</v>
      </c>
      <c r="BL41" s="2">
        <f t="shared" si="10"/>
        <v>39</v>
      </c>
      <c r="BM41" s="2" t="str">
        <f t="shared" si="7"/>
        <v>Milan</v>
      </c>
      <c r="BN41" s="7">
        <f t="shared" ref="BN41:BO41" si="48">BJ41</f>
        <v>8.1971153846153832</v>
      </c>
      <c r="BO41" s="2">
        <f t="shared" si="48"/>
        <v>13</v>
      </c>
      <c r="BS41" s="2" t="str">
        <f t="shared" si="9"/>
        <v>Italy</v>
      </c>
    </row>
    <row r="42" spans="1:71" ht="13.8" x14ac:dyDescent="0.45">
      <c r="A42" s="2" t="str">
        <f ca="1">IFERROR(__xludf.DUMMYFUNCTION("""COMPUTED_VALUE"""),"Celtic")</f>
        <v>Celtic</v>
      </c>
      <c r="B42" s="2">
        <f ca="1">IFERROR(__xludf.DUMMYFUNCTION("""COMPUTED_VALUE"""),0.8)</f>
        <v>0.8</v>
      </c>
      <c r="C42" s="2" t="str">
        <f ca="1">IFERROR(__xludf.DUMMYFUNCTION("""COMPUTED_VALUE"""),"Scotland")</f>
        <v>Scotland</v>
      </c>
      <c r="D42" s="2"/>
      <c r="E42" s="2"/>
      <c r="F42" s="2" t="str">
        <f ca="1">IFERROR(__xludf.DUMMYFUNCTION("""COMPUTED_VALUE"""),"X")</f>
        <v>X</v>
      </c>
      <c r="G42" s="2" t="str">
        <f ca="1">IFERROR(__xludf.DUMMYFUNCTION("""COMPUTED_VALUE"""),"X")</f>
        <v>X</v>
      </c>
      <c r="H42" s="2"/>
      <c r="I42" s="2"/>
      <c r="J42" s="2"/>
      <c r="K42" s="2"/>
      <c r="L42" s="2"/>
      <c r="M42" s="2"/>
      <c r="N42" s="2"/>
      <c r="O42" s="5">
        <f ca="1">IFERROR(__xludf.DUMMYFUNCTION("""COMPUTED_VALUE"""),0)</f>
        <v>0</v>
      </c>
      <c r="P42" s="2">
        <f ca="1">IFERROR(__xludf.DUMMYFUNCTION("""COMPUTED_VALUE"""),0)</f>
        <v>0</v>
      </c>
      <c r="Q42" s="2">
        <f ca="1">IFERROR(__xludf.DUMMYFUNCTION("""COMPUTED_VALUE"""),2.8975)</f>
        <v>2.8975</v>
      </c>
      <c r="R42" s="2">
        <f ca="1">IFERROR(__xludf.DUMMYFUNCTION("""COMPUTED_VALUE"""),0.544999999999999)</f>
        <v>0.54499999999999904</v>
      </c>
      <c r="S42" s="2">
        <f ca="1">IFERROR(__xludf.DUMMYFUNCTION("""COMPUTED_VALUE"""),0)</f>
        <v>0</v>
      </c>
      <c r="T42" s="2">
        <f ca="1">IFERROR(__xludf.DUMMYFUNCTION("""COMPUTED_VALUE"""),0)</f>
        <v>0</v>
      </c>
      <c r="U42" s="2">
        <f ca="1">IFERROR(__xludf.DUMMYFUNCTION("""COMPUTED_VALUE"""),0)</f>
        <v>0</v>
      </c>
      <c r="V42" s="2">
        <f ca="1">IFERROR(__xludf.DUMMYFUNCTION("""COMPUTED_VALUE"""),0)</f>
        <v>0</v>
      </c>
      <c r="W42" s="2">
        <f ca="1">IFERROR(__xludf.DUMMYFUNCTION("""COMPUTED_VALUE"""),0)</f>
        <v>0</v>
      </c>
      <c r="X42" s="2">
        <f ca="1">IFERROR(__xludf.DUMMYFUNCTION("""COMPUTED_VALUE"""),0)</f>
        <v>0</v>
      </c>
      <c r="Y42" s="2">
        <f ca="1">IFERROR(__xludf.DUMMYFUNCTION("""COMPUTED_VALUE"""),0)</f>
        <v>0</v>
      </c>
      <c r="AB42" s="2"/>
      <c r="AC42" s="2"/>
      <c r="AD42" s="2"/>
      <c r="AE42" s="2" t="str">
        <f ca="1">IFERROR(__xludf.DUMMYFUNCTION("""COMPUTED_VALUE"""),"X")</f>
        <v>X</v>
      </c>
      <c r="AF42" s="2" t="str">
        <f ca="1">IFERROR(__xludf.DUMMYFUNCTION("""COMPUTED_VALUE"""),"X")</f>
        <v>X</v>
      </c>
      <c r="AG42" s="2" t="str">
        <f ca="1">IFERROR(__xludf.DUMMYFUNCTION("""COMPUTED_VALUE"""),"X")</f>
        <v>X</v>
      </c>
      <c r="AH42" s="2"/>
      <c r="AI42" s="2"/>
      <c r="AJ42" s="2"/>
      <c r="AK42" s="2"/>
      <c r="AL42" s="2"/>
      <c r="AM42" s="2">
        <f ca="1">IFERROR(__xludf.DUMMYFUNCTION("""COMPUTED_VALUE"""),0)</f>
        <v>0</v>
      </c>
      <c r="AN42" s="2">
        <f ca="1">IFERROR(__xludf.DUMMYFUNCTION("""COMPUTED_VALUE"""),0)</f>
        <v>0</v>
      </c>
      <c r="AO42" s="2">
        <f ca="1">IFERROR(__xludf.DUMMYFUNCTION("""COMPUTED_VALUE"""),0)</f>
        <v>0</v>
      </c>
      <c r="AP42" s="2">
        <f ca="1">IFERROR(__xludf.DUMMYFUNCTION("""COMPUTED_VALUE"""),2.3925)</f>
        <v>2.3925000000000001</v>
      </c>
      <c r="AQ42" s="2">
        <f ca="1">IFERROR(__xludf.DUMMYFUNCTION("""COMPUTED_VALUE"""),2.475)</f>
        <v>2.4750000000000001</v>
      </c>
      <c r="AR42" s="2">
        <f ca="1">IFERROR(__xludf.DUMMYFUNCTION("""COMPUTED_VALUE"""),7.90499999999999)</f>
        <v>7.9049999999999896</v>
      </c>
      <c r="AS42" s="2">
        <f ca="1">IFERROR(__xludf.DUMMYFUNCTION("""COMPUTED_VALUE"""),0)</f>
        <v>0</v>
      </c>
      <c r="AT42" s="2">
        <f ca="1">IFERROR(__xludf.DUMMYFUNCTION("""COMPUTED_VALUE"""),0)</f>
        <v>0</v>
      </c>
      <c r="AU42" s="2">
        <f ca="1">IFERROR(__xludf.DUMMYFUNCTION("""COMPUTED_VALUE"""),0)</f>
        <v>0</v>
      </c>
      <c r="AV42" s="2">
        <f ca="1">IFERROR(__xludf.DUMMYFUNCTION("""COMPUTED_VALUE"""),0)</f>
        <v>0</v>
      </c>
      <c r="AW42" s="2">
        <f ca="1">IFERROR(__xludf.DUMMYFUNCTION("""COMPUTED_VALUE"""),0)</f>
        <v>0</v>
      </c>
      <c r="AY42" s="2">
        <f t="shared" ca="1" si="0"/>
        <v>10</v>
      </c>
      <c r="AZ42" s="2" t="e">
        <f ca="1">IF(NOT(COUNTA(D42:J42)), _xludf.IFS(AL42="W", 'Round Bonuses'!$F$14, AL42="X", 'Round Bonuses'!$F$13, AK42="X", 'Round Bonuses'!$F$12, AJ42="X", 'Round Bonuses'!$F$11, AI42="X", 'Round Bonuses'!$F$10, AH42="X", 'Round Bonuses'!$F$9, AG42="X", 'Round Bonuses'!$F$8, AF42="X", 'Round Bonuses'!$F$7, AE42="X", 'Round Bonuses'!$F$6, AD42="X", 'Round Bonuses'!$F$5, AC42="X", 'Round Bonuses'!$F$4, AB42="X", 'Round Bonuses'!$F$3, TRUE, 0), IF(AA42="X", _xludf.IFS(AD42="X", 'Round Bonuses'!$E$4, AF42="X",'Round Bonuses'!$E$6,TRUE, 'Round Bonuses'!$E$7), 0) +IF(AB42="X", 'Round Bonuses'!$E$3, 0)+IF(AC42="X",'Round Bonuses'!$E$4, 0)+IF(AD42="X", 'Round Bonuses'!$E$5, 0)+IF(AE42="X", 'Round Bonuses'!$E$6, 0)+IF(AF42="X", 'Round Bonuses'!$E$7, 0)+IF(AG42="X", 'Round Bonuses'!$E$8, 0)+_xludf.IFS(AL42="W", 'Round Bonuses'!$G$14, AL42="X", 'Round Bonuses'!$G$13, AK42="X", 'Round Bonuses'!$G$12, AJ42="X", 'Round Bonuses'!$G$11, AI42="X", 'Round Bonuses'!$G$10, AH42="X", 'Round Bonuses'!$G$9, TRUE, 0))+_xludf.IFS(N42="W", 'Round Bonuses'!$C$13, N42="X", 'Round Bonuses'!$C$12, M42="X", 'Round Bonuses'!$C$11, L42="X", 'Round Bonuses'!$C$10, K42="X", 'Round Bonuses'!$C$9, J42="X", 'Round Bonuses'!$C$8, I42="X", 'Round Bonuses'!$C$7, H42="X", 'Round Bonuses'!$C$6, G42="X", 'Round Bonuses'!$C$5, F42="X", 'Round Bonuses'!$C$4, E42="X", 'Round Bonuses'!$C$3, D42="X", 'Round Bonuses'!$C$3, TRUE, 0)</f>
        <v>#NAME?</v>
      </c>
      <c r="BA42" s="2">
        <f t="shared" ca="1" si="1"/>
        <v>16.214999999999989</v>
      </c>
      <c r="BB42" s="10" t="e">
        <f t="shared" ca="1" si="2"/>
        <v>#NAME?</v>
      </c>
      <c r="BD42" s="11" t="str">
        <f t="shared" ca="1" si="3"/>
        <v>Celtic</v>
      </c>
      <c r="BE42" s="2" t="str">
        <f t="shared" ca="1" si="4"/>
        <v>Scotland</v>
      </c>
      <c r="BF42" s="2" t="e">
        <f t="shared" ca="1" si="5"/>
        <v>#NAME?</v>
      </c>
      <c r="BG42" s="2">
        <f t="shared" ca="1" si="6"/>
        <v>10</v>
      </c>
      <c r="BH42" s="2" t="s">
        <v>75</v>
      </c>
      <c r="BI42" s="2" t="s">
        <v>76</v>
      </c>
      <c r="BJ42" s="7">
        <v>8.1177083333333329</v>
      </c>
      <c r="BK42" s="2">
        <v>12</v>
      </c>
      <c r="BL42" s="2">
        <f t="shared" si="10"/>
        <v>40</v>
      </c>
      <c r="BM42" s="2" t="str">
        <f t="shared" si="7"/>
        <v>Red Star Belgrade</v>
      </c>
      <c r="BN42" s="7">
        <f t="shared" ref="BN42:BO42" si="49">BJ42</f>
        <v>8.1177083333333329</v>
      </c>
      <c r="BO42" s="2">
        <f t="shared" si="49"/>
        <v>12</v>
      </c>
      <c r="BS42" s="2" t="str">
        <f t="shared" si="9"/>
        <v>Serbia</v>
      </c>
    </row>
    <row r="43" spans="1:71" ht="13.8" x14ac:dyDescent="0.45">
      <c r="A43" s="2" t="str">
        <f ca="1">IFERROR(__xludf.DUMMYFUNCTION("""COMPUTED_VALUE"""),"CFR Cluj")</f>
        <v>CFR Cluj</v>
      </c>
      <c r="B43" s="2">
        <f ca="1">IFERROR(__xludf.DUMMYFUNCTION("""COMPUTED_VALUE"""),0.71)</f>
        <v>0.71</v>
      </c>
      <c r="C43" s="2" t="str">
        <f ca="1">IFERROR(__xludf.DUMMYFUNCTION("""COMPUTED_VALUE"""),"Romania")</f>
        <v>Romania</v>
      </c>
      <c r="D43" s="2"/>
      <c r="E43" s="2"/>
      <c r="F43" s="2" t="str">
        <f ca="1">IFERROR(__xludf.DUMMYFUNCTION("""COMPUTED_VALUE"""),"X")</f>
        <v>X</v>
      </c>
      <c r="G43" s="2" t="str">
        <f ca="1">IFERROR(__xludf.DUMMYFUNCTION("""COMPUTED_VALUE"""),"X")</f>
        <v>X</v>
      </c>
      <c r="H43" s="2"/>
      <c r="I43" s="2"/>
      <c r="J43" s="2"/>
      <c r="K43" s="2"/>
      <c r="L43" s="2"/>
      <c r="M43" s="2"/>
      <c r="N43" s="2"/>
      <c r="O43" s="5">
        <f ca="1">IFERROR(__xludf.DUMMYFUNCTION("""COMPUTED_VALUE"""),0)</f>
        <v>0</v>
      </c>
      <c r="P43" s="2">
        <f ca="1">IFERROR(__xludf.DUMMYFUNCTION("""COMPUTED_VALUE"""),0)</f>
        <v>0</v>
      </c>
      <c r="Q43" s="2">
        <f ca="1">IFERROR(__xludf.DUMMYFUNCTION("""COMPUTED_VALUE"""),2.3375)</f>
        <v>2.3374999999999999</v>
      </c>
      <c r="R43" s="2">
        <f ca="1">IFERROR(__xludf.DUMMYFUNCTION("""COMPUTED_VALUE"""),0.85)</f>
        <v>0.85</v>
      </c>
      <c r="S43" s="2">
        <f ca="1">IFERROR(__xludf.DUMMYFUNCTION("""COMPUTED_VALUE"""),0)</f>
        <v>0</v>
      </c>
      <c r="T43" s="2">
        <f ca="1">IFERROR(__xludf.DUMMYFUNCTION("""COMPUTED_VALUE"""),0)</f>
        <v>0</v>
      </c>
      <c r="U43" s="2">
        <f ca="1">IFERROR(__xludf.DUMMYFUNCTION("""COMPUTED_VALUE"""),0)</f>
        <v>0</v>
      </c>
      <c r="V43" s="2">
        <f ca="1">IFERROR(__xludf.DUMMYFUNCTION("""COMPUTED_VALUE"""),0)</f>
        <v>0</v>
      </c>
      <c r="W43" s="2">
        <f ca="1">IFERROR(__xludf.DUMMYFUNCTION("""COMPUTED_VALUE"""),0)</f>
        <v>0</v>
      </c>
      <c r="X43" s="2">
        <f ca="1">IFERROR(__xludf.DUMMYFUNCTION("""COMPUTED_VALUE"""),0)</f>
        <v>0</v>
      </c>
      <c r="Y43" s="2">
        <f ca="1">IFERROR(__xludf.DUMMYFUNCTION("""COMPUTED_VALUE"""),0)</f>
        <v>0</v>
      </c>
      <c r="AB43" s="2"/>
      <c r="AC43" s="2"/>
      <c r="AD43" s="2"/>
      <c r="AE43" s="2" t="str">
        <f ca="1">IFERROR(__xludf.DUMMYFUNCTION("""COMPUTED_VALUE"""),"X")</f>
        <v>X</v>
      </c>
      <c r="AF43" s="2" t="str">
        <f ca="1">IFERROR(__xludf.DUMMYFUNCTION("""COMPUTED_VALUE"""),"X")</f>
        <v>X</v>
      </c>
      <c r="AG43" s="2" t="str">
        <f ca="1">IFERROR(__xludf.DUMMYFUNCTION("""COMPUTED_VALUE"""),"X")</f>
        <v>X</v>
      </c>
      <c r="AH43" s="2"/>
      <c r="AI43" s="2"/>
      <c r="AJ43" s="2"/>
      <c r="AK43" s="2"/>
      <c r="AL43" s="2"/>
      <c r="AM43" s="2">
        <f ca="1">IFERROR(__xludf.DUMMYFUNCTION("""COMPUTED_VALUE"""),0)</f>
        <v>0</v>
      </c>
      <c r="AN43" s="2">
        <f ca="1">IFERROR(__xludf.DUMMYFUNCTION("""COMPUTED_VALUE"""),0)</f>
        <v>0</v>
      </c>
      <c r="AO43" s="2">
        <f ca="1">IFERROR(__xludf.DUMMYFUNCTION("""COMPUTED_VALUE"""),0)</f>
        <v>0</v>
      </c>
      <c r="AP43" s="2">
        <f ca="1">IFERROR(__xludf.DUMMYFUNCTION("""COMPUTED_VALUE"""),3.2175)</f>
        <v>3.2174999999999998</v>
      </c>
      <c r="AQ43" s="2">
        <f ca="1">IFERROR(__xludf.DUMMYFUNCTION("""COMPUTED_VALUE"""),2.635)</f>
        <v>2.6349999999999998</v>
      </c>
      <c r="AR43" s="2">
        <f ca="1">IFERROR(__xludf.DUMMYFUNCTION("""COMPUTED_VALUE"""),7.7875)</f>
        <v>7.7874999999999996</v>
      </c>
      <c r="AS43" s="2">
        <f ca="1">IFERROR(__xludf.DUMMYFUNCTION("""COMPUTED_VALUE"""),0)</f>
        <v>0</v>
      </c>
      <c r="AT43" s="2">
        <f ca="1">IFERROR(__xludf.DUMMYFUNCTION("""COMPUTED_VALUE"""),0)</f>
        <v>0</v>
      </c>
      <c r="AU43" s="2">
        <f ca="1">IFERROR(__xludf.DUMMYFUNCTION("""COMPUTED_VALUE"""),0)</f>
        <v>0</v>
      </c>
      <c r="AV43" s="2">
        <f ca="1">IFERROR(__xludf.DUMMYFUNCTION("""COMPUTED_VALUE"""),0)</f>
        <v>0</v>
      </c>
      <c r="AW43" s="2">
        <f ca="1">IFERROR(__xludf.DUMMYFUNCTION("""COMPUTED_VALUE"""),0)</f>
        <v>0</v>
      </c>
      <c r="AY43" s="2">
        <f t="shared" ca="1" si="0"/>
        <v>10</v>
      </c>
      <c r="AZ43" s="2" t="e">
        <f ca="1">IF(NOT(COUNTA(D43:J43)), _xludf.IFS(AL43="W", 'Round Bonuses'!$F$14, AL43="X", 'Round Bonuses'!$F$13, AK43="X", 'Round Bonuses'!$F$12, AJ43="X", 'Round Bonuses'!$F$11, AI43="X", 'Round Bonuses'!$F$10, AH43="X", 'Round Bonuses'!$F$9, AG43="X", 'Round Bonuses'!$F$8, AF43="X", 'Round Bonuses'!$F$7, AE43="X", 'Round Bonuses'!$F$6, AD43="X", 'Round Bonuses'!$F$5, AC43="X", 'Round Bonuses'!$F$4, AB43="X", 'Round Bonuses'!$F$3, TRUE, 0), IF(AA43="X", _xludf.IFS(AD43="X", 'Round Bonuses'!$E$4, AF43="X",'Round Bonuses'!$E$6,TRUE, 'Round Bonuses'!$E$7), 0) +IF(AB43="X", 'Round Bonuses'!$E$3, 0)+IF(AC43="X",'Round Bonuses'!$E$4, 0)+IF(AD43="X", 'Round Bonuses'!$E$5, 0)+IF(AE43="X", 'Round Bonuses'!$E$6, 0)+IF(AF43="X", 'Round Bonuses'!$E$7, 0)+IF(AG43="X", 'Round Bonuses'!$E$8, 0)+_xludf.IFS(AL43="W", 'Round Bonuses'!$G$14, AL43="X", 'Round Bonuses'!$G$13, AK43="X", 'Round Bonuses'!$G$12, AJ43="X", 'Round Bonuses'!$G$11, AI43="X", 'Round Bonuses'!$G$10, AH43="X", 'Round Bonuses'!$G$9, TRUE, 0))+_xludf.IFS(N43="W", 'Round Bonuses'!$C$13, N43="X", 'Round Bonuses'!$C$12, M43="X", 'Round Bonuses'!$C$11, L43="X", 'Round Bonuses'!$C$10, K43="X", 'Round Bonuses'!$C$9, J43="X", 'Round Bonuses'!$C$8, I43="X", 'Round Bonuses'!$C$7, H43="X", 'Round Bonuses'!$C$6, G43="X", 'Round Bonuses'!$C$5, F43="X", 'Round Bonuses'!$C$4, E43="X", 'Round Bonuses'!$C$3, D43="X", 'Round Bonuses'!$C$3, TRUE, 0)</f>
        <v>#NAME?</v>
      </c>
      <c r="BA43" s="2">
        <f t="shared" ca="1" si="1"/>
        <v>16.827500000000001</v>
      </c>
      <c r="BB43" s="10" t="e">
        <f t="shared" ca="1" si="2"/>
        <v>#NAME?</v>
      </c>
      <c r="BD43" s="11" t="str">
        <f t="shared" ca="1" si="3"/>
        <v>CFR Cluj</v>
      </c>
      <c r="BE43" s="2" t="str">
        <f t="shared" ca="1" si="4"/>
        <v>Romania</v>
      </c>
      <c r="BF43" s="2" t="e">
        <f t="shared" ca="1" si="5"/>
        <v>#NAME?</v>
      </c>
      <c r="BG43" s="2">
        <f t="shared" ca="1" si="6"/>
        <v>10</v>
      </c>
      <c r="BH43" s="2" t="s">
        <v>77</v>
      </c>
      <c r="BI43" s="2" t="s">
        <v>27</v>
      </c>
      <c r="BJ43" s="7">
        <v>7.9205555555555556</v>
      </c>
      <c r="BK43" s="2">
        <v>9</v>
      </c>
      <c r="BL43" s="2">
        <f t="shared" si="10"/>
        <v>41</v>
      </c>
      <c r="BM43" s="2" t="str">
        <f t="shared" si="7"/>
        <v>Benfica</v>
      </c>
      <c r="BN43" s="7">
        <f t="shared" ref="BN43:BO43" si="50">BJ43</f>
        <v>7.9205555555555556</v>
      </c>
      <c r="BO43" s="2">
        <f t="shared" si="50"/>
        <v>9</v>
      </c>
      <c r="BS43" s="2" t="str">
        <f t="shared" si="9"/>
        <v>Portugal</v>
      </c>
    </row>
    <row r="44" spans="1:71" ht="13.8" x14ac:dyDescent="0.45">
      <c r="A44" s="2" t="str">
        <f ca="1">IFERROR(__xludf.DUMMYFUNCTION("""COMPUTED_VALUE"""),"Charleroi")</f>
        <v>Charleroi</v>
      </c>
      <c r="B44" s="2">
        <f ca="1">IFERROR(__xludf.DUMMYFUNCTION("""COMPUTED_VALUE"""),0.9)</f>
        <v>0.9</v>
      </c>
      <c r="C44" s="2" t="str">
        <f ca="1">IFERROR(__xludf.DUMMYFUNCTION("""COMPUTED_VALUE"""),"Belgium")</f>
        <v>Belgium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5">
        <f ca="1">IFERROR(__xludf.DUMMYFUNCTION("""COMPUTED_VALUE"""),0)</f>
        <v>0</v>
      </c>
      <c r="P44" s="2">
        <f ca="1">IFERROR(__xludf.DUMMYFUNCTION("""COMPUTED_VALUE"""),0)</f>
        <v>0</v>
      </c>
      <c r="Q44" s="2">
        <f ca="1">IFERROR(__xludf.DUMMYFUNCTION("""COMPUTED_VALUE"""),0)</f>
        <v>0</v>
      </c>
      <c r="R44" s="2">
        <f ca="1">IFERROR(__xludf.DUMMYFUNCTION("""COMPUTED_VALUE"""),0)</f>
        <v>0</v>
      </c>
      <c r="S44" s="2">
        <f ca="1">IFERROR(__xludf.DUMMYFUNCTION("""COMPUTED_VALUE"""),0)</f>
        <v>0</v>
      </c>
      <c r="T44" s="2">
        <f ca="1">IFERROR(__xludf.DUMMYFUNCTION("""COMPUTED_VALUE"""),0)</f>
        <v>0</v>
      </c>
      <c r="U44" s="2">
        <f ca="1">IFERROR(__xludf.DUMMYFUNCTION("""COMPUTED_VALUE"""),0)</f>
        <v>0</v>
      </c>
      <c r="V44" s="2">
        <f ca="1">IFERROR(__xludf.DUMMYFUNCTION("""COMPUTED_VALUE"""),0)</f>
        <v>0</v>
      </c>
      <c r="W44" s="2">
        <f ca="1">IFERROR(__xludf.DUMMYFUNCTION("""COMPUTED_VALUE"""),0)</f>
        <v>0</v>
      </c>
      <c r="X44" s="2">
        <f ca="1">IFERROR(__xludf.DUMMYFUNCTION("""COMPUTED_VALUE"""),0)</f>
        <v>0</v>
      </c>
      <c r="Y44" s="2">
        <f ca="1">IFERROR(__xludf.DUMMYFUNCTION("""COMPUTED_VALUE"""),0)</f>
        <v>0</v>
      </c>
      <c r="AB44" s="2"/>
      <c r="AC44" s="2"/>
      <c r="AD44" s="2"/>
      <c r="AE44" s="2" t="str">
        <f ca="1">IFERROR(__xludf.DUMMYFUNCTION("""COMPUTED_VALUE"""),"X")</f>
        <v>X</v>
      </c>
      <c r="AF44" s="2" t="str">
        <f ca="1">IFERROR(__xludf.DUMMYFUNCTION("""COMPUTED_VALUE"""),"X")</f>
        <v>X</v>
      </c>
      <c r="AG44" s="2"/>
      <c r="AH44" s="2"/>
      <c r="AI44" s="2"/>
      <c r="AJ44" s="2"/>
      <c r="AK44" s="2"/>
      <c r="AL44" s="2"/>
      <c r="AM44" s="2">
        <f ca="1">IFERROR(__xludf.DUMMYFUNCTION("""COMPUTED_VALUE"""),0)</f>
        <v>0</v>
      </c>
      <c r="AN44" s="2">
        <f ca="1">IFERROR(__xludf.DUMMYFUNCTION("""COMPUTED_VALUE"""),0)</f>
        <v>0</v>
      </c>
      <c r="AO44" s="2">
        <f ca="1">IFERROR(__xludf.DUMMYFUNCTION("""COMPUTED_VALUE"""),0)</f>
        <v>0</v>
      </c>
      <c r="AP44" s="2">
        <f ca="1">IFERROR(__xludf.DUMMYFUNCTION("""COMPUTED_VALUE"""),3.3)</f>
        <v>3.3</v>
      </c>
      <c r="AQ44" s="2">
        <f ca="1">IFERROR(__xludf.DUMMYFUNCTION("""COMPUTED_VALUE"""),0.615)</f>
        <v>0.61499999999999999</v>
      </c>
      <c r="AR44" s="2">
        <f ca="1">IFERROR(__xludf.DUMMYFUNCTION("""COMPUTED_VALUE"""),0)</f>
        <v>0</v>
      </c>
      <c r="AS44" s="2">
        <f ca="1">IFERROR(__xludf.DUMMYFUNCTION("""COMPUTED_VALUE"""),0)</f>
        <v>0</v>
      </c>
      <c r="AT44" s="2">
        <f ca="1">IFERROR(__xludf.DUMMYFUNCTION("""COMPUTED_VALUE"""),0)</f>
        <v>0</v>
      </c>
      <c r="AU44" s="2">
        <f ca="1">IFERROR(__xludf.DUMMYFUNCTION("""COMPUTED_VALUE"""),0)</f>
        <v>0</v>
      </c>
      <c r="AV44" s="2">
        <f ca="1">IFERROR(__xludf.DUMMYFUNCTION("""COMPUTED_VALUE"""),0)</f>
        <v>0</v>
      </c>
      <c r="AW44" s="2">
        <f ca="1">IFERROR(__xludf.DUMMYFUNCTION("""COMPUTED_VALUE"""),0)</f>
        <v>0</v>
      </c>
      <c r="AY44" s="2">
        <f t="shared" ca="1" si="0"/>
        <v>2</v>
      </c>
      <c r="AZ44" s="2" t="e">
        <f ca="1">IF(NOT(COUNTA(D44:J44)), _xludf.IFS(AL44="W", 'Round Bonuses'!$F$14, AL44="X", 'Round Bonuses'!$F$13, AK44="X", 'Round Bonuses'!$F$12, AJ44="X", 'Round Bonuses'!$F$11, AI44="X", 'Round Bonuses'!$F$10, AH44="X", 'Round Bonuses'!$F$9, AG44="X", 'Round Bonuses'!$F$8, AF44="X", 'Round Bonuses'!$F$7, AE44="X", 'Round Bonuses'!$F$6, AD44="X", 'Round Bonuses'!$F$5, AC44="X", 'Round Bonuses'!$F$4, AB44="X", 'Round Bonuses'!$F$3, TRUE, 0), IF(AA44="X", _xludf.IFS(AD44="X", 'Round Bonuses'!$E$4, AF44="X",'Round Bonuses'!$E$6,TRUE, 'Round Bonuses'!$E$7), 0) +IF(AB44="X", 'Round Bonuses'!$E$3, 0)+IF(AC44="X",'Round Bonuses'!$E$4, 0)+IF(AD44="X", 'Round Bonuses'!$E$5, 0)+IF(AE44="X", 'Round Bonuses'!$E$6, 0)+IF(AF44="X", 'Round Bonuses'!$E$7, 0)+IF(AG44="X", 'Round Bonuses'!$E$8, 0)+_xludf.IFS(AL44="W", 'Round Bonuses'!$G$14, AL44="X", 'Round Bonuses'!$G$13, AK44="X", 'Round Bonuses'!$G$12, AJ44="X", 'Round Bonuses'!$G$11, AI44="X", 'Round Bonuses'!$G$10, AH44="X", 'Round Bonuses'!$G$9, TRUE, 0))+_xludf.IFS(N44="W", 'Round Bonuses'!$C$13, N44="X", 'Round Bonuses'!$C$12, M44="X", 'Round Bonuses'!$C$11, L44="X", 'Round Bonuses'!$C$10, K44="X", 'Round Bonuses'!$C$9, J44="X", 'Round Bonuses'!$C$8, I44="X", 'Round Bonuses'!$C$7, H44="X", 'Round Bonuses'!$C$6, G44="X", 'Round Bonuses'!$C$5, F44="X", 'Round Bonuses'!$C$4, E44="X", 'Round Bonuses'!$C$3, D44="X", 'Round Bonuses'!$C$3, TRUE, 0)</f>
        <v>#NAME?</v>
      </c>
      <c r="BA44" s="2">
        <f t="shared" ca="1" si="1"/>
        <v>3.915</v>
      </c>
      <c r="BB44" s="10" t="e">
        <f t="shared" ca="1" si="2"/>
        <v>#NAME?</v>
      </c>
      <c r="BD44" s="11" t="str">
        <f t="shared" ca="1" si="3"/>
        <v>Charleroi</v>
      </c>
      <c r="BE44" s="2" t="str">
        <f t="shared" ca="1" si="4"/>
        <v>Belgium</v>
      </c>
      <c r="BF44" s="2" t="e">
        <f t="shared" ca="1" si="5"/>
        <v>#NAME?</v>
      </c>
      <c r="BG44" s="2">
        <f t="shared" ca="1" si="6"/>
        <v>2</v>
      </c>
      <c r="BH44" s="2" t="s">
        <v>78</v>
      </c>
      <c r="BI44" s="2" t="s">
        <v>56</v>
      </c>
      <c r="BJ44" s="7">
        <v>7.9024999999999999</v>
      </c>
      <c r="BK44" s="2">
        <v>6</v>
      </c>
      <c r="BL44" s="2">
        <f t="shared" si="10"/>
        <v>42</v>
      </c>
      <c r="BM44" s="2" t="str">
        <f t="shared" si="7"/>
        <v>Lokomotiv Moscow</v>
      </c>
      <c r="BN44" s="7">
        <f t="shared" ref="BN44:BO44" si="51">BJ44</f>
        <v>7.9024999999999999</v>
      </c>
      <c r="BO44" s="2">
        <f t="shared" si="51"/>
        <v>6</v>
      </c>
      <c r="BS44" s="2" t="str">
        <f t="shared" si="9"/>
        <v>Russia</v>
      </c>
    </row>
    <row r="45" spans="1:71" ht="13.8" x14ac:dyDescent="0.45">
      <c r="A45" s="2" t="str">
        <f ca="1">IFERROR(__xludf.DUMMYFUNCTION("""COMPUTED_VALUE"""),"Chelsea")</f>
        <v>Chelsea</v>
      </c>
      <c r="B45" s="2">
        <f ca="1">IFERROR(__xludf.DUMMYFUNCTION("""COMPUTED_VALUE"""),0.95)</f>
        <v>0.95</v>
      </c>
      <c r="C45" s="2" t="str">
        <f ca="1">IFERROR(__xludf.DUMMYFUNCTION("""COMPUTED_VALUE"""),"England")</f>
        <v>England</v>
      </c>
      <c r="D45" s="2"/>
      <c r="E45" s="2"/>
      <c r="F45" s="2"/>
      <c r="G45" s="2"/>
      <c r="H45" s="2"/>
      <c r="I45" s="2"/>
      <c r="J45" s="2" t="str">
        <f ca="1">IFERROR(__xludf.DUMMYFUNCTION("""COMPUTED_VALUE"""),"X")</f>
        <v>X</v>
      </c>
      <c r="K45" s="2" t="str">
        <f ca="1">IFERROR(__xludf.DUMMYFUNCTION("""COMPUTED_VALUE"""),"X")</f>
        <v>X</v>
      </c>
      <c r="L45" s="2" t="str">
        <f ca="1">IFERROR(__xludf.DUMMYFUNCTION("""COMPUTED_VALUE"""),"X")</f>
        <v>X</v>
      </c>
      <c r="M45" s="2" t="str">
        <f ca="1">IFERROR(__xludf.DUMMYFUNCTION("""COMPUTED_VALUE"""),"X")</f>
        <v>X</v>
      </c>
      <c r="N45" s="2" t="str">
        <f ca="1">IFERROR(__xludf.DUMMYFUNCTION("""COMPUTED_VALUE"""),"W")</f>
        <v>W</v>
      </c>
      <c r="O45" s="5">
        <f ca="1">IFERROR(__xludf.DUMMYFUNCTION("""COMPUTED_VALUE"""),0)</f>
        <v>0</v>
      </c>
      <c r="P45" s="2">
        <f ca="1">IFERROR(__xludf.DUMMYFUNCTION("""COMPUTED_VALUE"""),0)</f>
        <v>0</v>
      </c>
      <c r="Q45" s="2">
        <f ca="1">IFERROR(__xludf.DUMMYFUNCTION("""COMPUTED_VALUE"""),0)</f>
        <v>0</v>
      </c>
      <c r="R45" s="2">
        <f ca="1">IFERROR(__xludf.DUMMYFUNCTION("""COMPUTED_VALUE"""),0)</f>
        <v>0</v>
      </c>
      <c r="S45" s="2">
        <f ca="1">IFERROR(__xludf.DUMMYFUNCTION("""COMPUTED_VALUE"""),0)</f>
        <v>0</v>
      </c>
      <c r="T45" s="2">
        <f ca="1">IFERROR(__xludf.DUMMYFUNCTION("""COMPUTED_VALUE"""),0)</f>
        <v>0</v>
      </c>
      <c r="U45" s="2">
        <f ca="1">IFERROR(__xludf.DUMMYFUNCTION("""COMPUTED_VALUE"""),20.125)</f>
        <v>20.125</v>
      </c>
      <c r="V45" s="2">
        <f ca="1">IFERROR(__xludf.DUMMYFUNCTION("""COMPUTED_VALUE"""),8.12375)</f>
        <v>8.1237499999999994</v>
      </c>
      <c r="W45" s="2">
        <f ca="1">IFERROR(__xludf.DUMMYFUNCTION("""COMPUTED_VALUE"""),4.75749999999999)</f>
        <v>4.7574999999999896</v>
      </c>
      <c r="X45" s="2">
        <f ca="1">IFERROR(__xludf.DUMMYFUNCTION("""COMPUTED_VALUE"""),6.1875)</f>
        <v>6.1875</v>
      </c>
      <c r="Y45" s="2">
        <f ca="1">IFERROR(__xludf.DUMMYFUNCTION("""COMPUTED_VALUE"""),0)</f>
        <v>0</v>
      </c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>
        <f ca="1">IFERROR(__xludf.DUMMYFUNCTION("""COMPUTED_VALUE"""),0)</f>
        <v>0</v>
      </c>
      <c r="AN45" s="2">
        <f ca="1">IFERROR(__xludf.DUMMYFUNCTION("""COMPUTED_VALUE"""),0)</f>
        <v>0</v>
      </c>
      <c r="AO45" s="2">
        <f ca="1">IFERROR(__xludf.DUMMYFUNCTION("""COMPUTED_VALUE"""),0)</f>
        <v>0</v>
      </c>
      <c r="AP45" s="2">
        <f ca="1">IFERROR(__xludf.DUMMYFUNCTION("""COMPUTED_VALUE"""),0)</f>
        <v>0</v>
      </c>
      <c r="AQ45" s="2">
        <f ca="1">IFERROR(__xludf.DUMMYFUNCTION("""COMPUTED_VALUE"""),0)</f>
        <v>0</v>
      </c>
      <c r="AR45" s="2">
        <f ca="1">IFERROR(__xludf.DUMMYFUNCTION("""COMPUTED_VALUE"""),0)</f>
        <v>0</v>
      </c>
      <c r="AS45" s="2">
        <f ca="1">IFERROR(__xludf.DUMMYFUNCTION("""COMPUTED_VALUE"""),0)</f>
        <v>0</v>
      </c>
      <c r="AT45" s="2">
        <f ca="1">IFERROR(__xludf.DUMMYFUNCTION("""COMPUTED_VALUE"""),0)</f>
        <v>0</v>
      </c>
      <c r="AU45" s="2">
        <f ca="1">IFERROR(__xludf.DUMMYFUNCTION("""COMPUTED_VALUE"""),0)</f>
        <v>0</v>
      </c>
      <c r="AV45" s="2">
        <f ca="1">IFERROR(__xludf.DUMMYFUNCTION("""COMPUTED_VALUE"""),0)</f>
        <v>0</v>
      </c>
      <c r="AW45" s="2">
        <f ca="1">IFERROR(__xludf.DUMMYFUNCTION("""COMPUTED_VALUE"""),0)</f>
        <v>0</v>
      </c>
      <c r="AY45" s="2">
        <f t="shared" ca="1" si="0"/>
        <v>13</v>
      </c>
      <c r="AZ45" s="2" t="e">
        <f ca="1">IF(NOT(COUNTA(D45:J45)), _xludf.IFS(AL45="W", 'Round Bonuses'!$F$14, AL45="X", 'Round Bonuses'!$F$13, AK45="X", 'Round Bonuses'!$F$12, AJ45="X", 'Round Bonuses'!$F$11, AI45="X", 'Round Bonuses'!$F$10, AH45="X", 'Round Bonuses'!$F$9, AG45="X", 'Round Bonuses'!$F$8, AF45="X", 'Round Bonuses'!$F$7, AE45="X", 'Round Bonuses'!$F$6, AD45="X", 'Round Bonuses'!$F$5, AC45="X", 'Round Bonuses'!$F$4, AB45="X", 'Round Bonuses'!$F$3, TRUE, 0), IF(AA45="X", _xludf.IFS(AD45="X", 'Round Bonuses'!$E$4, AF45="X",'Round Bonuses'!$E$6,TRUE, 'Round Bonuses'!$E$7), 0) +IF(AB45="X", 'Round Bonuses'!$E$3, 0)+IF(AC45="X",'Round Bonuses'!$E$4, 0)+IF(AD45="X", 'Round Bonuses'!$E$5, 0)+IF(AE45="X", 'Round Bonuses'!$E$6, 0)+IF(AF45="X", 'Round Bonuses'!$E$7, 0)+IF(AG45="X", 'Round Bonuses'!$E$8, 0)+_xludf.IFS(AL45="W", 'Round Bonuses'!$G$14, AL45="X", 'Round Bonuses'!$G$13, AK45="X", 'Round Bonuses'!$G$12, AJ45="X", 'Round Bonuses'!$G$11, AI45="X", 'Round Bonuses'!$G$10, AH45="X", 'Round Bonuses'!$G$9, TRUE, 0))+_xludf.IFS(N45="W", 'Round Bonuses'!$C$13, N45="X", 'Round Bonuses'!$C$12, M45="X", 'Round Bonuses'!$C$11, L45="X", 'Round Bonuses'!$C$10, K45="X", 'Round Bonuses'!$C$9, J45="X", 'Round Bonuses'!$C$8, I45="X", 'Round Bonuses'!$C$7, H45="X", 'Round Bonuses'!$C$6, G45="X", 'Round Bonuses'!$C$5, F45="X", 'Round Bonuses'!$C$4, E45="X", 'Round Bonuses'!$C$3, D45="X", 'Round Bonuses'!$C$3, TRUE, 0)</f>
        <v>#NAME?</v>
      </c>
      <c r="BA45" s="2">
        <f t="shared" ca="1" si="1"/>
        <v>39.193749999999994</v>
      </c>
      <c r="BB45" s="10" t="e">
        <f t="shared" ca="1" si="2"/>
        <v>#NAME?</v>
      </c>
      <c r="BD45" s="11" t="str">
        <f t="shared" ca="1" si="3"/>
        <v>Chelsea</v>
      </c>
      <c r="BE45" s="2" t="str">
        <f t="shared" ca="1" si="4"/>
        <v>England</v>
      </c>
      <c r="BF45" s="2" t="e">
        <f t="shared" ca="1" si="5"/>
        <v>#NAME?</v>
      </c>
      <c r="BG45" s="2">
        <f t="shared" ca="1" si="6"/>
        <v>13</v>
      </c>
      <c r="BH45" s="2" t="s">
        <v>79</v>
      </c>
      <c r="BI45" s="2" t="s">
        <v>80</v>
      </c>
      <c r="BJ45" s="7">
        <v>7.8</v>
      </c>
      <c r="BK45" s="2">
        <v>6</v>
      </c>
      <c r="BL45" s="2">
        <f t="shared" si="10"/>
        <v>43</v>
      </c>
      <c r="BM45" s="2" t="str">
        <f t="shared" si="7"/>
        <v>İstanbul Başakşehir</v>
      </c>
      <c r="BN45" s="7">
        <f t="shared" ref="BN45:BO45" si="52">BJ45</f>
        <v>7.8</v>
      </c>
      <c r="BO45" s="2">
        <f t="shared" si="52"/>
        <v>6</v>
      </c>
      <c r="BS45" s="2" t="str">
        <f t="shared" si="9"/>
        <v>Turkey</v>
      </c>
    </row>
    <row r="46" spans="1:71" ht="13.8" x14ac:dyDescent="0.45">
      <c r="A46" s="2" t="str">
        <f ca="1">IFERROR(__xludf.DUMMYFUNCTION("""COMPUTED_VALUE"""),"Club Brugge")</f>
        <v>Club Brugge</v>
      </c>
      <c r="B46" s="2">
        <f ca="1">IFERROR(__xludf.DUMMYFUNCTION("""COMPUTED_VALUE"""),0.92)</f>
        <v>0.92</v>
      </c>
      <c r="C46" s="2" t="str">
        <f ca="1">IFERROR(__xludf.DUMMYFUNCTION("""COMPUTED_VALUE"""),"Belgium")</f>
        <v>Belgium</v>
      </c>
      <c r="D46" s="2"/>
      <c r="E46" s="2"/>
      <c r="F46" s="2"/>
      <c r="G46" s="2"/>
      <c r="H46" s="2"/>
      <c r="I46" s="2"/>
      <c r="J46" s="2" t="str">
        <f ca="1">IFERROR(__xludf.DUMMYFUNCTION("""COMPUTED_VALUE"""),"X")</f>
        <v>X</v>
      </c>
      <c r="K46" s="2"/>
      <c r="L46" s="2"/>
      <c r="M46" s="2"/>
      <c r="N46" s="2"/>
      <c r="O46" s="5">
        <f ca="1">IFERROR(__xludf.DUMMYFUNCTION("""COMPUTED_VALUE"""),0)</f>
        <v>0</v>
      </c>
      <c r="P46" s="2">
        <f ca="1">IFERROR(__xludf.DUMMYFUNCTION("""COMPUTED_VALUE"""),0)</f>
        <v>0</v>
      </c>
      <c r="Q46" s="2">
        <f ca="1">IFERROR(__xludf.DUMMYFUNCTION("""COMPUTED_VALUE"""),0)</f>
        <v>0</v>
      </c>
      <c r="R46" s="2">
        <f ca="1">IFERROR(__xludf.DUMMYFUNCTION("""COMPUTED_VALUE"""),0)</f>
        <v>0</v>
      </c>
      <c r="S46" s="2">
        <f ca="1">IFERROR(__xludf.DUMMYFUNCTION("""COMPUTED_VALUE"""),0)</f>
        <v>0</v>
      </c>
      <c r="T46" s="2">
        <f ca="1">IFERROR(__xludf.DUMMYFUNCTION("""COMPUTED_VALUE"""),0)</f>
        <v>0</v>
      </c>
      <c r="U46" s="2">
        <f ca="1">IFERROR(__xludf.DUMMYFUNCTION("""COMPUTED_VALUE"""),12.8999999999999)</f>
        <v>12.899999999999901</v>
      </c>
      <c r="V46" s="2">
        <f ca="1">IFERROR(__xludf.DUMMYFUNCTION("""COMPUTED_VALUE"""),0)</f>
        <v>0</v>
      </c>
      <c r="W46" s="2">
        <f ca="1">IFERROR(__xludf.DUMMYFUNCTION("""COMPUTED_VALUE"""),0)</f>
        <v>0</v>
      </c>
      <c r="X46" s="2">
        <f ca="1">IFERROR(__xludf.DUMMYFUNCTION("""COMPUTED_VALUE"""),0)</f>
        <v>0</v>
      </c>
      <c r="Y46" s="2">
        <f ca="1">IFERROR(__xludf.DUMMYFUNCTION("""COMPUTED_VALUE"""),0)</f>
        <v>0</v>
      </c>
      <c r="AB46" s="2"/>
      <c r="AC46" s="2"/>
      <c r="AD46" s="2"/>
      <c r="AE46" s="2"/>
      <c r="AF46" s="2"/>
      <c r="AG46" s="2"/>
      <c r="AH46" s="2" t="str">
        <f ca="1">IFERROR(__xludf.DUMMYFUNCTION("""COMPUTED_VALUE"""),"X")</f>
        <v>X</v>
      </c>
      <c r="AI46" s="2"/>
      <c r="AJ46" s="2"/>
      <c r="AK46" s="2"/>
      <c r="AL46" s="2"/>
      <c r="AM46" s="2">
        <f ca="1">IFERROR(__xludf.DUMMYFUNCTION("""COMPUTED_VALUE"""),0)</f>
        <v>0</v>
      </c>
      <c r="AN46" s="2">
        <f ca="1">IFERROR(__xludf.DUMMYFUNCTION("""COMPUTED_VALUE"""),0)</f>
        <v>0</v>
      </c>
      <c r="AO46" s="2">
        <f ca="1">IFERROR(__xludf.DUMMYFUNCTION("""COMPUTED_VALUE"""),0)</f>
        <v>0</v>
      </c>
      <c r="AP46" s="2">
        <f ca="1">IFERROR(__xludf.DUMMYFUNCTION("""COMPUTED_VALUE"""),0)</f>
        <v>0</v>
      </c>
      <c r="AQ46" s="2">
        <f ca="1">IFERROR(__xludf.DUMMYFUNCTION("""COMPUTED_VALUE"""),0)</f>
        <v>0</v>
      </c>
      <c r="AR46" s="2">
        <f ca="1">IFERROR(__xludf.DUMMYFUNCTION("""COMPUTED_VALUE"""),0)</f>
        <v>0</v>
      </c>
      <c r="AS46" s="2">
        <f ca="1">IFERROR(__xludf.DUMMYFUNCTION("""COMPUTED_VALUE"""),2.575)</f>
        <v>2.5750000000000002</v>
      </c>
      <c r="AT46" s="2">
        <f ca="1">IFERROR(__xludf.DUMMYFUNCTION("""COMPUTED_VALUE"""),0)</f>
        <v>0</v>
      </c>
      <c r="AU46" s="2">
        <f ca="1">IFERROR(__xludf.DUMMYFUNCTION("""COMPUTED_VALUE"""),0)</f>
        <v>0</v>
      </c>
      <c r="AV46" s="2">
        <f ca="1">IFERROR(__xludf.DUMMYFUNCTION("""COMPUTED_VALUE"""),0)</f>
        <v>0</v>
      </c>
      <c r="AW46" s="2">
        <f ca="1">IFERROR(__xludf.DUMMYFUNCTION("""COMPUTED_VALUE"""),0)</f>
        <v>0</v>
      </c>
      <c r="AY46" s="2">
        <f t="shared" ca="1" si="0"/>
        <v>8</v>
      </c>
      <c r="AZ46" s="2" t="e">
        <f ca="1">IF(NOT(COUNTA(D46:J46)), _xludf.IFS(AL46="W", 'Round Bonuses'!$F$14, AL46="X", 'Round Bonuses'!$F$13, AK46="X", 'Round Bonuses'!$F$12, AJ46="X", 'Round Bonuses'!$F$11, AI46="X", 'Round Bonuses'!$F$10, AH46="X", 'Round Bonuses'!$F$9, AG46="X", 'Round Bonuses'!$F$8, AF46="X", 'Round Bonuses'!$F$7, AE46="X", 'Round Bonuses'!$F$6, AD46="X", 'Round Bonuses'!$F$5, AC46="X", 'Round Bonuses'!$F$4, AB46="X", 'Round Bonuses'!$F$3, TRUE, 0), IF(AA46="X", _xludf.IFS(AD46="X", 'Round Bonuses'!$E$4, AF46="X",'Round Bonuses'!$E$6,TRUE, 'Round Bonuses'!$E$7), 0) +IF(AB46="X", 'Round Bonuses'!$E$3, 0)+IF(AC46="X",'Round Bonuses'!$E$4, 0)+IF(AD46="X", 'Round Bonuses'!$E$5, 0)+IF(AE46="X", 'Round Bonuses'!$E$6, 0)+IF(AF46="X", 'Round Bonuses'!$E$7, 0)+IF(AG46="X", 'Round Bonuses'!$E$8, 0)+_xludf.IFS(AL46="W", 'Round Bonuses'!$G$14, AL46="X", 'Round Bonuses'!$G$13, AK46="X", 'Round Bonuses'!$G$12, AJ46="X", 'Round Bonuses'!$G$11, AI46="X", 'Round Bonuses'!$G$10, AH46="X", 'Round Bonuses'!$G$9, TRUE, 0))+_xludf.IFS(N46="W", 'Round Bonuses'!$C$13, N46="X", 'Round Bonuses'!$C$12, M46="X", 'Round Bonuses'!$C$11, L46="X", 'Round Bonuses'!$C$10, K46="X", 'Round Bonuses'!$C$9, J46="X", 'Round Bonuses'!$C$8, I46="X", 'Round Bonuses'!$C$7, H46="X", 'Round Bonuses'!$C$6, G46="X", 'Round Bonuses'!$C$5, F46="X", 'Round Bonuses'!$C$4, E46="X", 'Round Bonuses'!$C$3, D46="X", 'Round Bonuses'!$C$3, TRUE, 0)</f>
        <v>#NAME?</v>
      </c>
      <c r="BA46" s="2">
        <f t="shared" ca="1" si="1"/>
        <v>15.474999999999902</v>
      </c>
      <c r="BB46" s="10" t="e">
        <f t="shared" ca="1" si="2"/>
        <v>#NAME?</v>
      </c>
      <c r="BD46" s="11" t="str">
        <f t="shared" ca="1" si="3"/>
        <v>Club Brugge</v>
      </c>
      <c r="BE46" s="2" t="str">
        <f t="shared" ca="1" si="4"/>
        <v>Belgium</v>
      </c>
      <c r="BF46" s="2" t="e">
        <f t="shared" ca="1" si="5"/>
        <v>#NAME?</v>
      </c>
      <c r="BG46" s="2">
        <f t="shared" ca="1" si="6"/>
        <v>8</v>
      </c>
      <c r="BH46" s="2" t="s">
        <v>81</v>
      </c>
      <c r="BI46" s="2" t="s">
        <v>21</v>
      </c>
      <c r="BJ46" s="7">
        <v>7.7179166666666665</v>
      </c>
      <c r="BK46" s="2">
        <v>6</v>
      </c>
      <c r="BL46" s="2">
        <f t="shared" si="10"/>
        <v>44</v>
      </c>
      <c r="BM46" s="2" t="str">
        <f t="shared" si="7"/>
        <v>Marseille</v>
      </c>
      <c r="BN46" s="7">
        <f t="shared" ref="BN46:BO46" si="53">BJ46</f>
        <v>7.7179166666666665</v>
      </c>
      <c r="BO46" s="2">
        <f t="shared" si="53"/>
        <v>6</v>
      </c>
      <c r="BS46" s="2" t="str">
        <f t="shared" si="9"/>
        <v>France</v>
      </c>
    </row>
    <row r="47" spans="1:71" ht="13.8" x14ac:dyDescent="0.45">
      <c r="A47" s="2" t="str">
        <f ca="1">IFERROR(__xludf.DUMMYFUNCTION("""COMPUTED_VALUE"""),"Coleraine")</f>
        <v>Coleraine</v>
      </c>
      <c r="B47" s="2">
        <f ca="1">IFERROR(__xludf.DUMMYFUNCTION("""COMPUTED_VALUE"""),0.47)</f>
        <v>0.47</v>
      </c>
      <c r="C47" s="2" t="str">
        <f ca="1">IFERROR(__xludf.DUMMYFUNCTION("""COMPUTED_VALUE"""),"Northern Ireland")</f>
        <v>Northern Ireland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5">
        <f ca="1">IFERROR(__xludf.DUMMYFUNCTION("""COMPUTED_VALUE"""),0)</f>
        <v>0</v>
      </c>
      <c r="P47" s="2">
        <f ca="1">IFERROR(__xludf.DUMMYFUNCTION("""COMPUTED_VALUE"""),0)</f>
        <v>0</v>
      </c>
      <c r="Q47" s="2">
        <f ca="1">IFERROR(__xludf.DUMMYFUNCTION("""COMPUTED_VALUE"""),0)</f>
        <v>0</v>
      </c>
      <c r="R47" s="2">
        <f ca="1">IFERROR(__xludf.DUMMYFUNCTION("""COMPUTED_VALUE"""),0)</f>
        <v>0</v>
      </c>
      <c r="S47" s="2">
        <f ca="1">IFERROR(__xludf.DUMMYFUNCTION("""COMPUTED_VALUE"""),0)</f>
        <v>0</v>
      </c>
      <c r="T47" s="2">
        <f ca="1">IFERROR(__xludf.DUMMYFUNCTION("""COMPUTED_VALUE"""),0)</f>
        <v>0</v>
      </c>
      <c r="U47" s="2">
        <f ca="1">IFERROR(__xludf.DUMMYFUNCTION("""COMPUTED_VALUE"""),0)</f>
        <v>0</v>
      </c>
      <c r="V47" s="2">
        <f ca="1">IFERROR(__xludf.DUMMYFUNCTION("""COMPUTED_VALUE"""),0)</f>
        <v>0</v>
      </c>
      <c r="W47" s="2">
        <f ca="1">IFERROR(__xludf.DUMMYFUNCTION("""COMPUTED_VALUE"""),0)</f>
        <v>0</v>
      </c>
      <c r="X47" s="2">
        <f ca="1">IFERROR(__xludf.DUMMYFUNCTION("""COMPUTED_VALUE"""),0)</f>
        <v>0</v>
      </c>
      <c r="Y47" s="2">
        <f ca="1">IFERROR(__xludf.DUMMYFUNCTION("""COMPUTED_VALUE"""),0)</f>
        <v>0</v>
      </c>
      <c r="AB47" s="2" t="str">
        <f ca="1">IFERROR(__xludf.DUMMYFUNCTION("""COMPUTED_VALUE"""),"X")</f>
        <v>X</v>
      </c>
      <c r="AC47" s="2" t="str">
        <f ca="1">IFERROR(__xludf.DUMMYFUNCTION("""COMPUTED_VALUE"""),"X")</f>
        <v>X</v>
      </c>
      <c r="AD47" s="2" t="str">
        <f ca="1">IFERROR(__xludf.DUMMYFUNCTION("""COMPUTED_VALUE"""),"X")</f>
        <v>X</v>
      </c>
      <c r="AE47" s="2"/>
      <c r="AF47" s="2"/>
      <c r="AG47" s="2"/>
      <c r="AH47" s="2"/>
      <c r="AI47" s="2"/>
      <c r="AJ47" s="2"/>
      <c r="AK47" s="2"/>
      <c r="AL47" s="2"/>
      <c r="AM47" s="2">
        <f ca="1">IFERROR(__xludf.DUMMYFUNCTION("""COMPUTED_VALUE"""),1.7325)</f>
        <v>1.7324999999999999</v>
      </c>
      <c r="AN47" s="2">
        <f ca="1">IFERROR(__xludf.DUMMYFUNCTION("""COMPUTED_VALUE"""),2.38)</f>
        <v>2.38</v>
      </c>
      <c r="AO47" s="2">
        <f ca="1">IFERROR(__xludf.DUMMYFUNCTION("""COMPUTED_VALUE"""),0.78)</f>
        <v>0.78</v>
      </c>
      <c r="AP47" s="2">
        <f ca="1">IFERROR(__xludf.DUMMYFUNCTION("""COMPUTED_VALUE"""),0)</f>
        <v>0</v>
      </c>
      <c r="AQ47" s="2">
        <f ca="1">IFERROR(__xludf.DUMMYFUNCTION("""COMPUTED_VALUE"""),0)</f>
        <v>0</v>
      </c>
      <c r="AR47" s="2">
        <f ca="1">IFERROR(__xludf.DUMMYFUNCTION("""COMPUTED_VALUE"""),0)</f>
        <v>0</v>
      </c>
      <c r="AS47" s="2">
        <f ca="1">IFERROR(__xludf.DUMMYFUNCTION("""COMPUTED_VALUE"""),0)</f>
        <v>0</v>
      </c>
      <c r="AT47" s="2">
        <f ca="1">IFERROR(__xludf.DUMMYFUNCTION("""COMPUTED_VALUE"""),0)</f>
        <v>0</v>
      </c>
      <c r="AU47" s="2">
        <f ca="1">IFERROR(__xludf.DUMMYFUNCTION("""COMPUTED_VALUE"""),0)</f>
        <v>0</v>
      </c>
      <c r="AV47" s="2">
        <f ca="1">IFERROR(__xludf.DUMMYFUNCTION("""COMPUTED_VALUE"""),0)</f>
        <v>0</v>
      </c>
      <c r="AW47" s="2">
        <f ca="1">IFERROR(__xludf.DUMMYFUNCTION("""COMPUTED_VALUE"""),0)</f>
        <v>0</v>
      </c>
      <c r="AY47" s="2">
        <f t="shared" ca="1" si="0"/>
        <v>3</v>
      </c>
      <c r="AZ47" s="2" t="e">
        <f ca="1">IF(NOT(COUNTA(D47:J47)), _xludf.IFS(AL47="W", 'Round Bonuses'!$F$14, AL47="X", 'Round Bonuses'!$F$13, AK47="X", 'Round Bonuses'!$F$12, AJ47="X", 'Round Bonuses'!$F$11, AI47="X", 'Round Bonuses'!$F$10, AH47="X", 'Round Bonuses'!$F$9, AG47="X", 'Round Bonuses'!$F$8, AF47="X", 'Round Bonuses'!$F$7, AE47="X", 'Round Bonuses'!$F$6, AD47="X", 'Round Bonuses'!$F$5, AC47="X", 'Round Bonuses'!$F$4, AB47="X", 'Round Bonuses'!$F$3, TRUE, 0), IF(AA47="X", _xludf.IFS(AD47="X", 'Round Bonuses'!$E$4, AF47="X",'Round Bonuses'!$E$6,TRUE, 'Round Bonuses'!$E$7), 0) +IF(AB47="X", 'Round Bonuses'!$E$3, 0)+IF(AC47="X",'Round Bonuses'!$E$4, 0)+IF(AD47="X", 'Round Bonuses'!$E$5, 0)+IF(AE47="X", 'Round Bonuses'!$E$6, 0)+IF(AF47="X", 'Round Bonuses'!$E$7, 0)+IF(AG47="X", 'Round Bonuses'!$E$8, 0)+_xludf.IFS(AL47="W", 'Round Bonuses'!$G$14, AL47="X", 'Round Bonuses'!$G$13, AK47="X", 'Round Bonuses'!$G$12, AJ47="X", 'Round Bonuses'!$G$11, AI47="X", 'Round Bonuses'!$G$10, AH47="X", 'Round Bonuses'!$G$9, TRUE, 0))+_xludf.IFS(N47="W", 'Round Bonuses'!$C$13, N47="X", 'Round Bonuses'!$C$12, M47="X", 'Round Bonuses'!$C$11, L47="X", 'Round Bonuses'!$C$10, K47="X", 'Round Bonuses'!$C$9, J47="X", 'Round Bonuses'!$C$8, I47="X", 'Round Bonuses'!$C$7, H47="X", 'Round Bonuses'!$C$6, G47="X", 'Round Bonuses'!$C$5, F47="X", 'Round Bonuses'!$C$4, E47="X", 'Round Bonuses'!$C$3, D47="X", 'Round Bonuses'!$C$3, TRUE, 0)</f>
        <v>#NAME?</v>
      </c>
      <c r="BA47" s="2">
        <f t="shared" ca="1" si="1"/>
        <v>4.8925000000000001</v>
      </c>
      <c r="BB47" s="10" t="e">
        <f t="shared" ca="1" si="2"/>
        <v>#NAME?</v>
      </c>
      <c r="BD47" s="11" t="str">
        <f t="shared" ca="1" si="3"/>
        <v>Coleraine</v>
      </c>
      <c r="BE47" s="2" t="str">
        <f t="shared" ca="1" si="4"/>
        <v>Northern Ireland</v>
      </c>
      <c r="BF47" s="2" t="e">
        <f t="shared" ca="1" si="5"/>
        <v>#NAME?</v>
      </c>
      <c r="BG47" s="2">
        <f t="shared" ca="1" si="6"/>
        <v>3</v>
      </c>
      <c r="BH47" s="2" t="s">
        <v>82</v>
      </c>
      <c r="BI47" s="2" t="s">
        <v>23</v>
      </c>
      <c r="BJ47" s="7">
        <v>7.6064062499999991</v>
      </c>
      <c r="BK47" s="2">
        <v>8</v>
      </c>
      <c r="BL47" s="2">
        <f t="shared" si="10"/>
        <v>45</v>
      </c>
      <c r="BM47" s="2" t="str">
        <f t="shared" si="7"/>
        <v>1899 Hoffenheim</v>
      </c>
      <c r="BN47" s="7">
        <f t="shared" ref="BN47:BO47" si="54">BJ47</f>
        <v>7.6064062499999991</v>
      </c>
      <c r="BO47" s="2">
        <f t="shared" si="54"/>
        <v>8</v>
      </c>
      <c r="BS47" s="2" t="str">
        <f t="shared" si="9"/>
        <v>Germany</v>
      </c>
    </row>
    <row r="48" spans="1:71" ht="13.8" x14ac:dyDescent="0.45">
      <c r="A48" s="2" t="str">
        <f ca="1">IFERROR(__xludf.DUMMYFUNCTION("""COMPUTED_VALUE"""),"Connah's Quay Nomads")</f>
        <v>Connah's Quay Nomads</v>
      </c>
      <c r="B48" s="2">
        <f ca="1">IFERROR(__xludf.DUMMYFUNCTION("""COMPUTED_VALUE"""),0.52)</f>
        <v>0.52</v>
      </c>
      <c r="C48" s="2" t="str">
        <f ca="1">IFERROR(__xludf.DUMMYFUNCTION("""COMPUTED_VALUE"""),"Wales")</f>
        <v>Wales</v>
      </c>
      <c r="D48" s="2"/>
      <c r="E48" s="2"/>
      <c r="F48" s="2" t="str">
        <f ca="1">IFERROR(__xludf.DUMMYFUNCTION("""COMPUTED_VALUE"""),"X")</f>
        <v>X</v>
      </c>
      <c r="G48" s="2"/>
      <c r="H48" s="2"/>
      <c r="I48" s="2"/>
      <c r="J48" s="2"/>
      <c r="K48" s="2"/>
      <c r="L48" s="2"/>
      <c r="M48" s="2"/>
      <c r="N48" s="2"/>
      <c r="O48" s="5">
        <f ca="1">IFERROR(__xludf.DUMMYFUNCTION("""COMPUTED_VALUE"""),0)</f>
        <v>0</v>
      </c>
      <c r="P48" s="2">
        <f ca="1">IFERROR(__xludf.DUMMYFUNCTION("""COMPUTED_VALUE"""),0)</f>
        <v>0</v>
      </c>
      <c r="Q48" s="2">
        <f ca="1">IFERROR(__xludf.DUMMYFUNCTION("""COMPUTED_VALUE"""),0.35)</f>
        <v>0.35</v>
      </c>
      <c r="R48" s="2">
        <f ca="1">IFERROR(__xludf.DUMMYFUNCTION("""COMPUTED_VALUE"""),0)</f>
        <v>0</v>
      </c>
      <c r="S48" s="2">
        <f ca="1">IFERROR(__xludf.DUMMYFUNCTION("""COMPUTED_VALUE"""),0)</f>
        <v>0</v>
      </c>
      <c r="T48" s="2">
        <f ca="1">IFERROR(__xludf.DUMMYFUNCTION("""COMPUTED_VALUE"""),0)</f>
        <v>0</v>
      </c>
      <c r="U48" s="2">
        <f ca="1">IFERROR(__xludf.DUMMYFUNCTION("""COMPUTED_VALUE"""),0)</f>
        <v>0</v>
      </c>
      <c r="V48" s="2">
        <f ca="1">IFERROR(__xludf.DUMMYFUNCTION("""COMPUTED_VALUE"""),0)</f>
        <v>0</v>
      </c>
      <c r="W48" s="2">
        <f ca="1">IFERROR(__xludf.DUMMYFUNCTION("""COMPUTED_VALUE"""),0)</f>
        <v>0</v>
      </c>
      <c r="X48" s="2">
        <f ca="1">IFERROR(__xludf.DUMMYFUNCTION("""COMPUTED_VALUE"""),0)</f>
        <v>0</v>
      </c>
      <c r="Y48" s="2">
        <f ca="1">IFERROR(__xludf.DUMMYFUNCTION("""COMPUTED_VALUE"""),0)</f>
        <v>0</v>
      </c>
      <c r="AB48" s="2"/>
      <c r="AC48" s="2"/>
      <c r="AD48" s="2" t="str">
        <f ca="1">IFERROR(__xludf.DUMMYFUNCTION("""COMPUTED_VALUE"""),"X")</f>
        <v>X</v>
      </c>
      <c r="AE48" s="2"/>
      <c r="AF48" s="2"/>
      <c r="AG48" s="2"/>
      <c r="AH48" s="2"/>
      <c r="AI48" s="2"/>
      <c r="AJ48" s="2"/>
      <c r="AK48" s="2"/>
      <c r="AL48" s="2"/>
      <c r="AM48" s="2">
        <f ca="1">IFERROR(__xludf.DUMMYFUNCTION("""COMPUTED_VALUE"""),0)</f>
        <v>0</v>
      </c>
      <c r="AN48" s="2">
        <f ca="1">IFERROR(__xludf.DUMMYFUNCTION("""COMPUTED_VALUE"""),0)</f>
        <v>0</v>
      </c>
      <c r="AO48" s="2">
        <f ca="1">IFERROR(__xludf.DUMMYFUNCTION("""COMPUTED_VALUE"""),0.405)</f>
        <v>0.40500000000000003</v>
      </c>
      <c r="AP48" s="2">
        <f ca="1">IFERROR(__xludf.DUMMYFUNCTION("""COMPUTED_VALUE"""),0)</f>
        <v>0</v>
      </c>
      <c r="AQ48" s="2">
        <f ca="1">IFERROR(__xludf.DUMMYFUNCTION("""COMPUTED_VALUE"""),0)</f>
        <v>0</v>
      </c>
      <c r="AR48" s="2">
        <f ca="1">IFERROR(__xludf.DUMMYFUNCTION("""COMPUTED_VALUE"""),0)</f>
        <v>0</v>
      </c>
      <c r="AS48" s="2">
        <f ca="1">IFERROR(__xludf.DUMMYFUNCTION("""COMPUTED_VALUE"""),0)</f>
        <v>0</v>
      </c>
      <c r="AT48" s="2">
        <f ca="1">IFERROR(__xludf.DUMMYFUNCTION("""COMPUTED_VALUE"""),0)</f>
        <v>0</v>
      </c>
      <c r="AU48" s="2">
        <f ca="1">IFERROR(__xludf.DUMMYFUNCTION("""COMPUTED_VALUE"""),0)</f>
        <v>0</v>
      </c>
      <c r="AV48" s="2">
        <f ca="1">IFERROR(__xludf.DUMMYFUNCTION("""COMPUTED_VALUE"""),0)</f>
        <v>0</v>
      </c>
      <c r="AW48" s="2">
        <f ca="1">IFERROR(__xludf.DUMMYFUNCTION("""COMPUTED_VALUE"""),0)</f>
        <v>0</v>
      </c>
      <c r="AY48" s="2">
        <f t="shared" ca="1" si="0"/>
        <v>2</v>
      </c>
      <c r="AZ48" s="2" t="e">
        <f ca="1">IF(NOT(COUNTA(D48:J48)), _xludf.IFS(AL48="W", 'Round Bonuses'!$F$14, AL48="X", 'Round Bonuses'!$F$13, AK48="X", 'Round Bonuses'!$F$12, AJ48="X", 'Round Bonuses'!$F$11, AI48="X", 'Round Bonuses'!$F$10, AH48="X", 'Round Bonuses'!$F$9, AG48="X", 'Round Bonuses'!$F$8, AF48="X", 'Round Bonuses'!$F$7, AE48="X", 'Round Bonuses'!$F$6, AD48="X", 'Round Bonuses'!$F$5, AC48="X", 'Round Bonuses'!$F$4, AB48="X", 'Round Bonuses'!$F$3, TRUE, 0), IF(AA48="X", _xludf.IFS(AD48="X", 'Round Bonuses'!$E$4, AF48="X",'Round Bonuses'!$E$6,TRUE, 'Round Bonuses'!$E$7), 0) +IF(AB48="X", 'Round Bonuses'!$E$3, 0)+IF(AC48="X",'Round Bonuses'!$E$4, 0)+IF(AD48="X", 'Round Bonuses'!$E$5, 0)+IF(AE48="X", 'Round Bonuses'!$E$6, 0)+IF(AF48="X", 'Round Bonuses'!$E$7, 0)+IF(AG48="X", 'Round Bonuses'!$E$8, 0)+_xludf.IFS(AL48="W", 'Round Bonuses'!$G$14, AL48="X", 'Round Bonuses'!$G$13, AK48="X", 'Round Bonuses'!$G$12, AJ48="X", 'Round Bonuses'!$G$11, AI48="X", 'Round Bonuses'!$G$10, AH48="X", 'Round Bonuses'!$G$9, TRUE, 0))+_xludf.IFS(N48="W", 'Round Bonuses'!$C$13, N48="X", 'Round Bonuses'!$C$12, M48="X", 'Round Bonuses'!$C$11, L48="X", 'Round Bonuses'!$C$10, K48="X", 'Round Bonuses'!$C$9, J48="X", 'Round Bonuses'!$C$8, I48="X", 'Round Bonuses'!$C$7, H48="X", 'Round Bonuses'!$C$6, G48="X", 'Round Bonuses'!$C$5, F48="X", 'Round Bonuses'!$C$4, E48="X", 'Round Bonuses'!$C$3, D48="X", 'Round Bonuses'!$C$3, TRUE, 0)</f>
        <v>#NAME?</v>
      </c>
      <c r="BA48" s="2">
        <f t="shared" ca="1" si="1"/>
        <v>0.755</v>
      </c>
      <c r="BB48" s="10" t="e">
        <f t="shared" ca="1" si="2"/>
        <v>#NAME?</v>
      </c>
      <c r="BD48" s="11" t="str">
        <f t="shared" ca="1" si="3"/>
        <v>Connah's Quay Nomads</v>
      </c>
      <c r="BE48" s="2" t="str">
        <f t="shared" ca="1" si="4"/>
        <v>Wales</v>
      </c>
      <c r="BF48" s="2" t="e">
        <f t="shared" ca="1" si="5"/>
        <v>#NAME?</v>
      </c>
      <c r="BG48" s="2">
        <f t="shared" ca="1" si="6"/>
        <v>2</v>
      </c>
      <c r="BH48" s="2" t="s">
        <v>83</v>
      </c>
      <c r="BI48" s="2" t="s">
        <v>21</v>
      </c>
      <c r="BJ48" s="7">
        <v>7.5299999999999994</v>
      </c>
      <c r="BK48" s="2">
        <v>6</v>
      </c>
      <c r="BL48" s="2">
        <f t="shared" si="10"/>
        <v>46</v>
      </c>
      <c r="BM48" s="2" t="str">
        <f t="shared" si="7"/>
        <v>Rennes</v>
      </c>
      <c r="BN48" s="7">
        <f t="shared" ref="BN48:BO48" si="55">BJ48</f>
        <v>7.5299999999999994</v>
      </c>
      <c r="BO48" s="2">
        <f t="shared" si="55"/>
        <v>6</v>
      </c>
      <c r="BS48" s="2" t="str">
        <f t="shared" si="9"/>
        <v>France</v>
      </c>
    </row>
    <row r="49" spans="1:71" ht="13.8" x14ac:dyDescent="0.45">
      <c r="A49" s="2" t="str">
        <f ca="1">IFERROR(__xludf.DUMMYFUNCTION("""COMPUTED_VALUE"""),"Copenhagen")</f>
        <v>Copenhagen</v>
      </c>
      <c r="B49" s="2">
        <f ca="1">IFERROR(__xludf.DUMMYFUNCTION("""COMPUTED_VALUE"""),0.83)</f>
        <v>0.83</v>
      </c>
      <c r="C49" s="2" t="str">
        <f ca="1">IFERROR(__xludf.DUMMYFUNCTION("""COMPUTED_VALUE"""),"Denmark")</f>
        <v>Denmark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5">
        <f ca="1">IFERROR(__xludf.DUMMYFUNCTION("""COMPUTED_VALUE"""),0)</f>
        <v>0</v>
      </c>
      <c r="P49" s="2">
        <f ca="1">IFERROR(__xludf.DUMMYFUNCTION("""COMPUTED_VALUE"""),0)</f>
        <v>0</v>
      </c>
      <c r="Q49" s="2">
        <f ca="1">IFERROR(__xludf.DUMMYFUNCTION("""COMPUTED_VALUE"""),0)</f>
        <v>0</v>
      </c>
      <c r="R49" s="2">
        <f ca="1">IFERROR(__xludf.DUMMYFUNCTION("""COMPUTED_VALUE"""),0)</f>
        <v>0</v>
      </c>
      <c r="S49" s="2">
        <f ca="1">IFERROR(__xludf.DUMMYFUNCTION("""COMPUTED_VALUE"""),0)</f>
        <v>0</v>
      </c>
      <c r="T49" s="2">
        <f ca="1">IFERROR(__xludf.DUMMYFUNCTION("""COMPUTED_VALUE"""),0)</f>
        <v>0</v>
      </c>
      <c r="U49" s="2">
        <f ca="1">IFERROR(__xludf.DUMMYFUNCTION("""COMPUTED_VALUE"""),0)</f>
        <v>0</v>
      </c>
      <c r="V49" s="2">
        <f ca="1">IFERROR(__xludf.DUMMYFUNCTION("""COMPUTED_VALUE"""),0)</f>
        <v>0</v>
      </c>
      <c r="W49" s="2">
        <f ca="1">IFERROR(__xludf.DUMMYFUNCTION("""COMPUTED_VALUE"""),0)</f>
        <v>0</v>
      </c>
      <c r="X49" s="2">
        <f ca="1">IFERROR(__xludf.DUMMYFUNCTION("""COMPUTED_VALUE"""),0)</f>
        <v>0</v>
      </c>
      <c r="Y49" s="2">
        <f ca="1">IFERROR(__xludf.DUMMYFUNCTION("""COMPUTED_VALUE"""),0)</f>
        <v>0</v>
      </c>
      <c r="AB49" s="2"/>
      <c r="AC49" s="2"/>
      <c r="AD49" s="2" t="str">
        <f ca="1">IFERROR(__xludf.DUMMYFUNCTION("""COMPUTED_VALUE"""),"X")</f>
        <v>X</v>
      </c>
      <c r="AE49" s="2" t="str">
        <f ca="1">IFERROR(__xludf.DUMMYFUNCTION("""COMPUTED_VALUE"""),"X")</f>
        <v>X</v>
      </c>
      <c r="AF49" s="2" t="str">
        <f ca="1">IFERROR(__xludf.DUMMYFUNCTION("""COMPUTED_VALUE"""),"X")</f>
        <v>X</v>
      </c>
      <c r="AG49" s="2"/>
      <c r="AH49" s="2"/>
      <c r="AI49" s="2"/>
      <c r="AJ49" s="2"/>
      <c r="AK49" s="2"/>
      <c r="AL49" s="2"/>
      <c r="AM49" s="2">
        <f ca="1">IFERROR(__xludf.DUMMYFUNCTION("""COMPUTED_VALUE"""),0)</f>
        <v>0</v>
      </c>
      <c r="AN49" s="2">
        <f ca="1">IFERROR(__xludf.DUMMYFUNCTION("""COMPUTED_VALUE"""),0)</f>
        <v>0</v>
      </c>
      <c r="AO49" s="2">
        <f ca="1">IFERROR(__xludf.DUMMYFUNCTION("""COMPUTED_VALUE"""),3.135)</f>
        <v>3.1349999999999998</v>
      </c>
      <c r="AP49" s="2">
        <f ca="1">IFERROR(__xludf.DUMMYFUNCTION("""COMPUTED_VALUE"""),3.19375)</f>
        <v>3.1937500000000001</v>
      </c>
      <c r="AQ49" s="2">
        <f ca="1">IFERROR(__xludf.DUMMYFUNCTION("""COMPUTED_VALUE"""),0.695)</f>
        <v>0.69499999999999995</v>
      </c>
      <c r="AR49" s="2">
        <f ca="1">IFERROR(__xludf.DUMMYFUNCTION("""COMPUTED_VALUE"""),0)</f>
        <v>0</v>
      </c>
      <c r="AS49" s="2">
        <f ca="1">IFERROR(__xludf.DUMMYFUNCTION("""COMPUTED_VALUE"""),0)</f>
        <v>0</v>
      </c>
      <c r="AT49" s="2">
        <f ca="1">IFERROR(__xludf.DUMMYFUNCTION("""COMPUTED_VALUE"""),0)</f>
        <v>0</v>
      </c>
      <c r="AU49" s="2">
        <f ca="1">IFERROR(__xludf.DUMMYFUNCTION("""COMPUTED_VALUE"""),0)</f>
        <v>0</v>
      </c>
      <c r="AV49" s="2">
        <f ca="1">IFERROR(__xludf.DUMMYFUNCTION("""COMPUTED_VALUE"""),0)</f>
        <v>0</v>
      </c>
      <c r="AW49" s="2">
        <f ca="1">IFERROR(__xludf.DUMMYFUNCTION("""COMPUTED_VALUE"""),0)</f>
        <v>0</v>
      </c>
      <c r="AY49" s="2">
        <f t="shared" ca="1" si="0"/>
        <v>3</v>
      </c>
      <c r="AZ49" s="2" t="e">
        <f ca="1">IF(NOT(COUNTA(D49:J49)), _xludf.IFS(AL49="W", 'Round Bonuses'!$F$14, AL49="X", 'Round Bonuses'!$F$13, AK49="X", 'Round Bonuses'!$F$12, AJ49="X", 'Round Bonuses'!$F$11, AI49="X", 'Round Bonuses'!$F$10, AH49="X", 'Round Bonuses'!$F$9, AG49="X", 'Round Bonuses'!$F$8, AF49="X", 'Round Bonuses'!$F$7, AE49="X", 'Round Bonuses'!$F$6, AD49="X", 'Round Bonuses'!$F$5, AC49="X", 'Round Bonuses'!$F$4, AB49="X", 'Round Bonuses'!$F$3, TRUE, 0), IF(AA49="X", _xludf.IFS(AD49="X", 'Round Bonuses'!$E$4, AF49="X",'Round Bonuses'!$E$6,TRUE, 'Round Bonuses'!$E$7), 0) +IF(AB49="X", 'Round Bonuses'!$E$3, 0)+IF(AC49="X",'Round Bonuses'!$E$4, 0)+IF(AD49="X", 'Round Bonuses'!$E$5, 0)+IF(AE49="X", 'Round Bonuses'!$E$6, 0)+IF(AF49="X", 'Round Bonuses'!$E$7, 0)+IF(AG49="X", 'Round Bonuses'!$E$8, 0)+_xludf.IFS(AL49="W", 'Round Bonuses'!$G$14, AL49="X", 'Round Bonuses'!$G$13, AK49="X", 'Round Bonuses'!$G$12, AJ49="X", 'Round Bonuses'!$G$11, AI49="X", 'Round Bonuses'!$G$10, AH49="X", 'Round Bonuses'!$G$9, TRUE, 0))+_xludf.IFS(N49="W", 'Round Bonuses'!$C$13, N49="X", 'Round Bonuses'!$C$12, M49="X", 'Round Bonuses'!$C$11, L49="X", 'Round Bonuses'!$C$10, K49="X", 'Round Bonuses'!$C$9, J49="X", 'Round Bonuses'!$C$8, I49="X", 'Round Bonuses'!$C$7, H49="X", 'Round Bonuses'!$C$6, G49="X", 'Round Bonuses'!$C$5, F49="X", 'Round Bonuses'!$C$4, E49="X", 'Round Bonuses'!$C$3, D49="X", 'Round Bonuses'!$C$3, TRUE, 0)</f>
        <v>#NAME?</v>
      </c>
      <c r="BA49" s="2">
        <f t="shared" ca="1" si="1"/>
        <v>7.0237499999999997</v>
      </c>
      <c r="BB49" s="10" t="e">
        <f t="shared" ca="1" si="2"/>
        <v>#NAME?</v>
      </c>
      <c r="BD49" s="11" t="str">
        <f t="shared" ca="1" si="3"/>
        <v>Copenhagen</v>
      </c>
      <c r="BE49" s="2" t="str">
        <f t="shared" ca="1" si="4"/>
        <v>Denmark</v>
      </c>
      <c r="BF49" s="2" t="e">
        <f t="shared" ca="1" si="5"/>
        <v>#NAME?</v>
      </c>
      <c r="BG49" s="2">
        <f t="shared" ca="1" si="6"/>
        <v>3</v>
      </c>
      <c r="BH49" s="2" t="s">
        <v>84</v>
      </c>
      <c r="BI49" s="2" t="s">
        <v>56</v>
      </c>
      <c r="BJ49" s="7">
        <v>7.5058333333333334</v>
      </c>
      <c r="BK49" s="2">
        <v>6</v>
      </c>
      <c r="BL49" s="2">
        <f t="shared" si="10"/>
        <v>47</v>
      </c>
      <c r="BM49" s="2" t="str">
        <f t="shared" si="7"/>
        <v>Zenit Saint Petersburg</v>
      </c>
      <c r="BN49" s="7">
        <f t="shared" ref="BN49:BO49" si="56">BJ49</f>
        <v>7.5058333333333334</v>
      </c>
      <c r="BO49" s="2">
        <f t="shared" si="56"/>
        <v>6</v>
      </c>
      <c r="BS49" s="2" t="str">
        <f t="shared" si="9"/>
        <v>Russia</v>
      </c>
    </row>
    <row r="50" spans="1:71" ht="13.8" x14ac:dyDescent="0.45">
      <c r="A50" s="2" t="str">
        <f ca="1">IFERROR(__xludf.DUMMYFUNCTION("""COMPUTED_VALUE"""),"Cracovia")</f>
        <v>Cracovia</v>
      </c>
      <c r="B50" s="2">
        <f ca="1">IFERROR(__xludf.DUMMYFUNCTION("""COMPUTED_VALUE"""),0.73)</f>
        <v>0.73</v>
      </c>
      <c r="C50" s="2" t="str">
        <f ca="1">IFERROR(__xludf.DUMMYFUNCTION("""COMPUTED_VALUE"""),"Poland")</f>
        <v>Poland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5">
        <f ca="1">IFERROR(__xludf.DUMMYFUNCTION("""COMPUTED_VALUE"""),0)</f>
        <v>0</v>
      </c>
      <c r="P50" s="2">
        <f ca="1">IFERROR(__xludf.DUMMYFUNCTION("""COMPUTED_VALUE"""),0)</f>
        <v>0</v>
      </c>
      <c r="Q50" s="2">
        <f ca="1">IFERROR(__xludf.DUMMYFUNCTION("""COMPUTED_VALUE"""),0)</f>
        <v>0</v>
      </c>
      <c r="R50" s="2">
        <f ca="1">IFERROR(__xludf.DUMMYFUNCTION("""COMPUTED_VALUE"""),0)</f>
        <v>0</v>
      </c>
      <c r="S50" s="2">
        <f ca="1">IFERROR(__xludf.DUMMYFUNCTION("""COMPUTED_VALUE"""),0)</f>
        <v>0</v>
      </c>
      <c r="T50" s="2">
        <f ca="1">IFERROR(__xludf.DUMMYFUNCTION("""COMPUTED_VALUE"""),0)</f>
        <v>0</v>
      </c>
      <c r="U50" s="2">
        <f ca="1">IFERROR(__xludf.DUMMYFUNCTION("""COMPUTED_VALUE"""),0)</f>
        <v>0</v>
      </c>
      <c r="V50" s="2">
        <f ca="1">IFERROR(__xludf.DUMMYFUNCTION("""COMPUTED_VALUE"""),0)</f>
        <v>0</v>
      </c>
      <c r="W50" s="2">
        <f ca="1">IFERROR(__xludf.DUMMYFUNCTION("""COMPUTED_VALUE"""),0)</f>
        <v>0</v>
      </c>
      <c r="X50" s="2">
        <f ca="1">IFERROR(__xludf.DUMMYFUNCTION("""COMPUTED_VALUE"""),0)</f>
        <v>0</v>
      </c>
      <c r="Y50" s="2">
        <f ca="1">IFERROR(__xludf.DUMMYFUNCTION("""COMPUTED_VALUE"""),0)</f>
        <v>0</v>
      </c>
      <c r="AB50" s="2"/>
      <c r="AC50" s="2" t="str">
        <f ca="1">IFERROR(__xludf.DUMMYFUNCTION("""COMPUTED_VALUE"""),"X")</f>
        <v>X</v>
      </c>
      <c r="AD50" s="2"/>
      <c r="AE50" s="2"/>
      <c r="AF50" s="2"/>
      <c r="AG50" s="2"/>
      <c r="AH50" s="2"/>
      <c r="AI50" s="2"/>
      <c r="AJ50" s="2"/>
      <c r="AK50" s="2"/>
      <c r="AL50" s="2"/>
      <c r="AM50" s="2">
        <f ca="1">IFERROR(__xludf.DUMMYFUNCTION("""COMPUTED_VALUE"""),0)</f>
        <v>0</v>
      </c>
      <c r="AN50" s="2">
        <f ca="1">IFERROR(__xludf.DUMMYFUNCTION("""COMPUTED_VALUE"""),0.52)</f>
        <v>0.52</v>
      </c>
      <c r="AO50" s="2">
        <f ca="1">IFERROR(__xludf.DUMMYFUNCTION("""COMPUTED_VALUE"""),0)</f>
        <v>0</v>
      </c>
      <c r="AP50" s="2">
        <f ca="1">IFERROR(__xludf.DUMMYFUNCTION("""COMPUTED_VALUE"""),0)</f>
        <v>0</v>
      </c>
      <c r="AQ50" s="2">
        <f ca="1">IFERROR(__xludf.DUMMYFUNCTION("""COMPUTED_VALUE"""),0)</f>
        <v>0</v>
      </c>
      <c r="AR50" s="2">
        <f ca="1">IFERROR(__xludf.DUMMYFUNCTION("""COMPUTED_VALUE"""),0)</f>
        <v>0</v>
      </c>
      <c r="AS50" s="2">
        <f ca="1">IFERROR(__xludf.DUMMYFUNCTION("""COMPUTED_VALUE"""),0)</f>
        <v>0</v>
      </c>
      <c r="AT50" s="2">
        <f ca="1">IFERROR(__xludf.DUMMYFUNCTION("""COMPUTED_VALUE"""),0)</f>
        <v>0</v>
      </c>
      <c r="AU50" s="2">
        <f ca="1">IFERROR(__xludf.DUMMYFUNCTION("""COMPUTED_VALUE"""),0)</f>
        <v>0</v>
      </c>
      <c r="AV50" s="2">
        <f ca="1">IFERROR(__xludf.DUMMYFUNCTION("""COMPUTED_VALUE"""),0)</f>
        <v>0</v>
      </c>
      <c r="AW50" s="2">
        <f ca="1">IFERROR(__xludf.DUMMYFUNCTION("""COMPUTED_VALUE"""),0)</f>
        <v>0</v>
      </c>
      <c r="AY50" s="2">
        <f t="shared" ca="1" si="0"/>
        <v>1</v>
      </c>
      <c r="AZ50" s="2" t="e">
        <f ca="1">IF(NOT(COUNTA(D50:J50)), _xludf.IFS(AL50="W", 'Round Bonuses'!$F$14, AL50="X", 'Round Bonuses'!$F$13, AK50="X", 'Round Bonuses'!$F$12, AJ50="X", 'Round Bonuses'!$F$11, AI50="X", 'Round Bonuses'!$F$10, AH50="X", 'Round Bonuses'!$F$9, AG50="X", 'Round Bonuses'!$F$8, AF50="X", 'Round Bonuses'!$F$7, AE50="X", 'Round Bonuses'!$F$6, AD50="X", 'Round Bonuses'!$F$5, AC50="X", 'Round Bonuses'!$F$4, AB50="X", 'Round Bonuses'!$F$3, TRUE, 0), IF(AA50="X", _xludf.IFS(AD50="X", 'Round Bonuses'!$E$4, AF50="X",'Round Bonuses'!$E$6,TRUE, 'Round Bonuses'!$E$7), 0) +IF(AB50="X", 'Round Bonuses'!$E$3, 0)+IF(AC50="X",'Round Bonuses'!$E$4, 0)+IF(AD50="X", 'Round Bonuses'!$E$5, 0)+IF(AE50="X", 'Round Bonuses'!$E$6, 0)+IF(AF50="X", 'Round Bonuses'!$E$7, 0)+IF(AG50="X", 'Round Bonuses'!$E$8, 0)+_xludf.IFS(AL50="W", 'Round Bonuses'!$G$14, AL50="X", 'Round Bonuses'!$G$13, AK50="X", 'Round Bonuses'!$G$12, AJ50="X", 'Round Bonuses'!$G$11, AI50="X", 'Round Bonuses'!$G$10, AH50="X", 'Round Bonuses'!$G$9, TRUE, 0))+_xludf.IFS(N50="W", 'Round Bonuses'!$C$13, N50="X", 'Round Bonuses'!$C$12, M50="X", 'Round Bonuses'!$C$11, L50="X", 'Round Bonuses'!$C$10, K50="X", 'Round Bonuses'!$C$9, J50="X", 'Round Bonuses'!$C$8, I50="X", 'Round Bonuses'!$C$7, H50="X", 'Round Bonuses'!$C$6, G50="X", 'Round Bonuses'!$C$5, F50="X", 'Round Bonuses'!$C$4, E50="X", 'Round Bonuses'!$C$3, D50="X", 'Round Bonuses'!$C$3, TRUE, 0)</f>
        <v>#NAME?</v>
      </c>
      <c r="BA50" s="2">
        <f t="shared" ca="1" si="1"/>
        <v>0.52</v>
      </c>
      <c r="BB50" s="10" t="e">
        <f t="shared" ca="1" si="2"/>
        <v>#NAME?</v>
      </c>
      <c r="BD50" s="11" t="str">
        <f t="shared" ca="1" si="3"/>
        <v>Cracovia</v>
      </c>
      <c r="BE50" s="2" t="str">
        <f t="shared" ca="1" si="4"/>
        <v>Poland</v>
      </c>
      <c r="BF50" s="2" t="e">
        <f t="shared" ca="1" si="5"/>
        <v>#NAME?</v>
      </c>
      <c r="BG50" s="2">
        <f t="shared" ca="1" si="6"/>
        <v>1</v>
      </c>
      <c r="BH50" s="2" t="s">
        <v>85</v>
      </c>
      <c r="BI50" s="2" t="s">
        <v>31</v>
      </c>
      <c r="BJ50" s="7">
        <v>7.4055</v>
      </c>
      <c r="BK50" s="2">
        <v>10</v>
      </c>
      <c r="BL50" s="2">
        <f t="shared" si="10"/>
        <v>48</v>
      </c>
      <c r="BM50" s="2" t="str">
        <f t="shared" si="7"/>
        <v>PSV Eindhoven</v>
      </c>
      <c r="BN50" s="7">
        <f t="shared" ref="BN50:BO50" si="57">BJ50</f>
        <v>7.4055</v>
      </c>
      <c r="BO50" s="2">
        <f t="shared" si="57"/>
        <v>10</v>
      </c>
      <c r="BS50" s="2" t="str">
        <f t="shared" si="9"/>
        <v>Netherlands</v>
      </c>
    </row>
    <row r="51" spans="1:71" ht="13.8" x14ac:dyDescent="0.45">
      <c r="A51" s="2" t="str">
        <f ca="1">IFERROR(__xludf.DUMMYFUNCTION("""COMPUTED_VALUE"""),"CSKA Moscow")</f>
        <v>CSKA Moscow</v>
      </c>
      <c r="B51" s="2">
        <f ca="1">IFERROR(__xludf.DUMMYFUNCTION("""COMPUTED_VALUE"""),0.909999999999999)</f>
        <v>0.90999999999999903</v>
      </c>
      <c r="C51" s="2" t="str">
        <f ca="1">IFERROR(__xludf.DUMMYFUNCTION("""COMPUTED_VALUE"""),"Russia")</f>
        <v>Russia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5">
        <f ca="1">IFERROR(__xludf.DUMMYFUNCTION("""COMPUTED_VALUE"""),0)</f>
        <v>0</v>
      </c>
      <c r="P51" s="2">
        <f ca="1">IFERROR(__xludf.DUMMYFUNCTION("""COMPUTED_VALUE"""),0)</f>
        <v>0</v>
      </c>
      <c r="Q51" s="2">
        <f ca="1">IFERROR(__xludf.DUMMYFUNCTION("""COMPUTED_VALUE"""),0)</f>
        <v>0</v>
      </c>
      <c r="R51" s="2">
        <f ca="1">IFERROR(__xludf.DUMMYFUNCTION("""COMPUTED_VALUE"""),0)</f>
        <v>0</v>
      </c>
      <c r="S51" s="2">
        <f ca="1">IFERROR(__xludf.DUMMYFUNCTION("""COMPUTED_VALUE"""),0)</f>
        <v>0</v>
      </c>
      <c r="T51" s="2">
        <f ca="1">IFERROR(__xludf.DUMMYFUNCTION("""COMPUTED_VALUE"""),0)</f>
        <v>0</v>
      </c>
      <c r="U51" s="2">
        <f ca="1">IFERROR(__xludf.DUMMYFUNCTION("""COMPUTED_VALUE"""),0)</f>
        <v>0</v>
      </c>
      <c r="V51" s="2">
        <f ca="1">IFERROR(__xludf.DUMMYFUNCTION("""COMPUTED_VALUE"""),0)</f>
        <v>0</v>
      </c>
      <c r="W51" s="2">
        <f ca="1">IFERROR(__xludf.DUMMYFUNCTION("""COMPUTED_VALUE"""),0)</f>
        <v>0</v>
      </c>
      <c r="X51" s="2">
        <f ca="1">IFERROR(__xludf.DUMMYFUNCTION("""COMPUTED_VALUE"""),0)</f>
        <v>0</v>
      </c>
      <c r="Y51" s="2">
        <f ca="1">IFERROR(__xludf.DUMMYFUNCTION("""COMPUTED_VALUE"""),0)</f>
        <v>0</v>
      </c>
      <c r="AB51" s="2"/>
      <c r="AC51" s="2"/>
      <c r="AD51" s="2"/>
      <c r="AE51" s="2"/>
      <c r="AF51" s="2"/>
      <c r="AG51" s="2" t="str">
        <f ca="1">IFERROR(__xludf.DUMMYFUNCTION("""COMPUTED_VALUE"""),"X")</f>
        <v>X</v>
      </c>
      <c r="AH51" s="2"/>
      <c r="AI51" s="2"/>
      <c r="AJ51" s="2"/>
      <c r="AK51" s="2"/>
      <c r="AL51" s="2"/>
      <c r="AM51" s="2">
        <f ca="1">IFERROR(__xludf.DUMMYFUNCTION("""COMPUTED_VALUE"""),0)</f>
        <v>0</v>
      </c>
      <c r="AN51" s="2">
        <f ca="1">IFERROR(__xludf.DUMMYFUNCTION("""COMPUTED_VALUE"""),0)</f>
        <v>0</v>
      </c>
      <c r="AO51" s="2">
        <f ca="1">IFERROR(__xludf.DUMMYFUNCTION("""COMPUTED_VALUE"""),0)</f>
        <v>0</v>
      </c>
      <c r="AP51" s="2">
        <f ca="1">IFERROR(__xludf.DUMMYFUNCTION("""COMPUTED_VALUE"""),0)</f>
        <v>0</v>
      </c>
      <c r="AQ51" s="2">
        <f ca="1">IFERROR(__xludf.DUMMYFUNCTION("""COMPUTED_VALUE"""),0)</f>
        <v>0</v>
      </c>
      <c r="AR51" s="2">
        <f ca="1">IFERROR(__xludf.DUMMYFUNCTION("""COMPUTED_VALUE"""),7.11499999999999)</f>
        <v>7.1149999999999904</v>
      </c>
      <c r="AS51" s="2">
        <f ca="1">IFERROR(__xludf.DUMMYFUNCTION("""COMPUTED_VALUE"""),0)</f>
        <v>0</v>
      </c>
      <c r="AT51" s="2">
        <f ca="1">IFERROR(__xludf.DUMMYFUNCTION("""COMPUTED_VALUE"""),0)</f>
        <v>0</v>
      </c>
      <c r="AU51" s="2">
        <f ca="1">IFERROR(__xludf.DUMMYFUNCTION("""COMPUTED_VALUE"""),0)</f>
        <v>0</v>
      </c>
      <c r="AV51" s="2">
        <f ca="1">IFERROR(__xludf.DUMMYFUNCTION("""COMPUTED_VALUE"""),0)</f>
        <v>0</v>
      </c>
      <c r="AW51" s="2">
        <f ca="1">IFERROR(__xludf.DUMMYFUNCTION("""COMPUTED_VALUE"""),0)</f>
        <v>0</v>
      </c>
      <c r="AY51" s="2">
        <f t="shared" ca="1" si="0"/>
        <v>6</v>
      </c>
      <c r="AZ51" s="2" t="e">
        <f ca="1">IF(NOT(COUNTA(D51:J51)), _xludf.IFS(AL51="W", 'Round Bonuses'!$F$14, AL51="X", 'Round Bonuses'!$F$13, AK51="X", 'Round Bonuses'!$F$12, AJ51="X", 'Round Bonuses'!$F$11, AI51="X", 'Round Bonuses'!$F$10, AH51="X", 'Round Bonuses'!$F$9, AG51="X", 'Round Bonuses'!$F$8, AF51="X", 'Round Bonuses'!$F$7, AE51="X", 'Round Bonuses'!$F$6, AD51="X", 'Round Bonuses'!$F$5, AC51="X", 'Round Bonuses'!$F$4, AB51="X", 'Round Bonuses'!$F$3, TRUE, 0), IF(AA51="X", _xludf.IFS(AD51="X", 'Round Bonuses'!$E$4, AF51="X",'Round Bonuses'!$E$6,TRUE, 'Round Bonuses'!$E$7), 0) +IF(AB51="X", 'Round Bonuses'!$E$3, 0)+IF(AC51="X",'Round Bonuses'!$E$4, 0)+IF(AD51="X", 'Round Bonuses'!$E$5, 0)+IF(AE51="X", 'Round Bonuses'!$E$6, 0)+IF(AF51="X", 'Round Bonuses'!$E$7, 0)+IF(AG51="X", 'Round Bonuses'!$E$8, 0)+_xludf.IFS(AL51="W", 'Round Bonuses'!$G$14, AL51="X", 'Round Bonuses'!$G$13, AK51="X", 'Round Bonuses'!$G$12, AJ51="X", 'Round Bonuses'!$G$11, AI51="X", 'Round Bonuses'!$G$10, AH51="X", 'Round Bonuses'!$G$9, TRUE, 0))+_xludf.IFS(N51="W", 'Round Bonuses'!$C$13, N51="X", 'Round Bonuses'!$C$12, M51="X", 'Round Bonuses'!$C$11, L51="X", 'Round Bonuses'!$C$10, K51="X", 'Round Bonuses'!$C$9, J51="X", 'Round Bonuses'!$C$8, I51="X", 'Round Bonuses'!$C$7, H51="X", 'Round Bonuses'!$C$6, G51="X", 'Round Bonuses'!$C$5, F51="X", 'Round Bonuses'!$C$4, E51="X", 'Round Bonuses'!$C$3, D51="X", 'Round Bonuses'!$C$3, TRUE, 0)</f>
        <v>#NAME?</v>
      </c>
      <c r="BA51" s="2">
        <f t="shared" ca="1" si="1"/>
        <v>7.1149999999999904</v>
      </c>
      <c r="BB51" s="10" t="e">
        <f t="shared" ca="1" si="2"/>
        <v>#NAME?</v>
      </c>
      <c r="BD51" s="11" t="str">
        <f t="shared" ca="1" si="3"/>
        <v>CSKA Moscow</v>
      </c>
      <c r="BE51" s="2" t="str">
        <f t="shared" ca="1" si="4"/>
        <v>Russia</v>
      </c>
      <c r="BF51" s="2" t="e">
        <f t="shared" ca="1" si="5"/>
        <v>#NAME?</v>
      </c>
      <c r="BG51" s="2">
        <f t="shared" ca="1" si="6"/>
        <v>6</v>
      </c>
      <c r="BH51" s="2" t="s">
        <v>86</v>
      </c>
      <c r="BI51" s="2" t="s">
        <v>16</v>
      </c>
      <c r="BJ51" s="7">
        <v>7.2960937499999998</v>
      </c>
      <c r="BK51" s="2">
        <v>8</v>
      </c>
      <c r="BL51" s="2">
        <f t="shared" si="10"/>
        <v>49</v>
      </c>
      <c r="BM51" s="2" t="str">
        <f t="shared" si="7"/>
        <v>Leicester City</v>
      </c>
      <c r="BN51" s="7">
        <f t="shared" ref="BN51:BO51" si="58">BJ51</f>
        <v>7.2960937499999998</v>
      </c>
      <c r="BO51" s="2">
        <f t="shared" si="58"/>
        <v>8</v>
      </c>
      <c r="BS51" s="2" t="str">
        <f t="shared" si="9"/>
        <v>England</v>
      </c>
    </row>
    <row r="52" spans="1:71" ht="13.8" x14ac:dyDescent="0.45">
      <c r="A52" s="2" t="str">
        <f ca="1">IFERROR(__xludf.DUMMYFUNCTION("""COMPUTED_VALUE"""),"CSKA Sofia")</f>
        <v>CSKA Sofia</v>
      </c>
      <c r="B52" s="2">
        <f ca="1">IFERROR(__xludf.DUMMYFUNCTION("""COMPUTED_VALUE"""),0.71)</f>
        <v>0.71</v>
      </c>
      <c r="C52" s="2" t="str">
        <f ca="1">IFERROR(__xludf.DUMMYFUNCTION("""COMPUTED_VALUE"""),"Bulgaria")</f>
        <v>Bulgaria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5">
        <f ca="1">IFERROR(__xludf.DUMMYFUNCTION("""COMPUTED_VALUE"""),0)</f>
        <v>0</v>
      </c>
      <c r="P52" s="2">
        <f ca="1">IFERROR(__xludf.DUMMYFUNCTION("""COMPUTED_VALUE"""),0)</f>
        <v>0</v>
      </c>
      <c r="Q52" s="2">
        <f ca="1">IFERROR(__xludf.DUMMYFUNCTION("""COMPUTED_VALUE"""),0)</f>
        <v>0</v>
      </c>
      <c r="R52" s="2">
        <f ca="1">IFERROR(__xludf.DUMMYFUNCTION("""COMPUTED_VALUE"""),0)</f>
        <v>0</v>
      </c>
      <c r="S52" s="2">
        <f ca="1">IFERROR(__xludf.DUMMYFUNCTION("""COMPUTED_VALUE"""),0)</f>
        <v>0</v>
      </c>
      <c r="T52" s="2">
        <f ca="1">IFERROR(__xludf.DUMMYFUNCTION("""COMPUTED_VALUE"""),0)</f>
        <v>0</v>
      </c>
      <c r="U52" s="2">
        <f ca="1">IFERROR(__xludf.DUMMYFUNCTION("""COMPUTED_VALUE"""),0)</f>
        <v>0</v>
      </c>
      <c r="V52" s="2">
        <f ca="1">IFERROR(__xludf.DUMMYFUNCTION("""COMPUTED_VALUE"""),0)</f>
        <v>0</v>
      </c>
      <c r="W52" s="2">
        <f ca="1">IFERROR(__xludf.DUMMYFUNCTION("""COMPUTED_VALUE"""),0)</f>
        <v>0</v>
      </c>
      <c r="X52" s="2">
        <f ca="1">IFERROR(__xludf.DUMMYFUNCTION("""COMPUTED_VALUE"""),0)</f>
        <v>0</v>
      </c>
      <c r="Y52" s="2">
        <f ca="1">IFERROR(__xludf.DUMMYFUNCTION("""COMPUTED_VALUE"""),0)</f>
        <v>0</v>
      </c>
      <c r="AB52" s="2"/>
      <c r="AC52" s="2" t="str">
        <f ca="1">IFERROR(__xludf.DUMMYFUNCTION("""COMPUTED_VALUE"""),"X")</f>
        <v>X</v>
      </c>
      <c r="AD52" s="2" t="str">
        <f ca="1">IFERROR(__xludf.DUMMYFUNCTION("""COMPUTED_VALUE"""),"X")</f>
        <v>X</v>
      </c>
      <c r="AE52" s="2" t="str">
        <f ca="1">IFERROR(__xludf.DUMMYFUNCTION("""COMPUTED_VALUE"""),"X")</f>
        <v>X</v>
      </c>
      <c r="AF52" s="2" t="str">
        <f ca="1">IFERROR(__xludf.DUMMYFUNCTION("""COMPUTED_VALUE"""),"X")</f>
        <v>X</v>
      </c>
      <c r="AG52" s="2" t="str">
        <f ca="1">IFERROR(__xludf.DUMMYFUNCTION("""COMPUTED_VALUE"""),"X")</f>
        <v>X</v>
      </c>
      <c r="AH52" s="2"/>
      <c r="AI52" s="2"/>
      <c r="AJ52" s="2"/>
      <c r="AK52" s="2"/>
      <c r="AL52" s="2"/>
      <c r="AM52" s="2">
        <f ca="1">IFERROR(__xludf.DUMMYFUNCTION("""COMPUTED_VALUE"""),0)</f>
        <v>0</v>
      </c>
      <c r="AN52" s="2">
        <f ca="1">IFERROR(__xludf.DUMMYFUNCTION("""COMPUTED_VALUE"""),2.145)</f>
        <v>2.145</v>
      </c>
      <c r="AO52" s="2">
        <f ca="1">IFERROR(__xludf.DUMMYFUNCTION("""COMPUTED_VALUE"""),3.2725)</f>
        <v>3.2725</v>
      </c>
      <c r="AP52" s="2">
        <f ca="1">IFERROR(__xludf.DUMMYFUNCTION("""COMPUTED_VALUE"""),2.0825)</f>
        <v>2.0825</v>
      </c>
      <c r="AQ52" s="2">
        <f ca="1">IFERROR(__xludf.DUMMYFUNCTION("""COMPUTED_VALUE"""),3.4425)</f>
        <v>3.4424999999999999</v>
      </c>
      <c r="AR52" s="2">
        <f ca="1">IFERROR(__xludf.DUMMYFUNCTION("""COMPUTED_VALUE"""),8.8525)</f>
        <v>8.8524999999999991</v>
      </c>
      <c r="AS52" s="2">
        <f ca="1">IFERROR(__xludf.DUMMYFUNCTION("""COMPUTED_VALUE"""),0)</f>
        <v>0</v>
      </c>
      <c r="AT52" s="2">
        <f ca="1">IFERROR(__xludf.DUMMYFUNCTION("""COMPUTED_VALUE"""),0)</f>
        <v>0</v>
      </c>
      <c r="AU52" s="2">
        <f ca="1">IFERROR(__xludf.DUMMYFUNCTION("""COMPUTED_VALUE"""),0)</f>
        <v>0</v>
      </c>
      <c r="AV52" s="2">
        <f ca="1">IFERROR(__xludf.DUMMYFUNCTION("""COMPUTED_VALUE"""),0)</f>
        <v>0</v>
      </c>
      <c r="AW52" s="2">
        <f ca="1">IFERROR(__xludf.DUMMYFUNCTION("""COMPUTED_VALUE"""),0)</f>
        <v>0</v>
      </c>
      <c r="AY52" s="2">
        <f t="shared" ca="1" si="0"/>
        <v>10</v>
      </c>
      <c r="AZ52" s="2" t="e">
        <f ca="1">IF(NOT(COUNTA(D52:J52)), _xludf.IFS(AL52="W", 'Round Bonuses'!$F$14, AL52="X", 'Round Bonuses'!$F$13, AK52="X", 'Round Bonuses'!$F$12, AJ52="X", 'Round Bonuses'!$F$11, AI52="X", 'Round Bonuses'!$F$10, AH52="X", 'Round Bonuses'!$F$9, AG52="X", 'Round Bonuses'!$F$8, AF52="X", 'Round Bonuses'!$F$7, AE52="X", 'Round Bonuses'!$F$6, AD52="X", 'Round Bonuses'!$F$5, AC52="X", 'Round Bonuses'!$F$4, AB52="X", 'Round Bonuses'!$F$3, TRUE, 0), IF(AA52="X", _xludf.IFS(AD52="X", 'Round Bonuses'!$E$4, AF52="X",'Round Bonuses'!$E$6,TRUE, 'Round Bonuses'!$E$7), 0) +IF(AB52="X", 'Round Bonuses'!$E$3, 0)+IF(AC52="X",'Round Bonuses'!$E$4, 0)+IF(AD52="X", 'Round Bonuses'!$E$5, 0)+IF(AE52="X", 'Round Bonuses'!$E$6, 0)+IF(AF52="X", 'Round Bonuses'!$E$7, 0)+IF(AG52="X", 'Round Bonuses'!$E$8, 0)+_xludf.IFS(AL52="W", 'Round Bonuses'!$G$14, AL52="X", 'Round Bonuses'!$G$13, AK52="X", 'Round Bonuses'!$G$12, AJ52="X", 'Round Bonuses'!$G$11, AI52="X", 'Round Bonuses'!$G$10, AH52="X", 'Round Bonuses'!$G$9, TRUE, 0))+_xludf.IFS(N52="W", 'Round Bonuses'!$C$13, N52="X", 'Round Bonuses'!$C$12, M52="X", 'Round Bonuses'!$C$11, L52="X", 'Round Bonuses'!$C$10, K52="X", 'Round Bonuses'!$C$9, J52="X", 'Round Bonuses'!$C$8, I52="X", 'Round Bonuses'!$C$7, H52="X", 'Round Bonuses'!$C$6, G52="X", 'Round Bonuses'!$C$5, F52="X", 'Round Bonuses'!$C$4, E52="X", 'Round Bonuses'!$C$3, D52="X", 'Round Bonuses'!$C$3, TRUE, 0)</f>
        <v>#NAME?</v>
      </c>
      <c r="BA52" s="2">
        <f t="shared" ca="1" si="1"/>
        <v>19.794999999999998</v>
      </c>
      <c r="BB52" s="10" t="e">
        <f t="shared" ca="1" si="2"/>
        <v>#NAME?</v>
      </c>
      <c r="BD52" s="11" t="str">
        <f t="shared" ca="1" si="3"/>
        <v>CSKA Sofia</v>
      </c>
      <c r="BE52" s="2" t="str">
        <f t="shared" ca="1" si="4"/>
        <v>Bulgaria</v>
      </c>
      <c r="BF52" s="2" t="e">
        <f t="shared" ca="1" si="5"/>
        <v>#NAME?</v>
      </c>
      <c r="BG52" s="2">
        <f t="shared" ca="1" si="6"/>
        <v>10</v>
      </c>
      <c r="BH52" s="2" t="s">
        <v>87</v>
      </c>
      <c r="BI52" s="2" t="s">
        <v>23</v>
      </c>
      <c r="BJ52" s="7">
        <v>7.2896874999999994</v>
      </c>
      <c r="BK52" s="2">
        <v>8</v>
      </c>
      <c r="BL52" s="2">
        <f t="shared" si="10"/>
        <v>50</v>
      </c>
      <c r="BM52" s="2" t="str">
        <f t="shared" si="7"/>
        <v>Bayer Leverkusen</v>
      </c>
      <c r="BN52" s="7">
        <f t="shared" ref="BN52:BO52" si="59">BJ52</f>
        <v>7.2896874999999994</v>
      </c>
      <c r="BO52" s="2">
        <f t="shared" si="59"/>
        <v>8</v>
      </c>
      <c r="BS52" s="2" t="str">
        <f t="shared" si="9"/>
        <v>Germany</v>
      </c>
    </row>
    <row r="53" spans="1:71" ht="13.8" x14ac:dyDescent="0.45">
      <c r="A53" s="2" t="str">
        <f ca="1">IFERROR(__xludf.DUMMYFUNCTION("""COMPUTED_VALUE"""),"DAC Dunajská Streda")</f>
        <v>DAC Dunajská Streda</v>
      </c>
      <c r="B53" s="2">
        <f ca="1">IFERROR(__xludf.DUMMYFUNCTION("""COMPUTED_VALUE"""),0.679999999999999)</f>
        <v>0.67999999999999905</v>
      </c>
      <c r="C53" s="2" t="str">
        <f ca="1">IFERROR(__xludf.DUMMYFUNCTION("""COMPUTED_VALUE"""),"Slovakia")</f>
        <v>Slovakia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5">
        <f ca="1">IFERROR(__xludf.DUMMYFUNCTION("""COMPUTED_VALUE"""),0)</f>
        <v>0</v>
      </c>
      <c r="P53" s="2">
        <f ca="1">IFERROR(__xludf.DUMMYFUNCTION("""COMPUTED_VALUE"""),0)</f>
        <v>0</v>
      </c>
      <c r="Q53" s="2">
        <f ca="1">IFERROR(__xludf.DUMMYFUNCTION("""COMPUTED_VALUE"""),0)</f>
        <v>0</v>
      </c>
      <c r="R53" s="2">
        <f ca="1">IFERROR(__xludf.DUMMYFUNCTION("""COMPUTED_VALUE"""),0)</f>
        <v>0</v>
      </c>
      <c r="S53" s="2">
        <f ca="1">IFERROR(__xludf.DUMMYFUNCTION("""COMPUTED_VALUE"""),0)</f>
        <v>0</v>
      </c>
      <c r="T53" s="2">
        <f ca="1">IFERROR(__xludf.DUMMYFUNCTION("""COMPUTED_VALUE"""),0)</f>
        <v>0</v>
      </c>
      <c r="U53" s="2">
        <f ca="1">IFERROR(__xludf.DUMMYFUNCTION("""COMPUTED_VALUE"""),0)</f>
        <v>0</v>
      </c>
      <c r="V53" s="2">
        <f ca="1">IFERROR(__xludf.DUMMYFUNCTION("""COMPUTED_VALUE"""),0)</f>
        <v>0</v>
      </c>
      <c r="W53" s="2">
        <f ca="1">IFERROR(__xludf.DUMMYFUNCTION("""COMPUTED_VALUE"""),0)</f>
        <v>0</v>
      </c>
      <c r="X53" s="2">
        <f ca="1">IFERROR(__xludf.DUMMYFUNCTION("""COMPUTED_VALUE"""),0)</f>
        <v>0</v>
      </c>
      <c r="Y53" s="2">
        <f ca="1">IFERROR(__xludf.DUMMYFUNCTION("""COMPUTED_VALUE"""),0)</f>
        <v>0</v>
      </c>
      <c r="AB53" s="2"/>
      <c r="AC53" s="2" t="str">
        <f ca="1">IFERROR(__xludf.DUMMYFUNCTION("""COMPUTED_VALUE"""),"X")</f>
        <v>X</v>
      </c>
      <c r="AD53" s="2" t="str">
        <f ca="1">IFERROR(__xludf.DUMMYFUNCTION("""COMPUTED_VALUE"""),"X")</f>
        <v>X</v>
      </c>
      <c r="AE53" s="2" t="str">
        <f ca="1">IFERROR(__xludf.DUMMYFUNCTION("""COMPUTED_VALUE"""),"X")</f>
        <v>X</v>
      </c>
      <c r="AF53" s="2"/>
      <c r="AG53" s="2"/>
      <c r="AH53" s="2"/>
      <c r="AI53" s="2"/>
      <c r="AJ53" s="2"/>
      <c r="AK53" s="2"/>
      <c r="AL53" s="2"/>
      <c r="AM53" s="2">
        <f ca="1">IFERROR(__xludf.DUMMYFUNCTION("""COMPUTED_VALUE"""),0)</f>
        <v>0</v>
      </c>
      <c r="AN53" s="2">
        <f ca="1">IFERROR(__xludf.DUMMYFUNCTION("""COMPUTED_VALUE"""),2.5075)</f>
        <v>2.5074999999999998</v>
      </c>
      <c r="AO53" s="2">
        <f ca="1">IFERROR(__xludf.DUMMYFUNCTION("""COMPUTED_VALUE"""),3.57)</f>
        <v>3.57</v>
      </c>
      <c r="AP53" s="2">
        <f ca="1">IFERROR(__xludf.DUMMYFUNCTION("""COMPUTED_VALUE"""),-0.025)</f>
        <v>-2.5000000000000001E-2</v>
      </c>
      <c r="AQ53" s="2">
        <f ca="1">IFERROR(__xludf.DUMMYFUNCTION("""COMPUTED_VALUE"""),0)</f>
        <v>0</v>
      </c>
      <c r="AR53" s="2">
        <f ca="1">IFERROR(__xludf.DUMMYFUNCTION("""COMPUTED_VALUE"""),0)</f>
        <v>0</v>
      </c>
      <c r="AS53" s="2">
        <f ca="1">IFERROR(__xludf.DUMMYFUNCTION("""COMPUTED_VALUE"""),0)</f>
        <v>0</v>
      </c>
      <c r="AT53" s="2">
        <f ca="1">IFERROR(__xludf.DUMMYFUNCTION("""COMPUTED_VALUE"""),0)</f>
        <v>0</v>
      </c>
      <c r="AU53" s="2">
        <f ca="1">IFERROR(__xludf.DUMMYFUNCTION("""COMPUTED_VALUE"""),0)</f>
        <v>0</v>
      </c>
      <c r="AV53" s="2">
        <f ca="1">IFERROR(__xludf.DUMMYFUNCTION("""COMPUTED_VALUE"""),0)</f>
        <v>0</v>
      </c>
      <c r="AW53" s="2">
        <f ca="1">IFERROR(__xludf.DUMMYFUNCTION("""COMPUTED_VALUE"""),0)</f>
        <v>0</v>
      </c>
      <c r="AY53" s="2">
        <f t="shared" ca="1" si="0"/>
        <v>3</v>
      </c>
      <c r="AZ53" s="2" t="e">
        <f ca="1">IF(NOT(COUNTA(D53:J53)), _xludf.IFS(AL53="W", 'Round Bonuses'!$F$14, AL53="X", 'Round Bonuses'!$F$13, AK53="X", 'Round Bonuses'!$F$12, AJ53="X", 'Round Bonuses'!$F$11, AI53="X", 'Round Bonuses'!$F$10, AH53="X", 'Round Bonuses'!$F$9, AG53="X", 'Round Bonuses'!$F$8, AF53="X", 'Round Bonuses'!$F$7, AE53="X", 'Round Bonuses'!$F$6, AD53="X", 'Round Bonuses'!$F$5, AC53="X", 'Round Bonuses'!$F$4, AB53="X", 'Round Bonuses'!$F$3, TRUE, 0), IF(AA53="X", _xludf.IFS(AD53="X", 'Round Bonuses'!$E$4, AF53="X",'Round Bonuses'!$E$6,TRUE, 'Round Bonuses'!$E$7), 0) +IF(AB53="X", 'Round Bonuses'!$E$3, 0)+IF(AC53="X",'Round Bonuses'!$E$4, 0)+IF(AD53="X", 'Round Bonuses'!$E$5, 0)+IF(AE53="X", 'Round Bonuses'!$E$6, 0)+IF(AF53="X", 'Round Bonuses'!$E$7, 0)+IF(AG53="X", 'Round Bonuses'!$E$8, 0)+_xludf.IFS(AL53="W", 'Round Bonuses'!$G$14, AL53="X", 'Round Bonuses'!$G$13, AK53="X", 'Round Bonuses'!$G$12, AJ53="X", 'Round Bonuses'!$G$11, AI53="X", 'Round Bonuses'!$G$10, AH53="X", 'Round Bonuses'!$G$9, TRUE, 0))+_xludf.IFS(N53="W", 'Round Bonuses'!$C$13, N53="X", 'Round Bonuses'!$C$12, M53="X", 'Round Bonuses'!$C$11, L53="X", 'Round Bonuses'!$C$10, K53="X", 'Round Bonuses'!$C$9, J53="X", 'Round Bonuses'!$C$8, I53="X", 'Round Bonuses'!$C$7, H53="X", 'Round Bonuses'!$C$6, G53="X", 'Round Bonuses'!$C$5, F53="X", 'Round Bonuses'!$C$4, E53="X", 'Round Bonuses'!$C$3, D53="X", 'Round Bonuses'!$C$3, TRUE, 0)</f>
        <v>#NAME?</v>
      </c>
      <c r="BA53" s="2">
        <f t="shared" ca="1" si="1"/>
        <v>6.0524999999999993</v>
      </c>
      <c r="BB53" s="10" t="e">
        <f t="shared" ca="1" si="2"/>
        <v>#NAME?</v>
      </c>
      <c r="BD53" s="11" t="str">
        <f t="shared" ca="1" si="3"/>
        <v>DAC Dunajská Streda</v>
      </c>
      <c r="BE53" s="2" t="str">
        <f t="shared" ca="1" si="4"/>
        <v>Slovakia</v>
      </c>
      <c r="BF53" s="2" t="e">
        <f t="shared" ca="1" si="5"/>
        <v>#NAME?</v>
      </c>
      <c r="BG53" s="2">
        <f t="shared" ca="1" si="6"/>
        <v>3</v>
      </c>
      <c r="BH53" s="2" t="s">
        <v>88</v>
      </c>
      <c r="BI53" s="2" t="s">
        <v>33</v>
      </c>
      <c r="BJ53" s="7">
        <v>7.2570312499999998</v>
      </c>
      <c r="BK53" s="2">
        <v>8</v>
      </c>
      <c r="BL53" s="2">
        <f t="shared" si="10"/>
        <v>51</v>
      </c>
      <c r="BM53" s="2" t="str">
        <f t="shared" si="7"/>
        <v>Napoli</v>
      </c>
      <c r="BN53" s="7">
        <f t="shared" ref="BN53:BO53" si="60">BJ53</f>
        <v>7.2570312499999998</v>
      </c>
      <c r="BO53" s="2">
        <f t="shared" si="60"/>
        <v>8</v>
      </c>
      <c r="BS53" s="2" t="str">
        <f t="shared" si="9"/>
        <v>Italy</v>
      </c>
    </row>
    <row r="54" spans="1:71" ht="13.8" x14ac:dyDescent="0.45">
      <c r="A54" s="2" t="str">
        <f ca="1">IFERROR(__xludf.DUMMYFUNCTION("""COMPUTED_VALUE"""),"Derry City")</f>
        <v>Derry City</v>
      </c>
      <c r="B54" s="2">
        <f ca="1">IFERROR(__xludf.DUMMYFUNCTION("""COMPUTED_VALUE"""),0.6)</f>
        <v>0.6</v>
      </c>
      <c r="C54" s="2" t="str">
        <f ca="1">IFERROR(__xludf.DUMMYFUNCTION("""COMPUTED_VALUE"""),"Republic of Ireland")</f>
        <v>Republic of Ireland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5">
        <f ca="1">IFERROR(__xludf.DUMMYFUNCTION("""COMPUTED_VALUE"""),0)</f>
        <v>0</v>
      </c>
      <c r="P54" s="2">
        <f ca="1">IFERROR(__xludf.DUMMYFUNCTION("""COMPUTED_VALUE"""),0)</f>
        <v>0</v>
      </c>
      <c r="Q54" s="2">
        <f ca="1">IFERROR(__xludf.DUMMYFUNCTION("""COMPUTED_VALUE"""),0)</f>
        <v>0</v>
      </c>
      <c r="R54" s="2">
        <f ca="1">IFERROR(__xludf.DUMMYFUNCTION("""COMPUTED_VALUE"""),0)</f>
        <v>0</v>
      </c>
      <c r="S54" s="2">
        <f ca="1">IFERROR(__xludf.DUMMYFUNCTION("""COMPUTED_VALUE"""),0)</f>
        <v>0</v>
      </c>
      <c r="T54" s="2">
        <f ca="1">IFERROR(__xludf.DUMMYFUNCTION("""COMPUTED_VALUE"""),0)</f>
        <v>0</v>
      </c>
      <c r="U54" s="2">
        <f ca="1">IFERROR(__xludf.DUMMYFUNCTION("""COMPUTED_VALUE"""),0)</f>
        <v>0</v>
      </c>
      <c r="V54" s="2">
        <f ca="1">IFERROR(__xludf.DUMMYFUNCTION("""COMPUTED_VALUE"""),0)</f>
        <v>0</v>
      </c>
      <c r="W54" s="2">
        <f ca="1">IFERROR(__xludf.DUMMYFUNCTION("""COMPUTED_VALUE"""),0)</f>
        <v>0</v>
      </c>
      <c r="X54" s="2">
        <f ca="1">IFERROR(__xludf.DUMMYFUNCTION("""COMPUTED_VALUE"""),0)</f>
        <v>0</v>
      </c>
      <c r="Y54" s="2">
        <f ca="1">IFERROR(__xludf.DUMMYFUNCTION("""COMPUTED_VALUE"""),0)</f>
        <v>0</v>
      </c>
      <c r="AB54" s="2"/>
      <c r="AC54" s="2" t="str">
        <f ca="1">IFERROR(__xludf.DUMMYFUNCTION("""COMPUTED_VALUE"""),"X")</f>
        <v>X</v>
      </c>
      <c r="AD54" s="2"/>
      <c r="AE54" s="2"/>
      <c r="AF54" s="2"/>
      <c r="AG54" s="2"/>
      <c r="AH54" s="2"/>
      <c r="AI54" s="2"/>
      <c r="AJ54" s="2"/>
      <c r="AK54" s="2"/>
      <c r="AL54" s="2"/>
      <c r="AM54" s="2">
        <f ca="1">IFERROR(__xludf.DUMMYFUNCTION("""COMPUTED_VALUE"""),0)</f>
        <v>0</v>
      </c>
      <c r="AN54" s="2">
        <f ca="1">IFERROR(__xludf.DUMMYFUNCTION("""COMPUTED_VALUE"""),0.444999999999999)</f>
        <v>0.44499999999999901</v>
      </c>
      <c r="AO54" s="2">
        <f ca="1">IFERROR(__xludf.DUMMYFUNCTION("""COMPUTED_VALUE"""),0)</f>
        <v>0</v>
      </c>
      <c r="AP54" s="2">
        <f ca="1">IFERROR(__xludf.DUMMYFUNCTION("""COMPUTED_VALUE"""),0)</f>
        <v>0</v>
      </c>
      <c r="AQ54" s="2">
        <f ca="1">IFERROR(__xludf.DUMMYFUNCTION("""COMPUTED_VALUE"""),0)</f>
        <v>0</v>
      </c>
      <c r="AR54" s="2">
        <f ca="1">IFERROR(__xludf.DUMMYFUNCTION("""COMPUTED_VALUE"""),0)</f>
        <v>0</v>
      </c>
      <c r="AS54" s="2">
        <f ca="1">IFERROR(__xludf.DUMMYFUNCTION("""COMPUTED_VALUE"""),0)</f>
        <v>0</v>
      </c>
      <c r="AT54" s="2">
        <f ca="1">IFERROR(__xludf.DUMMYFUNCTION("""COMPUTED_VALUE"""),0)</f>
        <v>0</v>
      </c>
      <c r="AU54" s="2">
        <f ca="1">IFERROR(__xludf.DUMMYFUNCTION("""COMPUTED_VALUE"""),0)</f>
        <v>0</v>
      </c>
      <c r="AV54" s="2">
        <f ca="1">IFERROR(__xludf.DUMMYFUNCTION("""COMPUTED_VALUE"""),0)</f>
        <v>0</v>
      </c>
      <c r="AW54" s="2">
        <f ca="1">IFERROR(__xludf.DUMMYFUNCTION("""COMPUTED_VALUE"""),0)</f>
        <v>0</v>
      </c>
      <c r="AY54" s="2">
        <f t="shared" ca="1" si="0"/>
        <v>1</v>
      </c>
      <c r="AZ54" s="2" t="e">
        <f ca="1">IF(NOT(COUNTA(D54:J54)), _xludf.IFS(AL54="W", 'Round Bonuses'!$F$14, AL54="X", 'Round Bonuses'!$F$13, AK54="X", 'Round Bonuses'!$F$12, AJ54="X", 'Round Bonuses'!$F$11, AI54="X", 'Round Bonuses'!$F$10, AH54="X", 'Round Bonuses'!$F$9, AG54="X", 'Round Bonuses'!$F$8, AF54="X", 'Round Bonuses'!$F$7, AE54="X", 'Round Bonuses'!$F$6, AD54="X", 'Round Bonuses'!$F$5, AC54="X", 'Round Bonuses'!$F$4, AB54="X", 'Round Bonuses'!$F$3, TRUE, 0), IF(AA54="X", _xludf.IFS(AD54="X", 'Round Bonuses'!$E$4, AF54="X",'Round Bonuses'!$E$6,TRUE, 'Round Bonuses'!$E$7), 0) +IF(AB54="X", 'Round Bonuses'!$E$3, 0)+IF(AC54="X",'Round Bonuses'!$E$4, 0)+IF(AD54="X", 'Round Bonuses'!$E$5, 0)+IF(AE54="X", 'Round Bonuses'!$E$6, 0)+IF(AF54="X", 'Round Bonuses'!$E$7, 0)+IF(AG54="X", 'Round Bonuses'!$E$8, 0)+_xludf.IFS(AL54="W", 'Round Bonuses'!$G$14, AL54="X", 'Round Bonuses'!$G$13, AK54="X", 'Round Bonuses'!$G$12, AJ54="X", 'Round Bonuses'!$G$11, AI54="X", 'Round Bonuses'!$G$10, AH54="X", 'Round Bonuses'!$G$9, TRUE, 0))+_xludf.IFS(N54="W", 'Round Bonuses'!$C$13, N54="X", 'Round Bonuses'!$C$12, M54="X", 'Round Bonuses'!$C$11, L54="X", 'Round Bonuses'!$C$10, K54="X", 'Round Bonuses'!$C$9, J54="X", 'Round Bonuses'!$C$8, I54="X", 'Round Bonuses'!$C$7, H54="X", 'Round Bonuses'!$C$6, G54="X", 'Round Bonuses'!$C$5, F54="X", 'Round Bonuses'!$C$4, E54="X", 'Round Bonuses'!$C$3, D54="X", 'Round Bonuses'!$C$3, TRUE, 0)</f>
        <v>#NAME?</v>
      </c>
      <c r="BA54" s="2">
        <f t="shared" ca="1" si="1"/>
        <v>0.44499999999999901</v>
      </c>
      <c r="BB54" s="10" t="e">
        <f t="shared" ca="1" si="2"/>
        <v>#NAME?</v>
      </c>
      <c r="BD54" s="11" t="str">
        <f t="shared" ca="1" si="3"/>
        <v>Derry City</v>
      </c>
      <c r="BE54" s="2" t="str">
        <f t="shared" ca="1" si="4"/>
        <v>Republic of Ireland</v>
      </c>
      <c r="BF54" s="2" t="e">
        <f t="shared" ca="1" si="5"/>
        <v>#NAME?</v>
      </c>
      <c r="BG54" s="2">
        <f t="shared" ca="1" si="6"/>
        <v>1</v>
      </c>
      <c r="BH54" s="2" t="s">
        <v>89</v>
      </c>
      <c r="BI54" s="2" t="s">
        <v>27</v>
      </c>
      <c r="BJ54" s="7">
        <v>7.0973437500000003</v>
      </c>
      <c r="BK54" s="2">
        <v>8</v>
      </c>
      <c r="BL54" s="2">
        <f t="shared" si="10"/>
        <v>52</v>
      </c>
      <c r="BM54" s="2" t="str">
        <f t="shared" si="7"/>
        <v>Braga</v>
      </c>
      <c r="BN54" s="7">
        <f t="shared" ref="BN54:BO54" si="61">BJ54</f>
        <v>7.0973437500000003</v>
      </c>
      <c r="BO54" s="2">
        <f t="shared" si="61"/>
        <v>8</v>
      </c>
      <c r="BS54" s="2" t="str">
        <f t="shared" si="9"/>
        <v>Portugal</v>
      </c>
    </row>
    <row r="55" spans="1:71" ht="13.8" x14ac:dyDescent="0.45">
      <c r="A55" s="2" t="str">
        <f ca="1">IFERROR(__xludf.DUMMYFUNCTION("""COMPUTED_VALUE"""),"Desna Chernihiv")</f>
        <v>Desna Chernihiv</v>
      </c>
      <c r="B55" s="2">
        <f ca="1">IFERROR(__xludf.DUMMYFUNCTION("""COMPUTED_VALUE"""),0.88)</f>
        <v>0.88</v>
      </c>
      <c r="C55" s="2" t="str">
        <f ca="1">IFERROR(__xludf.DUMMYFUNCTION("""COMPUTED_VALUE"""),"Ukraine")</f>
        <v>Ukraine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5">
        <f ca="1">IFERROR(__xludf.DUMMYFUNCTION("""COMPUTED_VALUE"""),0)</f>
        <v>0</v>
      </c>
      <c r="P55" s="2">
        <f ca="1">IFERROR(__xludf.DUMMYFUNCTION("""COMPUTED_VALUE"""),0)</f>
        <v>0</v>
      </c>
      <c r="Q55" s="2">
        <f ca="1">IFERROR(__xludf.DUMMYFUNCTION("""COMPUTED_VALUE"""),0)</f>
        <v>0</v>
      </c>
      <c r="R55" s="2">
        <f ca="1">IFERROR(__xludf.DUMMYFUNCTION("""COMPUTED_VALUE"""),0)</f>
        <v>0</v>
      </c>
      <c r="S55" s="2">
        <f ca="1">IFERROR(__xludf.DUMMYFUNCTION("""COMPUTED_VALUE"""),0)</f>
        <v>0</v>
      </c>
      <c r="T55" s="2">
        <f ca="1">IFERROR(__xludf.DUMMYFUNCTION("""COMPUTED_VALUE"""),0)</f>
        <v>0</v>
      </c>
      <c r="U55" s="2">
        <f ca="1">IFERROR(__xludf.DUMMYFUNCTION("""COMPUTED_VALUE"""),0)</f>
        <v>0</v>
      </c>
      <c r="V55" s="2">
        <f ca="1">IFERROR(__xludf.DUMMYFUNCTION("""COMPUTED_VALUE"""),0)</f>
        <v>0</v>
      </c>
      <c r="W55" s="2">
        <f ca="1">IFERROR(__xludf.DUMMYFUNCTION("""COMPUTED_VALUE"""),0)</f>
        <v>0</v>
      </c>
      <c r="X55" s="2">
        <f ca="1">IFERROR(__xludf.DUMMYFUNCTION("""COMPUTED_VALUE"""),0)</f>
        <v>0</v>
      </c>
      <c r="Y55" s="2">
        <f ca="1">IFERROR(__xludf.DUMMYFUNCTION("""COMPUTED_VALUE"""),0)</f>
        <v>0</v>
      </c>
      <c r="AB55" s="2"/>
      <c r="AC55" s="2"/>
      <c r="AD55" s="2"/>
      <c r="AE55" s="2" t="str">
        <f ca="1">IFERROR(__xludf.DUMMYFUNCTION("""COMPUTED_VALUE"""),"X")</f>
        <v>X</v>
      </c>
      <c r="AF55" s="2"/>
      <c r="AG55" s="2"/>
      <c r="AH55" s="2"/>
      <c r="AI55" s="2"/>
      <c r="AJ55" s="2"/>
      <c r="AK55" s="2"/>
      <c r="AL55" s="2"/>
      <c r="AM55" s="2">
        <f ca="1">IFERROR(__xludf.DUMMYFUNCTION("""COMPUTED_VALUE"""),0)</f>
        <v>0</v>
      </c>
      <c r="AN55" s="2">
        <f ca="1">IFERROR(__xludf.DUMMYFUNCTION("""COMPUTED_VALUE"""),0)</f>
        <v>0</v>
      </c>
      <c r="AO55" s="2">
        <f ca="1">IFERROR(__xludf.DUMMYFUNCTION("""COMPUTED_VALUE"""),0)</f>
        <v>0</v>
      </c>
      <c r="AP55" s="2">
        <f ca="1">IFERROR(__xludf.DUMMYFUNCTION("""COMPUTED_VALUE"""),0.649999999999999)</f>
        <v>0.64999999999999902</v>
      </c>
      <c r="AQ55" s="2">
        <f ca="1">IFERROR(__xludf.DUMMYFUNCTION("""COMPUTED_VALUE"""),0)</f>
        <v>0</v>
      </c>
      <c r="AR55" s="2">
        <f ca="1">IFERROR(__xludf.DUMMYFUNCTION("""COMPUTED_VALUE"""),0)</f>
        <v>0</v>
      </c>
      <c r="AS55" s="2">
        <f ca="1">IFERROR(__xludf.DUMMYFUNCTION("""COMPUTED_VALUE"""),0)</f>
        <v>0</v>
      </c>
      <c r="AT55" s="2">
        <f ca="1">IFERROR(__xludf.DUMMYFUNCTION("""COMPUTED_VALUE"""),0)</f>
        <v>0</v>
      </c>
      <c r="AU55" s="2">
        <f ca="1">IFERROR(__xludf.DUMMYFUNCTION("""COMPUTED_VALUE"""),0)</f>
        <v>0</v>
      </c>
      <c r="AV55" s="2">
        <f ca="1">IFERROR(__xludf.DUMMYFUNCTION("""COMPUTED_VALUE"""),0)</f>
        <v>0</v>
      </c>
      <c r="AW55" s="2">
        <f ca="1">IFERROR(__xludf.DUMMYFUNCTION("""COMPUTED_VALUE"""),0)</f>
        <v>0</v>
      </c>
      <c r="AY55" s="2">
        <f t="shared" ca="1" si="0"/>
        <v>1</v>
      </c>
      <c r="AZ55" s="2" t="e">
        <f ca="1">IF(NOT(COUNTA(D55:J55)), _xludf.IFS(AL55="W", 'Round Bonuses'!$F$14, AL55="X", 'Round Bonuses'!$F$13, AK55="X", 'Round Bonuses'!$F$12, AJ55="X", 'Round Bonuses'!$F$11, AI55="X", 'Round Bonuses'!$F$10, AH55="X", 'Round Bonuses'!$F$9, AG55="X", 'Round Bonuses'!$F$8, AF55="X", 'Round Bonuses'!$F$7, AE55="X", 'Round Bonuses'!$F$6, AD55="X", 'Round Bonuses'!$F$5, AC55="X", 'Round Bonuses'!$F$4, AB55="X", 'Round Bonuses'!$F$3, TRUE, 0), IF(AA55="X", _xludf.IFS(AD55="X", 'Round Bonuses'!$E$4, AF55="X",'Round Bonuses'!$E$6,TRUE, 'Round Bonuses'!$E$7), 0) +IF(AB55="X", 'Round Bonuses'!$E$3, 0)+IF(AC55="X",'Round Bonuses'!$E$4, 0)+IF(AD55="X", 'Round Bonuses'!$E$5, 0)+IF(AE55="X", 'Round Bonuses'!$E$6, 0)+IF(AF55="X", 'Round Bonuses'!$E$7, 0)+IF(AG55="X", 'Round Bonuses'!$E$8, 0)+_xludf.IFS(AL55="W", 'Round Bonuses'!$G$14, AL55="X", 'Round Bonuses'!$G$13, AK55="X", 'Round Bonuses'!$G$12, AJ55="X", 'Round Bonuses'!$G$11, AI55="X", 'Round Bonuses'!$G$10, AH55="X", 'Round Bonuses'!$G$9, TRUE, 0))+_xludf.IFS(N55="W", 'Round Bonuses'!$C$13, N55="X", 'Round Bonuses'!$C$12, M55="X", 'Round Bonuses'!$C$11, L55="X", 'Round Bonuses'!$C$10, K55="X", 'Round Bonuses'!$C$9, J55="X", 'Round Bonuses'!$C$8, I55="X", 'Round Bonuses'!$C$7, H55="X", 'Round Bonuses'!$C$6, G55="X", 'Round Bonuses'!$C$5, F55="X", 'Round Bonuses'!$C$4, E55="X", 'Round Bonuses'!$C$3, D55="X", 'Round Bonuses'!$C$3, TRUE, 0)</f>
        <v>#NAME?</v>
      </c>
      <c r="BA55" s="2">
        <f t="shared" ca="1" si="1"/>
        <v>0.64999999999999902</v>
      </c>
      <c r="BB55" s="10" t="e">
        <f t="shared" ca="1" si="2"/>
        <v>#NAME?</v>
      </c>
      <c r="BD55" s="11" t="str">
        <f t="shared" ca="1" si="3"/>
        <v>Desna Chernihiv</v>
      </c>
      <c r="BE55" s="2" t="str">
        <f t="shared" ca="1" si="4"/>
        <v>Ukraine</v>
      </c>
      <c r="BF55" s="2" t="e">
        <f t="shared" ca="1" si="5"/>
        <v>#NAME?</v>
      </c>
      <c r="BG55" s="2">
        <f t="shared" ca="1" si="6"/>
        <v>1</v>
      </c>
      <c r="BH55" s="2" t="s">
        <v>90</v>
      </c>
      <c r="BI55" s="2" t="s">
        <v>46</v>
      </c>
      <c r="BJ55" s="7">
        <v>7.0677499999999993</v>
      </c>
      <c r="BK55" s="2">
        <v>10</v>
      </c>
      <c r="BL55" s="2">
        <f t="shared" si="10"/>
        <v>53</v>
      </c>
      <c r="BM55" s="2" t="str">
        <f t="shared" si="7"/>
        <v>PAOK</v>
      </c>
      <c r="BN55" s="7">
        <f t="shared" ref="BN55:BO55" si="62">BJ55</f>
        <v>7.0677499999999993</v>
      </c>
      <c r="BO55" s="2">
        <f t="shared" si="62"/>
        <v>10</v>
      </c>
      <c r="BS55" s="2" t="str">
        <f t="shared" si="9"/>
        <v>Greece</v>
      </c>
    </row>
    <row r="56" spans="1:71" ht="13.8" x14ac:dyDescent="0.45">
      <c r="A56" s="2" t="str">
        <f ca="1">IFERROR(__xludf.DUMMYFUNCTION("""COMPUTED_VALUE"""),"Differdange 03")</f>
        <v>Differdange 03</v>
      </c>
      <c r="B56" s="2">
        <f ca="1">IFERROR(__xludf.DUMMYFUNCTION("""COMPUTED_VALUE"""),0.55)</f>
        <v>0.55000000000000004</v>
      </c>
      <c r="C56" s="2" t="str">
        <f ca="1">IFERROR(__xludf.DUMMYFUNCTION("""COMPUTED_VALUE"""),"Luxembourg")</f>
        <v>Luxembourg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5">
        <f ca="1">IFERROR(__xludf.DUMMYFUNCTION("""COMPUTED_VALUE"""),0)</f>
        <v>0</v>
      </c>
      <c r="P56" s="2">
        <f ca="1">IFERROR(__xludf.DUMMYFUNCTION("""COMPUTED_VALUE"""),0)</f>
        <v>0</v>
      </c>
      <c r="Q56" s="2">
        <f ca="1">IFERROR(__xludf.DUMMYFUNCTION("""COMPUTED_VALUE"""),0)</f>
        <v>0</v>
      </c>
      <c r="R56" s="2">
        <f ca="1">IFERROR(__xludf.DUMMYFUNCTION("""COMPUTED_VALUE"""),0)</f>
        <v>0</v>
      </c>
      <c r="S56" s="2">
        <f ca="1">IFERROR(__xludf.DUMMYFUNCTION("""COMPUTED_VALUE"""),0)</f>
        <v>0</v>
      </c>
      <c r="T56" s="2">
        <f ca="1">IFERROR(__xludf.DUMMYFUNCTION("""COMPUTED_VALUE"""),0)</f>
        <v>0</v>
      </c>
      <c r="U56" s="2">
        <f ca="1">IFERROR(__xludf.DUMMYFUNCTION("""COMPUTED_VALUE"""),0)</f>
        <v>0</v>
      </c>
      <c r="V56" s="2">
        <f ca="1">IFERROR(__xludf.DUMMYFUNCTION("""COMPUTED_VALUE"""),0)</f>
        <v>0</v>
      </c>
      <c r="W56" s="2">
        <f ca="1">IFERROR(__xludf.DUMMYFUNCTION("""COMPUTED_VALUE"""),0)</f>
        <v>0</v>
      </c>
      <c r="X56" s="2">
        <f ca="1">IFERROR(__xludf.DUMMYFUNCTION("""COMPUTED_VALUE"""),0)</f>
        <v>0</v>
      </c>
      <c r="Y56" s="2">
        <f ca="1">IFERROR(__xludf.DUMMYFUNCTION("""COMPUTED_VALUE"""),0)</f>
        <v>0</v>
      </c>
      <c r="AB56" s="2"/>
      <c r="AC56" s="2" t="str">
        <f ca="1">IFERROR(__xludf.DUMMYFUNCTION("""COMPUTED_VALUE"""),"X")</f>
        <v>X</v>
      </c>
      <c r="AD56" s="2"/>
      <c r="AE56" s="2"/>
      <c r="AF56" s="2"/>
      <c r="AG56" s="2"/>
      <c r="AH56" s="2"/>
      <c r="AI56" s="2"/>
      <c r="AJ56" s="2"/>
      <c r="AK56" s="2"/>
      <c r="AL56" s="2"/>
      <c r="AM56" s="2">
        <f ca="1">IFERROR(__xludf.DUMMYFUNCTION("""COMPUTED_VALUE"""),0)</f>
        <v>0</v>
      </c>
      <c r="AN56" s="2">
        <f ca="1">IFERROR(__xludf.DUMMYFUNCTION("""COMPUTED_VALUE"""),0.525)</f>
        <v>0.52500000000000002</v>
      </c>
      <c r="AO56" s="2">
        <f ca="1">IFERROR(__xludf.DUMMYFUNCTION("""COMPUTED_VALUE"""),0)</f>
        <v>0</v>
      </c>
      <c r="AP56" s="2">
        <f ca="1">IFERROR(__xludf.DUMMYFUNCTION("""COMPUTED_VALUE"""),0)</f>
        <v>0</v>
      </c>
      <c r="AQ56" s="2">
        <f ca="1">IFERROR(__xludf.DUMMYFUNCTION("""COMPUTED_VALUE"""),0)</f>
        <v>0</v>
      </c>
      <c r="AR56" s="2">
        <f ca="1">IFERROR(__xludf.DUMMYFUNCTION("""COMPUTED_VALUE"""),0)</f>
        <v>0</v>
      </c>
      <c r="AS56" s="2">
        <f ca="1">IFERROR(__xludf.DUMMYFUNCTION("""COMPUTED_VALUE"""),0)</f>
        <v>0</v>
      </c>
      <c r="AT56" s="2">
        <f ca="1">IFERROR(__xludf.DUMMYFUNCTION("""COMPUTED_VALUE"""),0)</f>
        <v>0</v>
      </c>
      <c r="AU56" s="2">
        <f ca="1">IFERROR(__xludf.DUMMYFUNCTION("""COMPUTED_VALUE"""),0)</f>
        <v>0</v>
      </c>
      <c r="AV56" s="2">
        <f ca="1">IFERROR(__xludf.DUMMYFUNCTION("""COMPUTED_VALUE"""),0)</f>
        <v>0</v>
      </c>
      <c r="AW56" s="2">
        <f ca="1">IFERROR(__xludf.DUMMYFUNCTION("""COMPUTED_VALUE"""),0)</f>
        <v>0</v>
      </c>
      <c r="AY56" s="2">
        <f t="shared" ca="1" si="0"/>
        <v>1</v>
      </c>
      <c r="AZ56" s="2" t="e">
        <f ca="1">IF(NOT(COUNTA(D56:J56)), _xludf.IFS(AL56="W", 'Round Bonuses'!$F$14, AL56="X", 'Round Bonuses'!$F$13, AK56="X", 'Round Bonuses'!$F$12, AJ56="X", 'Round Bonuses'!$F$11, AI56="X", 'Round Bonuses'!$F$10, AH56="X", 'Round Bonuses'!$F$9, AG56="X", 'Round Bonuses'!$F$8, AF56="X", 'Round Bonuses'!$F$7, AE56="X", 'Round Bonuses'!$F$6, AD56="X", 'Round Bonuses'!$F$5, AC56="X", 'Round Bonuses'!$F$4, AB56="X", 'Round Bonuses'!$F$3, TRUE, 0), IF(AA56="X", _xludf.IFS(AD56="X", 'Round Bonuses'!$E$4, AF56="X",'Round Bonuses'!$E$6,TRUE, 'Round Bonuses'!$E$7), 0) +IF(AB56="X", 'Round Bonuses'!$E$3, 0)+IF(AC56="X",'Round Bonuses'!$E$4, 0)+IF(AD56="X", 'Round Bonuses'!$E$5, 0)+IF(AE56="X", 'Round Bonuses'!$E$6, 0)+IF(AF56="X", 'Round Bonuses'!$E$7, 0)+IF(AG56="X", 'Round Bonuses'!$E$8, 0)+_xludf.IFS(AL56="W", 'Round Bonuses'!$G$14, AL56="X", 'Round Bonuses'!$G$13, AK56="X", 'Round Bonuses'!$G$12, AJ56="X", 'Round Bonuses'!$G$11, AI56="X", 'Round Bonuses'!$G$10, AH56="X", 'Round Bonuses'!$G$9, TRUE, 0))+_xludf.IFS(N56="W", 'Round Bonuses'!$C$13, N56="X", 'Round Bonuses'!$C$12, M56="X", 'Round Bonuses'!$C$11, L56="X", 'Round Bonuses'!$C$10, K56="X", 'Round Bonuses'!$C$9, J56="X", 'Round Bonuses'!$C$8, I56="X", 'Round Bonuses'!$C$7, H56="X", 'Round Bonuses'!$C$6, G56="X", 'Round Bonuses'!$C$5, F56="X", 'Round Bonuses'!$C$4, E56="X", 'Round Bonuses'!$C$3, D56="X", 'Round Bonuses'!$C$3, TRUE, 0)</f>
        <v>#NAME?</v>
      </c>
      <c r="BA56" s="2">
        <f t="shared" ca="1" si="1"/>
        <v>0.52500000000000002</v>
      </c>
      <c r="BB56" s="10" t="e">
        <f t="shared" ca="1" si="2"/>
        <v>#NAME?</v>
      </c>
      <c r="BD56" s="11" t="str">
        <f t="shared" ca="1" si="3"/>
        <v>Differdange 03</v>
      </c>
      <c r="BE56" s="2" t="str">
        <f t="shared" ca="1" si="4"/>
        <v>Luxembourg</v>
      </c>
      <c r="BF56" s="2" t="e">
        <f t="shared" ca="1" si="5"/>
        <v>#NAME?</v>
      </c>
      <c r="BG56" s="2">
        <f t="shared" ca="1" si="6"/>
        <v>1</v>
      </c>
      <c r="BH56" s="2" t="s">
        <v>91</v>
      </c>
      <c r="BI56" s="2" t="s">
        <v>21</v>
      </c>
      <c r="BJ56" s="7">
        <v>6.9012499999999992</v>
      </c>
      <c r="BK56" s="2">
        <v>8</v>
      </c>
      <c r="BL56" s="2">
        <f t="shared" si="10"/>
        <v>54</v>
      </c>
      <c r="BM56" s="2" t="str">
        <f t="shared" si="7"/>
        <v>Lille</v>
      </c>
      <c r="BN56" s="7">
        <f t="shared" ref="BN56:BO56" si="63">BJ56</f>
        <v>6.9012499999999992</v>
      </c>
      <c r="BO56" s="2">
        <f t="shared" si="63"/>
        <v>8</v>
      </c>
      <c r="BS56" s="2" t="str">
        <f t="shared" si="9"/>
        <v>France</v>
      </c>
    </row>
    <row r="57" spans="1:71" ht="13.8" x14ac:dyDescent="0.45">
      <c r="A57" s="2" t="str">
        <f ca="1">IFERROR(__xludf.DUMMYFUNCTION("""COMPUTED_VALUE"""),"Dinamo Batumi")</f>
        <v>Dinamo Batumi</v>
      </c>
      <c r="B57" s="2">
        <f ca="1">IFERROR(__xludf.DUMMYFUNCTION("""COMPUTED_VALUE"""),0.52)</f>
        <v>0.52</v>
      </c>
      <c r="C57" s="2" t="str">
        <f ca="1">IFERROR(__xludf.DUMMYFUNCTION("""COMPUTED_VALUE"""),"Georgia")</f>
        <v>Georgia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5">
        <f ca="1">IFERROR(__xludf.DUMMYFUNCTION("""COMPUTED_VALUE"""),0)</f>
        <v>0</v>
      </c>
      <c r="P57" s="2">
        <f ca="1">IFERROR(__xludf.DUMMYFUNCTION("""COMPUTED_VALUE"""),0)</f>
        <v>0</v>
      </c>
      <c r="Q57" s="2">
        <f ca="1">IFERROR(__xludf.DUMMYFUNCTION("""COMPUTED_VALUE"""),0)</f>
        <v>0</v>
      </c>
      <c r="R57" s="2">
        <f ca="1">IFERROR(__xludf.DUMMYFUNCTION("""COMPUTED_VALUE"""),0)</f>
        <v>0</v>
      </c>
      <c r="S57" s="2">
        <f ca="1">IFERROR(__xludf.DUMMYFUNCTION("""COMPUTED_VALUE"""),0)</f>
        <v>0</v>
      </c>
      <c r="T57" s="2">
        <f ca="1">IFERROR(__xludf.DUMMYFUNCTION("""COMPUTED_VALUE"""),0)</f>
        <v>0</v>
      </c>
      <c r="U57" s="2">
        <f ca="1">IFERROR(__xludf.DUMMYFUNCTION("""COMPUTED_VALUE"""),0)</f>
        <v>0</v>
      </c>
      <c r="V57" s="2">
        <f ca="1">IFERROR(__xludf.DUMMYFUNCTION("""COMPUTED_VALUE"""),0)</f>
        <v>0</v>
      </c>
      <c r="W57" s="2">
        <f ca="1">IFERROR(__xludf.DUMMYFUNCTION("""COMPUTED_VALUE"""),0)</f>
        <v>0</v>
      </c>
      <c r="X57" s="2">
        <f ca="1">IFERROR(__xludf.DUMMYFUNCTION("""COMPUTED_VALUE"""),0)</f>
        <v>0</v>
      </c>
      <c r="Y57" s="2">
        <f ca="1">IFERROR(__xludf.DUMMYFUNCTION("""COMPUTED_VALUE"""),0)</f>
        <v>0</v>
      </c>
      <c r="AB57" s="2"/>
      <c r="AC57" s="2" t="str">
        <f ca="1">IFERROR(__xludf.DUMMYFUNCTION("""COMPUTED_VALUE"""),"X")</f>
        <v>X</v>
      </c>
      <c r="AD57" s="2"/>
      <c r="AE57" s="2"/>
      <c r="AF57" s="2"/>
      <c r="AG57" s="2"/>
      <c r="AH57" s="2"/>
      <c r="AI57" s="2"/>
      <c r="AJ57" s="2"/>
      <c r="AK57" s="2"/>
      <c r="AL57" s="2"/>
      <c r="AM57" s="2">
        <f ca="1">IFERROR(__xludf.DUMMYFUNCTION("""COMPUTED_VALUE"""),0)</f>
        <v>0</v>
      </c>
      <c r="AN57" s="2">
        <f ca="1">IFERROR(__xludf.DUMMYFUNCTION("""COMPUTED_VALUE"""),0.334999999999999)</f>
        <v>0.33499999999999902</v>
      </c>
      <c r="AO57" s="2">
        <f ca="1">IFERROR(__xludf.DUMMYFUNCTION("""COMPUTED_VALUE"""),0)</f>
        <v>0</v>
      </c>
      <c r="AP57" s="2">
        <f ca="1">IFERROR(__xludf.DUMMYFUNCTION("""COMPUTED_VALUE"""),0)</f>
        <v>0</v>
      </c>
      <c r="AQ57" s="2">
        <f ca="1">IFERROR(__xludf.DUMMYFUNCTION("""COMPUTED_VALUE"""),0)</f>
        <v>0</v>
      </c>
      <c r="AR57" s="2">
        <f ca="1">IFERROR(__xludf.DUMMYFUNCTION("""COMPUTED_VALUE"""),0)</f>
        <v>0</v>
      </c>
      <c r="AS57" s="2">
        <f ca="1">IFERROR(__xludf.DUMMYFUNCTION("""COMPUTED_VALUE"""),0)</f>
        <v>0</v>
      </c>
      <c r="AT57" s="2">
        <f ca="1">IFERROR(__xludf.DUMMYFUNCTION("""COMPUTED_VALUE"""),0)</f>
        <v>0</v>
      </c>
      <c r="AU57" s="2">
        <f ca="1">IFERROR(__xludf.DUMMYFUNCTION("""COMPUTED_VALUE"""),0)</f>
        <v>0</v>
      </c>
      <c r="AV57" s="2">
        <f ca="1">IFERROR(__xludf.DUMMYFUNCTION("""COMPUTED_VALUE"""),0)</f>
        <v>0</v>
      </c>
      <c r="AW57" s="2">
        <f ca="1">IFERROR(__xludf.DUMMYFUNCTION("""COMPUTED_VALUE"""),0)</f>
        <v>0</v>
      </c>
      <c r="AY57" s="2">
        <f t="shared" ca="1" si="0"/>
        <v>1</v>
      </c>
      <c r="AZ57" s="2" t="e">
        <f ca="1">IF(NOT(COUNTA(D57:J57)), _xludf.IFS(AL57="W", 'Round Bonuses'!$F$14, AL57="X", 'Round Bonuses'!$F$13, AK57="X", 'Round Bonuses'!$F$12, AJ57="X", 'Round Bonuses'!$F$11, AI57="X", 'Round Bonuses'!$F$10, AH57="X", 'Round Bonuses'!$F$9, AG57="X", 'Round Bonuses'!$F$8, AF57="X", 'Round Bonuses'!$F$7, AE57="X", 'Round Bonuses'!$F$6, AD57="X", 'Round Bonuses'!$F$5, AC57="X", 'Round Bonuses'!$F$4, AB57="X", 'Round Bonuses'!$F$3, TRUE, 0), IF(AA57="X", _xludf.IFS(AD57="X", 'Round Bonuses'!$E$4, AF57="X",'Round Bonuses'!$E$6,TRUE, 'Round Bonuses'!$E$7), 0) +IF(AB57="X", 'Round Bonuses'!$E$3, 0)+IF(AC57="X",'Round Bonuses'!$E$4, 0)+IF(AD57="X", 'Round Bonuses'!$E$5, 0)+IF(AE57="X", 'Round Bonuses'!$E$6, 0)+IF(AF57="X", 'Round Bonuses'!$E$7, 0)+IF(AG57="X", 'Round Bonuses'!$E$8, 0)+_xludf.IFS(AL57="W", 'Round Bonuses'!$G$14, AL57="X", 'Round Bonuses'!$G$13, AK57="X", 'Round Bonuses'!$G$12, AJ57="X", 'Round Bonuses'!$G$11, AI57="X", 'Round Bonuses'!$G$10, AH57="X", 'Round Bonuses'!$G$9, TRUE, 0))+_xludf.IFS(N57="W", 'Round Bonuses'!$C$13, N57="X", 'Round Bonuses'!$C$12, M57="X", 'Round Bonuses'!$C$11, L57="X", 'Round Bonuses'!$C$10, K57="X", 'Round Bonuses'!$C$9, J57="X", 'Round Bonuses'!$C$8, I57="X", 'Round Bonuses'!$C$7, H57="X", 'Round Bonuses'!$C$6, G57="X", 'Round Bonuses'!$C$5, F57="X", 'Round Bonuses'!$C$4, E57="X", 'Round Bonuses'!$C$3, D57="X", 'Round Bonuses'!$C$3, TRUE, 0)</f>
        <v>#NAME?</v>
      </c>
      <c r="BA57" s="2">
        <f t="shared" ca="1" si="1"/>
        <v>0.33499999999999902</v>
      </c>
      <c r="BB57" s="10" t="e">
        <f t="shared" ca="1" si="2"/>
        <v>#NAME?</v>
      </c>
      <c r="BD57" s="11" t="str">
        <f t="shared" ca="1" si="3"/>
        <v>Dinamo Batumi</v>
      </c>
      <c r="BE57" s="2" t="str">
        <f t="shared" ca="1" si="4"/>
        <v>Georgia</v>
      </c>
      <c r="BF57" s="2" t="e">
        <f t="shared" ca="1" si="5"/>
        <v>#NAME?</v>
      </c>
      <c r="BG57" s="2">
        <f t="shared" ca="1" si="6"/>
        <v>1</v>
      </c>
      <c r="BH57" s="2" t="s">
        <v>92</v>
      </c>
      <c r="BI57" s="2" t="s">
        <v>54</v>
      </c>
      <c r="BJ57" s="7">
        <v>6.7954687499999995</v>
      </c>
      <c r="BK57" s="2">
        <v>8</v>
      </c>
      <c r="BL57" s="2">
        <f t="shared" si="10"/>
        <v>55</v>
      </c>
      <c r="BM57" s="2" t="str">
        <f t="shared" si="7"/>
        <v>Antwerp</v>
      </c>
      <c r="BN57" s="7">
        <f t="shared" ref="BN57:BO57" si="64">BJ57</f>
        <v>6.7954687499999995</v>
      </c>
      <c r="BO57" s="2">
        <f t="shared" si="64"/>
        <v>8</v>
      </c>
      <c r="BS57" s="2" t="str">
        <f t="shared" si="9"/>
        <v>Belgium</v>
      </c>
    </row>
    <row r="58" spans="1:71" ht="13.8" x14ac:dyDescent="0.45">
      <c r="A58" s="2" t="str">
        <f ca="1">IFERROR(__xludf.DUMMYFUNCTION("""COMPUTED_VALUE"""),"Dinamo Minsk")</f>
        <v>Dinamo Minsk</v>
      </c>
      <c r="B58" s="2">
        <f ca="1">IFERROR(__xludf.DUMMYFUNCTION("""COMPUTED_VALUE"""),0.76)</f>
        <v>0.76</v>
      </c>
      <c r="C58" s="2" t="str">
        <f ca="1">IFERROR(__xludf.DUMMYFUNCTION("""COMPUTED_VALUE"""),"Belarus")</f>
        <v>Belarus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5">
        <f ca="1">IFERROR(__xludf.DUMMYFUNCTION("""COMPUTED_VALUE"""),0)</f>
        <v>0</v>
      </c>
      <c r="P58" s="2">
        <f ca="1">IFERROR(__xludf.DUMMYFUNCTION("""COMPUTED_VALUE"""),0)</f>
        <v>0</v>
      </c>
      <c r="Q58" s="2">
        <f ca="1">IFERROR(__xludf.DUMMYFUNCTION("""COMPUTED_VALUE"""),0)</f>
        <v>0</v>
      </c>
      <c r="R58" s="2">
        <f ca="1">IFERROR(__xludf.DUMMYFUNCTION("""COMPUTED_VALUE"""),0)</f>
        <v>0</v>
      </c>
      <c r="S58" s="2">
        <f ca="1">IFERROR(__xludf.DUMMYFUNCTION("""COMPUTED_VALUE"""),0)</f>
        <v>0</v>
      </c>
      <c r="T58" s="2">
        <f ca="1">IFERROR(__xludf.DUMMYFUNCTION("""COMPUTED_VALUE"""),0)</f>
        <v>0</v>
      </c>
      <c r="U58" s="2">
        <f ca="1">IFERROR(__xludf.DUMMYFUNCTION("""COMPUTED_VALUE"""),0)</f>
        <v>0</v>
      </c>
      <c r="V58" s="2">
        <f ca="1">IFERROR(__xludf.DUMMYFUNCTION("""COMPUTED_VALUE"""),0)</f>
        <v>0</v>
      </c>
      <c r="W58" s="2">
        <f ca="1">IFERROR(__xludf.DUMMYFUNCTION("""COMPUTED_VALUE"""),0)</f>
        <v>0</v>
      </c>
      <c r="X58" s="2">
        <f ca="1">IFERROR(__xludf.DUMMYFUNCTION("""COMPUTED_VALUE"""),0)</f>
        <v>0</v>
      </c>
      <c r="Y58" s="2">
        <f ca="1">IFERROR(__xludf.DUMMYFUNCTION("""COMPUTED_VALUE"""),0)</f>
        <v>0</v>
      </c>
      <c r="AB58" s="2"/>
      <c r="AC58" s="2" t="str">
        <f ca="1">IFERROR(__xludf.DUMMYFUNCTION("""COMPUTED_VALUE"""),"X")</f>
        <v>X</v>
      </c>
      <c r="AD58" s="2"/>
      <c r="AE58" s="2"/>
      <c r="AF58" s="2"/>
      <c r="AG58" s="2"/>
      <c r="AH58" s="2"/>
      <c r="AI58" s="2"/>
      <c r="AJ58" s="2"/>
      <c r="AK58" s="2"/>
      <c r="AL58" s="2"/>
      <c r="AM58" s="2">
        <f ca="1">IFERROR(__xludf.DUMMYFUNCTION("""COMPUTED_VALUE"""),0)</f>
        <v>0</v>
      </c>
      <c r="AN58" s="2">
        <f ca="1">IFERROR(__xludf.DUMMYFUNCTION("""COMPUTED_VALUE"""),0.48)</f>
        <v>0.48</v>
      </c>
      <c r="AO58" s="2">
        <f ca="1">IFERROR(__xludf.DUMMYFUNCTION("""COMPUTED_VALUE"""),0)</f>
        <v>0</v>
      </c>
      <c r="AP58" s="2">
        <f ca="1">IFERROR(__xludf.DUMMYFUNCTION("""COMPUTED_VALUE"""),0)</f>
        <v>0</v>
      </c>
      <c r="AQ58" s="2">
        <f ca="1">IFERROR(__xludf.DUMMYFUNCTION("""COMPUTED_VALUE"""),0)</f>
        <v>0</v>
      </c>
      <c r="AR58" s="2">
        <f ca="1">IFERROR(__xludf.DUMMYFUNCTION("""COMPUTED_VALUE"""),0)</f>
        <v>0</v>
      </c>
      <c r="AS58" s="2">
        <f ca="1">IFERROR(__xludf.DUMMYFUNCTION("""COMPUTED_VALUE"""),0)</f>
        <v>0</v>
      </c>
      <c r="AT58" s="2">
        <f ca="1">IFERROR(__xludf.DUMMYFUNCTION("""COMPUTED_VALUE"""),0)</f>
        <v>0</v>
      </c>
      <c r="AU58" s="2">
        <f ca="1">IFERROR(__xludf.DUMMYFUNCTION("""COMPUTED_VALUE"""),0)</f>
        <v>0</v>
      </c>
      <c r="AV58" s="2">
        <f ca="1">IFERROR(__xludf.DUMMYFUNCTION("""COMPUTED_VALUE"""),0)</f>
        <v>0</v>
      </c>
      <c r="AW58" s="2">
        <f ca="1">IFERROR(__xludf.DUMMYFUNCTION("""COMPUTED_VALUE"""),0)</f>
        <v>0</v>
      </c>
      <c r="AY58" s="2">
        <f t="shared" ca="1" si="0"/>
        <v>1</v>
      </c>
      <c r="AZ58" s="2" t="e">
        <f ca="1">IF(NOT(COUNTA(D58:J58)), _xludf.IFS(AL58="W", 'Round Bonuses'!$F$14, AL58="X", 'Round Bonuses'!$F$13, AK58="X", 'Round Bonuses'!$F$12, AJ58="X", 'Round Bonuses'!$F$11, AI58="X", 'Round Bonuses'!$F$10, AH58="X", 'Round Bonuses'!$F$9, AG58="X", 'Round Bonuses'!$F$8, AF58="X", 'Round Bonuses'!$F$7, AE58="X", 'Round Bonuses'!$F$6, AD58="X", 'Round Bonuses'!$F$5, AC58="X", 'Round Bonuses'!$F$4, AB58="X", 'Round Bonuses'!$F$3, TRUE, 0), IF(AA58="X", _xludf.IFS(AD58="X", 'Round Bonuses'!$E$4, AF58="X",'Round Bonuses'!$E$6,TRUE, 'Round Bonuses'!$E$7), 0) +IF(AB58="X", 'Round Bonuses'!$E$3, 0)+IF(AC58="X",'Round Bonuses'!$E$4, 0)+IF(AD58="X", 'Round Bonuses'!$E$5, 0)+IF(AE58="X", 'Round Bonuses'!$E$6, 0)+IF(AF58="X", 'Round Bonuses'!$E$7, 0)+IF(AG58="X", 'Round Bonuses'!$E$8, 0)+_xludf.IFS(AL58="W", 'Round Bonuses'!$G$14, AL58="X", 'Round Bonuses'!$G$13, AK58="X", 'Round Bonuses'!$G$12, AJ58="X", 'Round Bonuses'!$G$11, AI58="X", 'Round Bonuses'!$G$10, AH58="X", 'Round Bonuses'!$G$9, TRUE, 0))+_xludf.IFS(N58="W", 'Round Bonuses'!$C$13, N58="X", 'Round Bonuses'!$C$12, M58="X", 'Round Bonuses'!$C$11, L58="X", 'Round Bonuses'!$C$10, K58="X", 'Round Bonuses'!$C$9, J58="X", 'Round Bonuses'!$C$8, I58="X", 'Round Bonuses'!$C$7, H58="X", 'Round Bonuses'!$C$6, G58="X", 'Round Bonuses'!$C$5, F58="X", 'Round Bonuses'!$C$4, E58="X", 'Round Bonuses'!$C$3, D58="X", 'Round Bonuses'!$C$3, TRUE, 0)</f>
        <v>#NAME?</v>
      </c>
      <c r="BA58" s="2">
        <f t="shared" ca="1" si="1"/>
        <v>0.48</v>
      </c>
      <c r="BB58" s="10" t="e">
        <f t="shared" ca="1" si="2"/>
        <v>#NAME?</v>
      </c>
      <c r="BD58" s="11" t="str">
        <f t="shared" ca="1" si="3"/>
        <v>Dinamo Minsk</v>
      </c>
      <c r="BE58" s="2" t="str">
        <f t="shared" ca="1" si="4"/>
        <v>Belarus</v>
      </c>
      <c r="BF58" s="2" t="e">
        <f t="shared" ca="1" si="5"/>
        <v>#NAME?</v>
      </c>
      <c r="BG58" s="2">
        <f t="shared" ca="1" si="6"/>
        <v>1</v>
      </c>
      <c r="BH58" s="2" t="s">
        <v>93</v>
      </c>
      <c r="BI58" s="2" t="s">
        <v>94</v>
      </c>
      <c r="BJ58" s="7">
        <v>6.7771590909090911</v>
      </c>
      <c r="BK58" s="2">
        <v>11</v>
      </c>
      <c r="BL58" s="2">
        <f t="shared" si="10"/>
        <v>56</v>
      </c>
      <c r="BM58" s="2" t="str">
        <f t="shared" si="7"/>
        <v>Omonia</v>
      </c>
      <c r="BN58" s="7">
        <f t="shared" ref="BN58:BO58" si="65">BJ58</f>
        <v>6.7771590909090911</v>
      </c>
      <c r="BO58" s="2">
        <f t="shared" si="65"/>
        <v>11</v>
      </c>
      <c r="BS58" s="2" t="str">
        <f t="shared" si="9"/>
        <v>Cyprus</v>
      </c>
    </row>
    <row r="59" spans="1:71" ht="13.8" x14ac:dyDescent="0.45">
      <c r="A59" s="2" t="str">
        <f ca="1">IFERROR(__xludf.DUMMYFUNCTION("""COMPUTED_VALUE"""),"Dinamo Tbilisi")</f>
        <v>Dinamo Tbilisi</v>
      </c>
      <c r="B59" s="2">
        <f ca="1">IFERROR(__xludf.DUMMYFUNCTION("""COMPUTED_VALUE"""),0.53)</f>
        <v>0.53</v>
      </c>
      <c r="C59" s="2" t="str">
        <f ca="1">IFERROR(__xludf.DUMMYFUNCTION("""COMPUTED_VALUE"""),"Georgia")</f>
        <v>Georgia</v>
      </c>
      <c r="D59" s="2"/>
      <c r="E59" s="2"/>
      <c r="F59" s="2" t="str">
        <f ca="1">IFERROR(__xludf.DUMMYFUNCTION("""COMPUTED_VALUE"""),"X")</f>
        <v>X</v>
      </c>
      <c r="G59" s="2"/>
      <c r="H59" s="2"/>
      <c r="I59" s="2"/>
      <c r="J59" s="2"/>
      <c r="K59" s="2"/>
      <c r="L59" s="2"/>
      <c r="M59" s="2"/>
      <c r="N59" s="2"/>
      <c r="O59" s="5">
        <f ca="1">IFERROR(__xludf.DUMMYFUNCTION("""COMPUTED_VALUE"""),0)</f>
        <v>0</v>
      </c>
      <c r="P59" s="2">
        <f ca="1">IFERROR(__xludf.DUMMYFUNCTION("""COMPUTED_VALUE"""),0)</f>
        <v>0</v>
      </c>
      <c r="Q59" s="2">
        <f ca="1">IFERROR(__xludf.DUMMYFUNCTION("""COMPUTED_VALUE"""),0.39)</f>
        <v>0.39</v>
      </c>
      <c r="R59" s="2">
        <f ca="1">IFERROR(__xludf.DUMMYFUNCTION("""COMPUTED_VALUE"""),0)</f>
        <v>0</v>
      </c>
      <c r="S59" s="2">
        <f ca="1">IFERROR(__xludf.DUMMYFUNCTION("""COMPUTED_VALUE"""),0)</f>
        <v>0</v>
      </c>
      <c r="T59" s="2">
        <f ca="1">IFERROR(__xludf.DUMMYFUNCTION("""COMPUTED_VALUE"""),0)</f>
        <v>0</v>
      </c>
      <c r="U59" s="2">
        <f ca="1">IFERROR(__xludf.DUMMYFUNCTION("""COMPUTED_VALUE"""),0)</f>
        <v>0</v>
      </c>
      <c r="V59" s="2">
        <f ca="1">IFERROR(__xludf.DUMMYFUNCTION("""COMPUTED_VALUE"""),0)</f>
        <v>0</v>
      </c>
      <c r="W59" s="2">
        <f ca="1">IFERROR(__xludf.DUMMYFUNCTION("""COMPUTED_VALUE"""),0)</f>
        <v>0</v>
      </c>
      <c r="X59" s="2">
        <f ca="1">IFERROR(__xludf.DUMMYFUNCTION("""COMPUTED_VALUE"""),0)</f>
        <v>0</v>
      </c>
      <c r="Y59" s="2">
        <f ca="1">IFERROR(__xludf.DUMMYFUNCTION("""COMPUTED_VALUE"""),0)</f>
        <v>0</v>
      </c>
      <c r="AB59" s="2"/>
      <c r="AC59" s="2"/>
      <c r="AD59" s="2" t="str">
        <f ca="1">IFERROR(__xludf.DUMMYFUNCTION("""COMPUTED_VALUE"""),"X")</f>
        <v>X</v>
      </c>
      <c r="AE59" s="2" t="str">
        <f ca="1">IFERROR(__xludf.DUMMYFUNCTION("""COMPUTED_VALUE"""),"X")</f>
        <v>X</v>
      </c>
      <c r="AF59" s="2"/>
      <c r="AG59" s="2"/>
      <c r="AH59" s="2"/>
      <c r="AI59" s="2"/>
      <c r="AJ59" s="2"/>
      <c r="AK59" s="2"/>
      <c r="AL59" s="2"/>
      <c r="AM59" s="2">
        <f ca="1">IFERROR(__xludf.DUMMYFUNCTION("""COMPUTED_VALUE"""),0)</f>
        <v>0</v>
      </c>
      <c r="AN59" s="2">
        <f ca="1">IFERROR(__xludf.DUMMYFUNCTION("""COMPUTED_VALUE"""),0)</f>
        <v>0</v>
      </c>
      <c r="AO59" s="2">
        <f ca="1">IFERROR(__xludf.DUMMYFUNCTION("""COMPUTED_VALUE"""),2.145)</f>
        <v>2.145</v>
      </c>
      <c r="AP59" s="2">
        <f ca="1">IFERROR(__xludf.DUMMYFUNCTION("""COMPUTED_VALUE"""),-0.125)</f>
        <v>-0.125</v>
      </c>
      <c r="AQ59" s="2">
        <f ca="1">IFERROR(__xludf.DUMMYFUNCTION("""COMPUTED_VALUE"""),0)</f>
        <v>0</v>
      </c>
      <c r="AR59" s="2">
        <f ca="1">IFERROR(__xludf.DUMMYFUNCTION("""COMPUTED_VALUE"""),0)</f>
        <v>0</v>
      </c>
      <c r="AS59" s="2">
        <f ca="1">IFERROR(__xludf.DUMMYFUNCTION("""COMPUTED_VALUE"""),0)</f>
        <v>0</v>
      </c>
      <c r="AT59" s="2">
        <f ca="1">IFERROR(__xludf.DUMMYFUNCTION("""COMPUTED_VALUE"""),0)</f>
        <v>0</v>
      </c>
      <c r="AU59" s="2">
        <f ca="1">IFERROR(__xludf.DUMMYFUNCTION("""COMPUTED_VALUE"""),0)</f>
        <v>0</v>
      </c>
      <c r="AV59" s="2">
        <f ca="1">IFERROR(__xludf.DUMMYFUNCTION("""COMPUTED_VALUE"""),0)</f>
        <v>0</v>
      </c>
      <c r="AW59" s="2">
        <f ca="1">IFERROR(__xludf.DUMMYFUNCTION("""COMPUTED_VALUE"""),0)</f>
        <v>0</v>
      </c>
      <c r="AY59" s="2">
        <f t="shared" ca="1" si="0"/>
        <v>3</v>
      </c>
      <c r="AZ59" s="2" t="e">
        <f ca="1">IF(NOT(COUNTA(D59:J59)), _xludf.IFS(AL59="W", 'Round Bonuses'!$F$14, AL59="X", 'Round Bonuses'!$F$13, AK59="X", 'Round Bonuses'!$F$12, AJ59="X", 'Round Bonuses'!$F$11, AI59="X", 'Round Bonuses'!$F$10, AH59="X", 'Round Bonuses'!$F$9, AG59="X", 'Round Bonuses'!$F$8, AF59="X", 'Round Bonuses'!$F$7, AE59="X", 'Round Bonuses'!$F$6, AD59="X", 'Round Bonuses'!$F$5, AC59="X", 'Round Bonuses'!$F$4, AB59="X", 'Round Bonuses'!$F$3, TRUE, 0), IF(AA59="X", _xludf.IFS(AD59="X", 'Round Bonuses'!$E$4, AF59="X",'Round Bonuses'!$E$6,TRUE, 'Round Bonuses'!$E$7), 0) +IF(AB59="X", 'Round Bonuses'!$E$3, 0)+IF(AC59="X",'Round Bonuses'!$E$4, 0)+IF(AD59="X", 'Round Bonuses'!$E$5, 0)+IF(AE59="X", 'Round Bonuses'!$E$6, 0)+IF(AF59="X", 'Round Bonuses'!$E$7, 0)+IF(AG59="X", 'Round Bonuses'!$E$8, 0)+_xludf.IFS(AL59="W", 'Round Bonuses'!$G$14, AL59="X", 'Round Bonuses'!$G$13, AK59="X", 'Round Bonuses'!$G$12, AJ59="X", 'Round Bonuses'!$G$11, AI59="X", 'Round Bonuses'!$G$10, AH59="X", 'Round Bonuses'!$G$9, TRUE, 0))+_xludf.IFS(N59="W", 'Round Bonuses'!$C$13, N59="X", 'Round Bonuses'!$C$12, M59="X", 'Round Bonuses'!$C$11, L59="X", 'Round Bonuses'!$C$10, K59="X", 'Round Bonuses'!$C$9, J59="X", 'Round Bonuses'!$C$8, I59="X", 'Round Bonuses'!$C$7, H59="X", 'Round Bonuses'!$C$6, G59="X", 'Round Bonuses'!$C$5, F59="X", 'Round Bonuses'!$C$4, E59="X", 'Round Bonuses'!$C$3, D59="X", 'Round Bonuses'!$C$3, TRUE, 0)</f>
        <v>#NAME?</v>
      </c>
      <c r="BA59" s="2">
        <f t="shared" ca="1" si="1"/>
        <v>2.41</v>
      </c>
      <c r="BB59" s="10" t="e">
        <f t="shared" ca="1" si="2"/>
        <v>#NAME?</v>
      </c>
      <c r="BD59" s="11" t="str">
        <f t="shared" ca="1" si="3"/>
        <v>Dinamo Tbilisi</v>
      </c>
      <c r="BE59" s="2" t="str">
        <f t="shared" ca="1" si="4"/>
        <v>Georgia</v>
      </c>
      <c r="BF59" s="2" t="e">
        <f t="shared" ca="1" si="5"/>
        <v>#NAME?</v>
      </c>
      <c r="BG59" s="2">
        <f t="shared" ca="1" si="6"/>
        <v>3</v>
      </c>
      <c r="BH59" s="2" t="s">
        <v>95</v>
      </c>
      <c r="BI59" s="2" t="s">
        <v>19</v>
      </c>
      <c r="BJ59" s="7">
        <v>6.7284375000000001</v>
      </c>
      <c r="BK59" s="2">
        <v>8</v>
      </c>
      <c r="BL59" s="2">
        <f t="shared" si="10"/>
        <v>57</v>
      </c>
      <c r="BM59" s="2" t="str">
        <f t="shared" si="7"/>
        <v>Real Sociedad</v>
      </c>
      <c r="BN59" s="7">
        <f t="shared" ref="BN59:BO59" si="66">BJ59</f>
        <v>6.7284375000000001</v>
      </c>
      <c r="BO59" s="2">
        <f t="shared" si="66"/>
        <v>8</v>
      </c>
      <c r="BS59" s="2" t="str">
        <f t="shared" si="9"/>
        <v>Spain</v>
      </c>
    </row>
    <row r="60" spans="1:71" ht="13.8" x14ac:dyDescent="0.45">
      <c r="A60" s="2" t="str">
        <f ca="1">IFERROR(__xludf.DUMMYFUNCTION("""COMPUTED_VALUE"""),"Dinamo Zagreb")</f>
        <v>Dinamo Zagreb</v>
      </c>
      <c r="B60" s="2">
        <f ca="1">IFERROR(__xludf.DUMMYFUNCTION("""COMPUTED_VALUE"""),0.85)</f>
        <v>0.85</v>
      </c>
      <c r="C60" s="2" t="str">
        <f ca="1">IFERROR(__xludf.DUMMYFUNCTION("""COMPUTED_VALUE"""),"Croatia")</f>
        <v>Croatia</v>
      </c>
      <c r="D60" s="2"/>
      <c r="E60" s="2"/>
      <c r="F60" s="2"/>
      <c r="G60" s="2" t="str">
        <f ca="1">IFERROR(__xludf.DUMMYFUNCTION("""COMPUTED_VALUE"""),"X")</f>
        <v>X</v>
      </c>
      <c r="H60" s="2" t="str">
        <f ca="1">IFERROR(__xludf.DUMMYFUNCTION("""COMPUTED_VALUE"""),"X")</f>
        <v>X</v>
      </c>
      <c r="I60" s="2"/>
      <c r="J60" s="2"/>
      <c r="K60" s="2"/>
      <c r="L60" s="2"/>
      <c r="M60" s="2"/>
      <c r="N60" s="2"/>
      <c r="O60" s="5">
        <f ca="1">IFERROR(__xludf.DUMMYFUNCTION("""COMPUTED_VALUE"""),0)</f>
        <v>0</v>
      </c>
      <c r="P60" s="2">
        <f ca="1">IFERROR(__xludf.DUMMYFUNCTION("""COMPUTED_VALUE"""),0)</f>
        <v>0</v>
      </c>
      <c r="Q60" s="2">
        <f ca="1">IFERROR(__xludf.DUMMYFUNCTION("""COMPUTED_VALUE"""),0)</f>
        <v>0</v>
      </c>
      <c r="R60" s="2">
        <f ca="1">IFERROR(__xludf.DUMMYFUNCTION("""COMPUTED_VALUE"""),2.485)</f>
        <v>2.4849999999999999</v>
      </c>
      <c r="S60" s="2">
        <f ca="1">IFERROR(__xludf.DUMMYFUNCTION("""COMPUTED_VALUE"""),0.544999999999999)</f>
        <v>0.54499999999999904</v>
      </c>
      <c r="T60" s="2">
        <f ca="1">IFERROR(__xludf.DUMMYFUNCTION("""COMPUTED_VALUE"""),0)</f>
        <v>0</v>
      </c>
      <c r="U60" s="2">
        <f ca="1">IFERROR(__xludf.DUMMYFUNCTION("""COMPUTED_VALUE"""),0)</f>
        <v>0</v>
      </c>
      <c r="V60" s="2">
        <f ca="1">IFERROR(__xludf.DUMMYFUNCTION("""COMPUTED_VALUE"""),0)</f>
        <v>0</v>
      </c>
      <c r="W60" s="2">
        <f ca="1">IFERROR(__xludf.DUMMYFUNCTION("""COMPUTED_VALUE"""),0)</f>
        <v>0</v>
      </c>
      <c r="X60" s="2">
        <f ca="1">IFERROR(__xludf.DUMMYFUNCTION("""COMPUTED_VALUE"""),0)</f>
        <v>0</v>
      </c>
      <c r="Y60" s="2">
        <f ca="1">IFERROR(__xludf.DUMMYFUNCTION("""COMPUTED_VALUE"""),0)</f>
        <v>0</v>
      </c>
      <c r="AB60" s="2"/>
      <c r="AC60" s="2"/>
      <c r="AD60" s="2"/>
      <c r="AE60" s="2"/>
      <c r="AF60" s="2" t="str">
        <f ca="1">IFERROR(__xludf.DUMMYFUNCTION("""COMPUTED_VALUE"""),"X")</f>
        <v>X</v>
      </c>
      <c r="AG60" s="2" t="str">
        <f ca="1">IFERROR(__xludf.DUMMYFUNCTION("""COMPUTED_VALUE"""),"X")</f>
        <v>X</v>
      </c>
      <c r="AH60" s="2" t="str">
        <f ca="1">IFERROR(__xludf.DUMMYFUNCTION("""COMPUTED_VALUE"""),"X")</f>
        <v>X</v>
      </c>
      <c r="AI60" s="2" t="str">
        <f ca="1">IFERROR(__xludf.DUMMYFUNCTION("""COMPUTED_VALUE"""),"X")</f>
        <v>X</v>
      </c>
      <c r="AJ60" s="2" t="str">
        <f ca="1">IFERROR(__xludf.DUMMYFUNCTION("""COMPUTED_VALUE"""),"X")</f>
        <v>X</v>
      </c>
      <c r="AK60" s="2"/>
      <c r="AL60" s="2"/>
      <c r="AM60" s="2">
        <f ca="1">IFERROR(__xludf.DUMMYFUNCTION("""COMPUTED_VALUE"""),0)</f>
        <v>0</v>
      </c>
      <c r="AN60" s="2">
        <f ca="1">IFERROR(__xludf.DUMMYFUNCTION("""COMPUTED_VALUE"""),0)</f>
        <v>0</v>
      </c>
      <c r="AO60" s="2">
        <f ca="1">IFERROR(__xludf.DUMMYFUNCTION("""COMPUTED_VALUE"""),0)</f>
        <v>0</v>
      </c>
      <c r="AP60" s="2">
        <f ca="1">IFERROR(__xludf.DUMMYFUNCTION("""COMPUTED_VALUE"""),0)</f>
        <v>0</v>
      </c>
      <c r="AQ60" s="2">
        <f ca="1">IFERROR(__xludf.DUMMYFUNCTION("""COMPUTED_VALUE"""),2.295)</f>
        <v>2.2949999999999999</v>
      </c>
      <c r="AR60" s="2">
        <f ca="1">IFERROR(__xludf.DUMMYFUNCTION("""COMPUTED_VALUE"""),18.435)</f>
        <v>18.434999999999999</v>
      </c>
      <c r="AS60" s="2">
        <f ca="1">IFERROR(__xludf.DUMMYFUNCTION("""COMPUTED_VALUE"""),7.59)</f>
        <v>7.59</v>
      </c>
      <c r="AT60" s="2">
        <f ca="1">IFERROR(__xludf.DUMMYFUNCTION("""COMPUTED_VALUE"""),4.74874999999999)</f>
        <v>4.7487499999999896</v>
      </c>
      <c r="AU60" s="2">
        <f ca="1">IFERROR(__xludf.DUMMYFUNCTION("""COMPUTED_VALUE"""),1.65)</f>
        <v>1.65</v>
      </c>
      <c r="AV60" s="2">
        <f ca="1">IFERROR(__xludf.DUMMYFUNCTION("""COMPUTED_VALUE"""),0)</f>
        <v>0</v>
      </c>
      <c r="AW60" s="2">
        <f ca="1">IFERROR(__xludf.DUMMYFUNCTION("""COMPUTED_VALUE"""),0)</f>
        <v>0</v>
      </c>
      <c r="AY60" s="2">
        <f t="shared" ca="1" si="0"/>
        <v>15</v>
      </c>
      <c r="AZ60" s="2" t="e">
        <f ca="1">IF(NOT(COUNTA(D60:J60)), _xludf.IFS(AL60="W", 'Round Bonuses'!$F$14, AL60="X", 'Round Bonuses'!$F$13, AK60="X", 'Round Bonuses'!$F$12, AJ60="X", 'Round Bonuses'!$F$11, AI60="X", 'Round Bonuses'!$F$10, AH60="X", 'Round Bonuses'!$F$9, AG60="X", 'Round Bonuses'!$F$8, AF60="X", 'Round Bonuses'!$F$7, AE60="X", 'Round Bonuses'!$F$6, AD60="X", 'Round Bonuses'!$F$5, AC60="X", 'Round Bonuses'!$F$4, AB60="X", 'Round Bonuses'!$F$3, TRUE, 0), IF(AA60="X", _xludf.IFS(AD60="X", 'Round Bonuses'!$E$4, AF60="X",'Round Bonuses'!$E$6,TRUE, 'Round Bonuses'!$E$7), 0) +IF(AB60="X", 'Round Bonuses'!$E$3, 0)+IF(AC60="X",'Round Bonuses'!$E$4, 0)+IF(AD60="X", 'Round Bonuses'!$E$5, 0)+IF(AE60="X", 'Round Bonuses'!$E$6, 0)+IF(AF60="X", 'Round Bonuses'!$E$7, 0)+IF(AG60="X", 'Round Bonuses'!$E$8, 0)+_xludf.IFS(AL60="W", 'Round Bonuses'!$G$14, AL60="X", 'Round Bonuses'!$G$13, AK60="X", 'Round Bonuses'!$G$12, AJ60="X", 'Round Bonuses'!$G$11, AI60="X", 'Round Bonuses'!$G$10, AH60="X", 'Round Bonuses'!$G$9, TRUE, 0))+_xludf.IFS(N60="W", 'Round Bonuses'!$C$13, N60="X", 'Round Bonuses'!$C$12, M60="X", 'Round Bonuses'!$C$11, L60="X", 'Round Bonuses'!$C$10, K60="X", 'Round Bonuses'!$C$9, J60="X", 'Round Bonuses'!$C$8, I60="X", 'Round Bonuses'!$C$7, H60="X", 'Round Bonuses'!$C$6, G60="X", 'Round Bonuses'!$C$5, F60="X", 'Round Bonuses'!$C$4, E60="X", 'Round Bonuses'!$C$3, D60="X", 'Round Bonuses'!$C$3, TRUE, 0)</f>
        <v>#NAME?</v>
      </c>
      <c r="BA60" s="2">
        <f t="shared" ca="1" si="1"/>
        <v>37.748749999999987</v>
      </c>
      <c r="BB60" s="10" t="e">
        <f t="shared" ca="1" si="2"/>
        <v>#NAME?</v>
      </c>
      <c r="BD60" s="11" t="str">
        <f t="shared" ca="1" si="3"/>
        <v>Dinamo Zagreb</v>
      </c>
      <c r="BE60" s="2" t="str">
        <f t="shared" ca="1" si="4"/>
        <v>Croatia</v>
      </c>
      <c r="BF60" s="2" t="e">
        <f t="shared" ca="1" si="5"/>
        <v>#NAME?</v>
      </c>
      <c r="BG60" s="2">
        <f t="shared" ca="1" si="6"/>
        <v>15</v>
      </c>
      <c r="BH60" s="2" t="s">
        <v>96</v>
      </c>
      <c r="BI60" s="2" t="s">
        <v>60</v>
      </c>
      <c r="BJ60" s="7">
        <v>6.6942187499999992</v>
      </c>
      <c r="BK60" s="2">
        <v>8</v>
      </c>
      <c r="BL60" s="2">
        <f t="shared" si="10"/>
        <v>58</v>
      </c>
      <c r="BM60" s="2" t="str">
        <f t="shared" si="7"/>
        <v>Wolfsberger AC</v>
      </c>
      <c r="BN60" s="7">
        <f t="shared" ref="BN60:BO60" si="67">BJ60</f>
        <v>6.6942187499999992</v>
      </c>
      <c r="BO60" s="2">
        <f t="shared" si="67"/>
        <v>8</v>
      </c>
      <c r="BS60" s="2" t="str">
        <f t="shared" si="9"/>
        <v>Austria</v>
      </c>
    </row>
    <row r="61" spans="1:71" ht="13.8" x14ac:dyDescent="0.45">
      <c r="A61" s="2" t="str">
        <f ca="1">IFERROR(__xludf.DUMMYFUNCTION("""COMPUTED_VALUE"""),"Dinamo-Auto")</f>
        <v>Dinamo-Auto</v>
      </c>
      <c r="B61" s="2">
        <f ca="1">IFERROR(__xludf.DUMMYFUNCTION("""COMPUTED_VALUE"""),0.619999999999999)</f>
        <v>0.619999999999999</v>
      </c>
      <c r="C61" s="2" t="str">
        <f ca="1">IFERROR(__xludf.DUMMYFUNCTION("""COMPUTED_VALUE"""),"Moldova")</f>
        <v>Moldova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5">
        <f ca="1">IFERROR(__xludf.DUMMYFUNCTION("""COMPUTED_VALUE"""),0)</f>
        <v>0</v>
      </c>
      <c r="P61" s="2">
        <f ca="1">IFERROR(__xludf.DUMMYFUNCTION("""COMPUTED_VALUE"""),0)</f>
        <v>0</v>
      </c>
      <c r="Q61" s="2">
        <f ca="1">IFERROR(__xludf.DUMMYFUNCTION("""COMPUTED_VALUE"""),0)</f>
        <v>0</v>
      </c>
      <c r="R61" s="2">
        <f ca="1">IFERROR(__xludf.DUMMYFUNCTION("""COMPUTED_VALUE"""),0)</f>
        <v>0</v>
      </c>
      <c r="S61" s="2">
        <f ca="1">IFERROR(__xludf.DUMMYFUNCTION("""COMPUTED_VALUE"""),0)</f>
        <v>0</v>
      </c>
      <c r="T61" s="2">
        <f ca="1">IFERROR(__xludf.DUMMYFUNCTION("""COMPUTED_VALUE"""),0)</f>
        <v>0</v>
      </c>
      <c r="U61" s="2">
        <f ca="1">IFERROR(__xludf.DUMMYFUNCTION("""COMPUTED_VALUE"""),0)</f>
        <v>0</v>
      </c>
      <c r="V61" s="2">
        <f ca="1">IFERROR(__xludf.DUMMYFUNCTION("""COMPUTED_VALUE"""),0)</f>
        <v>0</v>
      </c>
      <c r="W61" s="2">
        <f ca="1">IFERROR(__xludf.DUMMYFUNCTION("""COMPUTED_VALUE"""),0)</f>
        <v>0</v>
      </c>
      <c r="X61" s="2">
        <f ca="1">IFERROR(__xludf.DUMMYFUNCTION("""COMPUTED_VALUE"""),0)</f>
        <v>0</v>
      </c>
      <c r="Y61" s="2">
        <f ca="1">IFERROR(__xludf.DUMMYFUNCTION("""COMPUTED_VALUE"""),0)</f>
        <v>0</v>
      </c>
      <c r="AB61" s="2"/>
      <c r="AC61" s="2" t="str">
        <f ca="1">IFERROR(__xludf.DUMMYFUNCTION("""COMPUTED_VALUE"""),"X")</f>
        <v>X</v>
      </c>
      <c r="AD61" s="2"/>
      <c r="AE61" s="2"/>
      <c r="AF61" s="2"/>
      <c r="AG61" s="2"/>
      <c r="AH61" s="2"/>
      <c r="AI61" s="2"/>
      <c r="AJ61" s="2"/>
      <c r="AK61" s="2"/>
      <c r="AL61" s="2"/>
      <c r="AM61" s="2">
        <f ca="1">IFERROR(__xludf.DUMMYFUNCTION("""COMPUTED_VALUE"""),0)</f>
        <v>0</v>
      </c>
      <c r="AN61" s="2">
        <f ca="1">IFERROR(__xludf.DUMMYFUNCTION("""COMPUTED_VALUE"""),0.435)</f>
        <v>0.435</v>
      </c>
      <c r="AO61" s="2">
        <f ca="1">IFERROR(__xludf.DUMMYFUNCTION("""COMPUTED_VALUE"""),0)</f>
        <v>0</v>
      </c>
      <c r="AP61" s="2">
        <f ca="1">IFERROR(__xludf.DUMMYFUNCTION("""COMPUTED_VALUE"""),0)</f>
        <v>0</v>
      </c>
      <c r="AQ61" s="2">
        <f ca="1">IFERROR(__xludf.DUMMYFUNCTION("""COMPUTED_VALUE"""),0)</f>
        <v>0</v>
      </c>
      <c r="AR61" s="2">
        <f ca="1">IFERROR(__xludf.DUMMYFUNCTION("""COMPUTED_VALUE"""),0)</f>
        <v>0</v>
      </c>
      <c r="AS61" s="2">
        <f ca="1">IFERROR(__xludf.DUMMYFUNCTION("""COMPUTED_VALUE"""),0)</f>
        <v>0</v>
      </c>
      <c r="AT61" s="2">
        <f ca="1">IFERROR(__xludf.DUMMYFUNCTION("""COMPUTED_VALUE"""),0)</f>
        <v>0</v>
      </c>
      <c r="AU61" s="2">
        <f ca="1">IFERROR(__xludf.DUMMYFUNCTION("""COMPUTED_VALUE"""),0)</f>
        <v>0</v>
      </c>
      <c r="AV61" s="2">
        <f ca="1">IFERROR(__xludf.DUMMYFUNCTION("""COMPUTED_VALUE"""),0)</f>
        <v>0</v>
      </c>
      <c r="AW61" s="2">
        <f ca="1">IFERROR(__xludf.DUMMYFUNCTION("""COMPUTED_VALUE"""),0)</f>
        <v>0</v>
      </c>
      <c r="AY61" s="2">
        <f t="shared" ca="1" si="0"/>
        <v>1</v>
      </c>
      <c r="AZ61" s="2" t="e">
        <f ca="1">IF(NOT(COUNTA(D61:J61)), _xludf.IFS(AL61="W", 'Round Bonuses'!$F$14, AL61="X", 'Round Bonuses'!$F$13, AK61="X", 'Round Bonuses'!$F$12, AJ61="X", 'Round Bonuses'!$F$11, AI61="X", 'Round Bonuses'!$F$10, AH61="X", 'Round Bonuses'!$F$9, AG61="X", 'Round Bonuses'!$F$8, AF61="X", 'Round Bonuses'!$F$7, AE61="X", 'Round Bonuses'!$F$6, AD61="X", 'Round Bonuses'!$F$5, AC61="X", 'Round Bonuses'!$F$4, AB61="X", 'Round Bonuses'!$F$3, TRUE, 0), IF(AA61="X", _xludf.IFS(AD61="X", 'Round Bonuses'!$E$4, AF61="X",'Round Bonuses'!$E$6,TRUE, 'Round Bonuses'!$E$7), 0) +IF(AB61="X", 'Round Bonuses'!$E$3, 0)+IF(AC61="X",'Round Bonuses'!$E$4, 0)+IF(AD61="X", 'Round Bonuses'!$E$5, 0)+IF(AE61="X", 'Round Bonuses'!$E$6, 0)+IF(AF61="X", 'Round Bonuses'!$E$7, 0)+IF(AG61="X", 'Round Bonuses'!$E$8, 0)+_xludf.IFS(AL61="W", 'Round Bonuses'!$G$14, AL61="X", 'Round Bonuses'!$G$13, AK61="X", 'Round Bonuses'!$G$12, AJ61="X", 'Round Bonuses'!$G$11, AI61="X", 'Round Bonuses'!$G$10, AH61="X", 'Round Bonuses'!$G$9, TRUE, 0))+_xludf.IFS(N61="W", 'Round Bonuses'!$C$13, N61="X", 'Round Bonuses'!$C$12, M61="X", 'Round Bonuses'!$C$11, L61="X", 'Round Bonuses'!$C$10, K61="X", 'Round Bonuses'!$C$9, J61="X", 'Round Bonuses'!$C$8, I61="X", 'Round Bonuses'!$C$7, H61="X", 'Round Bonuses'!$C$6, G61="X", 'Round Bonuses'!$C$5, F61="X", 'Round Bonuses'!$C$4, E61="X", 'Round Bonuses'!$C$3, D61="X", 'Round Bonuses'!$C$3, TRUE, 0)</f>
        <v>#NAME?</v>
      </c>
      <c r="BA61" s="2">
        <f t="shared" ca="1" si="1"/>
        <v>0.435</v>
      </c>
      <c r="BB61" s="10" t="e">
        <f t="shared" ca="1" si="2"/>
        <v>#NAME?</v>
      </c>
      <c r="BD61" s="11" t="str">
        <f t="shared" ca="1" si="3"/>
        <v>Dinamo-Auto</v>
      </c>
      <c r="BE61" s="2" t="str">
        <f t="shared" ca="1" si="4"/>
        <v>Moldova</v>
      </c>
      <c r="BF61" s="2" t="e">
        <f t="shared" ca="1" si="5"/>
        <v>#NAME?</v>
      </c>
      <c r="BG61" s="2">
        <f t="shared" ca="1" si="6"/>
        <v>1</v>
      </c>
      <c r="BH61" s="2" t="s">
        <v>97</v>
      </c>
      <c r="BI61" s="2" t="s">
        <v>31</v>
      </c>
      <c r="BJ61" s="7">
        <v>6.4646875000000001</v>
      </c>
      <c r="BK61" s="2">
        <v>8</v>
      </c>
      <c r="BL61" s="2">
        <f t="shared" si="10"/>
        <v>59</v>
      </c>
      <c r="BM61" s="2" t="str">
        <f t="shared" si="7"/>
        <v>AZ</v>
      </c>
      <c r="BN61" s="7">
        <f t="shared" ref="BN61:BO61" si="68">BJ61</f>
        <v>6.4646875000000001</v>
      </c>
      <c r="BO61" s="2">
        <f t="shared" si="68"/>
        <v>8</v>
      </c>
      <c r="BS61" s="2" t="str">
        <f t="shared" si="9"/>
        <v>Netherlands</v>
      </c>
    </row>
    <row r="62" spans="1:71" ht="13.8" x14ac:dyDescent="0.45">
      <c r="A62" s="2" t="str">
        <f ca="1">IFERROR(__xludf.DUMMYFUNCTION("""COMPUTED_VALUE"""),"Djurgårdens IF")</f>
        <v>Djurgårdens IF</v>
      </c>
      <c r="B62" s="2">
        <f ca="1">IFERROR(__xludf.DUMMYFUNCTION("""COMPUTED_VALUE"""),0.78)</f>
        <v>0.78</v>
      </c>
      <c r="C62" s="2" t="str">
        <f ca="1">IFERROR(__xludf.DUMMYFUNCTION("""COMPUTED_VALUE"""),"Sweden")</f>
        <v>Sweden</v>
      </c>
      <c r="D62" s="2"/>
      <c r="E62" s="2"/>
      <c r="F62" s="2" t="str">
        <f ca="1">IFERROR(__xludf.DUMMYFUNCTION("""COMPUTED_VALUE"""),"X")</f>
        <v>X</v>
      </c>
      <c r="G62" s="2"/>
      <c r="H62" s="2"/>
      <c r="I62" s="2"/>
      <c r="J62" s="2"/>
      <c r="K62" s="2"/>
      <c r="L62" s="2"/>
      <c r="M62" s="2"/>
      <c r="N62" s="2"/>
      <c r="O62" s="5">
        <f ca="1">IFERROR(__xludf.DUMMYFUNCTION("""COMPUTED_VALUE"""),0)</f>
        <v>0</v>
      </c>
      <c r="P62" s="2">
        <f ca="1">IFERROR(__xludf.DUMMYFUNCTION("""COMPUTED_VALUE"""),0)</f>
        <v>0</v>
      </c>
      <c r="Q62" s="2">
        <f ca="1">IFERROR(__xludf.DUMMYFUNCTION("""COMPUTED_VALUE"""),0.419999999999999)</f>
        <v>0.41999999999999899</v>
      </c>
      <c r="R62" s="2">
        <f ca="1">IFERROR(__xludf.DUMMYFUNCTION("""COMPUTED_VALUE"""),0)</f>
        <v>0</v>
      </c>
      <c r="S62" s="2">
        <f ca="1">IFERROR(__xludf.DUMMYFUNCTION("""COMPUTED_VALUE"""),0)</f>
        <v>0</v>
      </c>
      <c r="T62" s="2">
        <f ca="1">IFERROR(__xludf.DUMMYFUNCTION("""COMPUTED_VALUE"""),0)</f>
        <v>0</v>
      </c>
      <c r="U62" s="2">
        <f ca="1">IFERROR(__xludf.DUMMYFUNCTION("""COMPUTED_VALUE"""),0)</f>
        <v>0</v>
      </c>
      <c r="V62" s="2">
        <f ca="1">IFERROR(__xludf.DUMMYFUNCTION("""COMPUTED_VALUE"""),0)</f>
        <v>0</v>
      </c>
      <c r="W62" s="2">
        <f ca="1">IFERROR(__xludf.DUMMYFUNCTION("""COMPUTED_VALUE"""),0)</f>
        <v>0</v>
      </c>
      <c r="X62" s="2">
        <f ca="1">IFERROR(__xludf.DUMMYFUNCTION("""COMPUTED_VALUE"""),0)</f>
        <v>0</v>
      </c>
      <c r="Y62" s="2">
        <f ca="1">IFERROR(__xludf.DUMMYFUNCTION("""COMPUTED_VALUE"""),0)</f>
        <v>0</v>
      </c>
      <c r="AB62" s="2"/>
      <c r="AC62" s="2"/>
      <c r="AD62" s="2" t="str">
        <f ca="1">IFERROR(__xludf.DUMMYFUNCTION("""COMPUTED_VALUE"""),"X")</f>
        <v>X</v>
      </c>
      <c r="AE62" s="2" t="str">
        <f ca="1">IFERROR(__xludf.DUMMYFUNCTION("""COMPUTED_VALUE"""),"X")</f>
        <v>X</v>
      </c>
      <c r="AF62" s="2"/>
      <c r="AG62" s="2"/>
      <c r="AH62" s="2"/>
      <c r="AI62" s="2"/>
      <c r="AJ62" s="2"/>
      <c r="AK62" s="2"/>
      <c r="AL62" s="2"/>
      <c r="AM62" s="2">
        <f ca="1">IFERROR(__xludf.DUMMYFUNCTION("""COMPUTED_VALUE"""),0)</f>
        <v>0</v>
      </c>
      <c r="AN62" s="2">
        <f ca="1">IFERROR(__xludf.DUMMYFUNCTION("""COMPUTED_VALUE"""),0)</f>
        <v>0</v>
      </c>
      <c r="AO62" s="2">
        <f ca="1">IFERROR(__xludf.DUMMYFUNCTION("""COMPUTED_VALUE"""),2.02125)</f>
        <v>2.0212500000000002</v>
      </c>
      <c r="AP62" s="2">
        <f ca="1">IFERROR(__xludf.DUMMYFUNCTION("""COMPUTED_VALUE"""),0.585)</f>
        <v>0.58499999999999996</v>
      </c>
      <c r="AQ62" s="2">
        <f ca="1">IFERROR(__xludf.DUMMYFUNCTION("""COMPUTED_VALUE"""),0)</f>
        <v>0</v>
      </c>
      <c r="AR62" s="2">
        <f ca="1">IFERROR(__xludf.DUMMYFUNCTION("""COMPUTED_VALUE"""),0)</f>
        <v>0</v>
      </c>
      <c r="AS62" s="2">
        <f ca="1">IFERROR(__xludf.DUMMYFUNCTION("""COMPUTED_VALUE"""),0)</f>
        <v>0</v>
      </c>
      <c r="AT62" s="2">
        <f ca="1">IFERROR(__xludf.DUMMYFUNCTION("""COMPUTED_VALUE"""),0)</f>
        <v>0</v>
      </c>
      <c r="AU62" s="2">
        <f ca="1">IFERROR(__xludf.DUMMYFUNCTION("""COMPUTED_VALUE"""),0)</f>
        <v>0</v>
      </c>
      <c r="AV62" s="2">
        <f ca="1">IFERROR(__xludf.DUMMYFUNCTION("""COMPUTED_VALUE"""),0)</f>
        <v>0</v>
      </c>
      <c r="AW62" s="2">
        <f ca="1">IFERROR(__xludf.DUMMYFUNCTION("""COMPUTED_VALUE"""),0)</f>
        <v>0</v>
      </c>
      <c r="AY62" s="2">
        <f t="shared" ca="1" si="0"/>
        <v>3</v>
      </c>
      <c r="AZ62" s="2" t="e">
        <f ca="1">IF(NOT(COUNTA(D62:J62)), _xludf.IFS(AL62="W", 'Round Bonuses'!$F$14, AL62="X", 'Round Bonuses'!$F$13, AK62="X", 'Round Bonuses'!$F$12, AJ62="X", 'Round Bonuses'!$F$11, AI62="X", 'Round Bonuses'!$F$10, AH62="X", 'Round Bonuses'!$F$9, AG62="X", 'Round Bonuses'!$F$8, AF62="X", 'Round Bonuses'!$F$7, AE62="X", 'Round Bonuses'!$F$6, AD62="X", 'Round Bonuses'!$F$5, AC62="X", 'Round Bonuses'!$F$4, AB62="X", 'Round Bonuses'!$F$3, TRUE, 0), IF(AA62="X", _xludf.IFS(AD62="X", 'Round Bonuses'!$E$4, AF62="X",'Round Bonuses'!$E$6,TRUE, 'Round Bonuses'!$E$7), 0) +IF(AB62="X", 'Round Bonuses'!$E$3, 0)+IF(AC62="X",'Round Bonuses'!$E$4, 0)+IF(AD62="X", 'Round Bonuses'!$E$5, 0)+IF(AE62="X", 'Round Bonuses'!$E$6, 0)+IF(AF62="X", 'Round Bonuses'!$E$7, 0)+IF(AG62="X", 'Round Bonuses'!$E$8, 0)+_xludf.IFS(AL62="W", 'Round Bonuses'!$G$14, AL62="X", 'Round Bonuses'!$G$13, AK62="X", 'Round Bonuses'!$G$12, AJ62="X", 'Round Bonuses'!$G$11, AI62="X", 'Round Bonuses'!$G$10, AH62="X", 'Round Bonuses'!$G$9, TRUE, 0))+_xludf.IFS(N62="W", 'Round Bonuses'!$C$13, N62="X", 'Round Bonuses'!$C$12, M62="X", 'Round Bonuses'!$C$11, L62="X", 'Round Bonuses'!$C$10, K62="X", 'Round Bonuses'!$C$9, J62="X", 'Round Bonuses'!$C$8, I62="X", 'Round Bonuses'!$C$7, H62="X", 'Round Bonuses'!$C$6, G62="X", 'Round Bonuses'!$C$5, F62="X", 'Round Bonuses'!$C$4, E62="X", 'Round Bonuses'!$C$3, D62="X", 'Round Bonuses'!$C$3, TRUE, 0)</f>
        <v>#NAME?</v>
      </c>
      <c r="BA62" s="2">
        <f t="shared" ca="1" si="1"/>
        <v>3.0262499999999992</v>
      </c>
      <c r="BB62" s="10" t="e">
        <f t="shared" ca="1" si="2"/>
        <v>#NAME?</v>
      </c>
      <c r="BD62" s="11" t="str">
        <f t="shared" ca="1" si="3"/>
        <v>Djurgårdens IF</v>
      </c>
      <c r="BE62" s="2" t="str">
        <f t="shared" ca="1" si="4"/>
        <v>Sweden</v>
      </c>
      <c r="BF62" s="2" t="e">
        <f t="shared" ca="1" si="5"/>
        <v>#NAME?</v>
      </c>
      <c r="BG62" s="2">
        <f t="shared" ca="1" si="6"/>
        <v>3</v>
      </c>
      <c r="BH62" s="2" t="s">
        <v>98</v>
      </c>
      <c r="BI62" s="2" t="s">
        <v>54</v>
      </c>
      <c r="BJ62" s="7">
        <v>6.0570833333333329</v>
      </c>
      <c r="BK62" s="2">
        <v>9</v>
      </c>
      <c r="BL62" s="2">
        <f t="shared" si="10"/>
        <v>60</v>
      </c>
      <c r="BM62" s="2" t="str">
        <f t="shared" si="7"/>
        <v>Gent</v>
      </c>
      <c r="BN62" s="7">
        <f t="shared" ref="BN62:BO62" si="69">BJ62</f>
        <v>6.0570833333333329</v>
      </c>
      <c r="BO62" s="2">
        <f t="shared" si="69"/>
        <v>9</v>
      </c>
      <c r="BS62" s="2" t="str">
        <f t="shared" si="9"/>
        <v>Belgium</v>
      </c>
    </row>
    <row r="63" spans="1:71" ht="13.8" x14ac:dyDescent="0.45">
      <c r="A63" s="2" t="str">
        <f ca="1">IFERROR(__xludf.DUMMYFUNCTION("""COMPUTED_VALUE"""),"Drita")</f>
        <v>Drita</v>
      </c>
      <c r="B63" s="2">
        <f ca="1">IFERROR(__xludf.DUMMYFUNCTION("""COMPUTED_VALUE"""),0.47)</f>
        <v>0.47</v>
      </c>
      <c r="C63" s="2" t="str">
        <f ca="1">IFERROR(__xludf.DUMMYFUNCTION("""COMPUTED_VALUE"""),"Kosovo")</f>
        <v>Kosovo</v>
      </c>
      <c r="D63" s="2" t="str">
        <f ca="1">IFERROR(__xludf.DUMMYFUNCTION("""COMPUTED_VALUE"""),"X")</f>
        <v>X</v>
      </c>
      <c r="E63" s="2" t="str">
        <f ca="1">IFERROR(__xludf.DUMMYFUNCTION("""COMPUTED_VALUE"""),"X")</f>
        <v>X</v>
      </c>
      <c r="F63" s="2"/>
      <c r="G63" s="2"/>
      <c r="H63" s="2"/>
      <c r="I63" s="2"/>
      <c r="J63" s="2"/>
      <c r="K63" s="2"/>
      <c r="L63" s="2"/>
      <c r="M63" s="2"/>
      <c r="N63" s="2"/>
      <c r="O63" s="5">
        <f ca="1">IFERROR(__xludf.DUMMYFUNCTION("""COMPUTED_VALUE"""),1.8975)</f>
        <v>1.8975</v>
      </c>
      <c r="P63" s="2">
        <f ca="1">IFERROR(__xludf.DUMMYFUNCTION("""COMPUTED_VALUE"""),0.104999999999999)</f>
        <v>0.104999999999999</v>
      </c>
      <c r="Q63" s="2">
        <f ca="1">IFERROR(__xludf.DUMMYFUNCTION("""COMPUTED_VALUE"""),0)</f>
        <v>0</v>
      </c>
      <c r="R63" s="2">
        <f ca="1">IFERROR(__xludf.DUMMYFUNCTION("""COMPUTED_VALUE"""),0)</f>
        <v>0</v>
      </c>
      <c r="S63" s="2">
        <f ca="1">IFERROR(__xludf.DUMMYFUNCTION("""COMPUTED_VALUE"""),0)</f>
        <v>0</v>
      </c>
      <c r="T63" s="2">
        <f ca="1">IFERROR(__xludf.DUMMYFUNCTION("""COMPUTED_VALUE"""),0)</f>
        <v>0</v>
      </c>
      <c r="U63" s="2">
        <f ca="1">IFERROR(__xludf.DUMMYFUNCTION("""COMPUTED_VALUE"""),0)</f>
        <v>0</v>
      </c>
      <c r="V63" s="2">
        <f ca="1">IFERROR(__xludf.DUMMYFUNCTION("""COMPUTED_VALUE"""),0)</f>
        <v>0</v>
      </c>
      <c r="W63" s="2">
        <f ca="1">IFERROR(__xludf.DUMMYFUNCTION("""COMPUTED_VALUE"""),0)</f>
        <v>0</v>
      </c>
      <c r="X63" s="2">
        <f ca="1">IFERROR(__xludf.DUMMYFUNCTION("""COMPUTED_VALUE"""),0)</f>
        <v>0</v>
      </c>
      <c r="Y63" s="2">
        <f ca="1">IFERROR(__xludf.DUMMYFUNCTION("""COMPUTED_VALUE"""),0)</f>
        <v>0</v>
      </c>
      <c r="AA63" s="3" t="s">
        <v>39</v>
      </c>
      <c r="AB63" s="2"/>
      <c r="AC63" s="2"/>
      <c r="AD63" s="2" t="str">
        <f ca="1">IFERROR(__xludf.DUMMYFUNCTION("""COMPUTED_VALUE"""),"X")</f>
        <v>X</v>
      </c>
      <c r="AE63" s="2" t="str">
        <f ca="1">IFERROR(__xludf.DUMMYFUNCTION("""COMPUTED_VALUE"""),"X")</f>
        <v>X</v>
      </c>
      <c r="AF63" s="2"/>
      <c r="AG63" s="2"/>
      <c r="AH63" s="2"/>
      <c r="AI63" s="2"/>
      <c r="AJ63" s="2"/>
      <c r="AK63" s="2"/>
      <c r="AL63" s="2"/>
      <c r="AM63" s="2">
        <f ca="1">IFERROR(__xludf.DUMMYFUNCTION("""COMPUTED_VALUE"""),0)</f>
        <v>0</v>
      </c>
      <c r="AN63" s="2">
        <f ca="1">IFERROR(__xludf.DUMMYFUNCTION("""COMPUTED_VALUE"""),0)</f>
        <v>0</v>
      </c>
      <c r="AO63" s="2">
        <f ca="1">IFERROR(__xludf.DUMMYFUNCTION("""COMPUTED_VALUE"""),2.76249999999999)</f>
        <v>2.76249999999999</v>
      </c>
      <c r="AP63" s="2">
        <f ca="1">IFERROR(__xludf.DUMMYFUNCTION("""COMPUTED_VALUE"""),0.5)</f>
        <v>0.5</v>
      </c>
      <c r="AQ63" s="2">
        <f ca="1">IFERROR(__xludf.DUMMYFUNCTION("""COMPUTED_VALUE"""),0)</f>
        <v>0</v>
      </c>
      <c r="AR63" s="2">
        <f ca="1">IFERROR(__xludf.DUMMYFUNCTION("""COMPUTED_VALUE"""),0)</f>
        <v>0</v>
      </c>
      <c r="AS63" s="2">
        <f ca="1">IFERROR(__xludf.DUMMYFUNCTION("""COMPUTED_VALUE"""),0)</f>
        <v>0</v>
      </c>
      <c r="AT63" s="2">
        <f ca="1">IFERROR(__xludf.DUMMYFUNCTION("""COMPUTED_VALUE"""),0)</f>
        <v>0</v>
      </c>
      <c r="AU63" s="2">
        <f ca="1">IFERROR(__xludf.DUMMYFUNCTION("""COMPUTED_VALUE"""),0)</f>
        <v>0</v>
      </c>
      <c r="AV63" s="2">
        <f ca="1">IFERROR(__xludf.DUMMYFUNCTION("""COMPUTED_VALUE"""),0)</f>
        <v>0</v>
      </c>
      <c r="AW63" s="2">
        <f ca="1">IFERROR(__xludf.DUMMYFUNCTION("""COMPUTED_VALUE"""),0)</f>
        <v>0</v>
      </c>
      <c r="AY63" s="2">
        <f t="shared" ca="1" si="0"/>
        <v>4</v>
      </c>
      <c r="AZ63" s="2" t="e">
        <f ca="1">IF(NOT(COUNTA(D63:J63)), _xludf.IFS(AL63="W", 'Round Bonuses'!$F$14, AL63="X", 'Round Bonuses'!$F$13, AK63="X", 'Round Bonuses'!$F$12, AJ63="X", 'Round Bonuses'!$F$11, AI63="X", 'Round Bonuses'!$F$10, AH63="X", 'Round Bonuses'!$F$9, AG63="X", 'Round Bonuses'!$F$8, AF63="X", 'Round Bonuses'!$F$7, AE63="X", 'Round Bonuses'!$F$6, AD63="X", 'Round Bonuses'!$F$5, AC63="X", 'Round Bonuses'!$F$4, AB63="X", 'Round Bonuses'!$F$3, TRUE, 0), IF(AA63="X", _xludf.IFS(AD63="X", 'Round Bonuses'!$E$4, AF63="X",'Round Bonuses'!$E$6,TRUE, 'Round Bonuses'!$E$7), 0) +IF(AB63="X", 'Round Bonuses'!$E$3, 0)+IF(AC63="X",'Round Bonuses'!$E$4, 0)+IF(AD63="X", 'Round Bonuses'!$E$5, 0)+IF(AE63="X", 'Round Bonuses'!$E$6, 0)+IF(AF63="X", 'Round Bonuses'!$E$7, 0)+IF(AG63="X", 'Round Bonuses'!$E$8, 0)+_xludf.IFS(AL63="W", 'Round Bonuses'!$G$14, AL63="X", 'Round Bonuses'!$G$13, AK63="X", 'Round Bonuses'!$G$12, AJ63="X", 'Round Bonuses'!$G$11, AI63="X", 'Round Bonuses'!$G$10, AH63="X", 'Round Bonuses'!$G$9, TRUE, 0))+_xludf.IFS(N63="W", 'Round Bonuses'!$C$13, N63="X", 'Round Bonuses'!$C$12, M63="X", 'Round Bonuses'!$C$11, L63="X", 'Round Bonuses'!$C$10, K63="X", 'Round Bonuses'!$C$9, J63="X", 'Round Bonuses'!$C$8, I63="X", 'Round Bonuses'!$C$7, H63="X", 'Round Bonuses'!$C$6, G63="X", 'Round Bonuses'!$C$5, F63="X", 'Round Bonuses'!$C$4, E63="X", 'Round Bonuses'!$C$3, D63="X", 'Round Bonuses'!$C$3, TRUE, 0)</f>
        <v>#NAME?</v>
      </c>
      <c r="BA63" s="2">
        <f t="shared" ca="1" si="1"/>
        <v>5.264999999999989</v>
      </c>
      <c r="BB63" s="10" t="e">
        <f t="shared" ca="1" si="2"/>
        <v>#NAME?</v>
      </c>
      <c r="BD63" s="11" t="str">
        <f t="shared" ca="1" si="3"/>
        <v>Drita</v>
      </c>
      <c r="BE63" s="2" t="str">
        <f t="shared" ca="1" si="4"/>
        <v>Kosovo</v>
      </c>
      <c r="BF63" s="2" t="e">
        <f t="shared" ca="1" si="5"/>
        <v>#NAME?</v>
      </c>
      <c r="BG63" s="2">
        <f t="shared" ca="1" si="6"/>
        <v>4</v>
      </c>
      <c r="BH63" s="2" t="s">
        <v>99</v>
      </c>
      <c r="BI63" s="2" t="s">
        <v>60</v>
      </c>
      <c r="BJ63" s="7">
        <v>5.9839062499999995</v>
      </c>
      <c r="BK63" s="2">
        <v>8</v>
      </c>
      <c r="BL63" s="2">
        <f t="shared" si="10"/>
        <v>61</v>
      </c>
      <c r="BM63" s="2" t="str">
        <f t="shared" si="7"/>
        <v>Rapid Wien</v>
      </c>
      <c r="BN63" s="7">
        <f t="shared" ref="BN63:BO63" si="70">BJ63</f>
        <v>5.9839062499999995</v>
      </c>
      <c r="BO63" s="2">
        <f t="shared" si="70"/>
        <v>8</v>
      </c>
      <c r="BS63" s="2" t="str">
        <f t="shared" si="9"/>
        <v>Austria</v>
      </c>
    </row>
    <row r="64" spans="1:71" ht="13.8" x14ac:dyDescent="0.45">
      <c r="A64" s="2" t="str">
        <f ca="1">IFERROR(__xludf.DUMMYFUNCTION("""COMPUTED_VALUE"""),"Dundalk")</f>
        <v>Dundalk</v>
      </c>
      <c r="B64" s="2">
        <f ca="1">IFERROR(__xludf.DUMMYFUNCTION("""COMPUTED_VALUE"""),0.63)</f>
        <v>0.63</v>
      </c>
      <c r="C64" s="2" t="str">
        <f ca="1">IFERROR(__xludf.DUMMYFUNCTION("""COMPUTED_VALUE"""),"Republic of Ireland")</f>
        <v>Republic of Ireland</v>
      </c>
      <c r="D64" s="2"/>
      <c r="E64" s="2"/>
      <c r="F64" s="2" t="str">
        <f ca="1">IFERROR(__xludf.DUMMYFUNCTION("""COMPUTED_VALUE"""),"X")</f>
        <v>X</v>
      </c>
      <c r="G64" s="2"/>
      <c r="H64" s="2"/>
      <c r="I64" s="2"/>
      <c r="J64" s="2"/>
      <c r="K64" s="2"/>
      <c r="L64" s="2"/>
      <c r="M64" s="2"/>
      <c r="N64" s="2"/>
      <c r="O64" s="5">
        <f ca="1">IFERROR(__xludf.DUMMYFUNCTION("""COMPUTED_VALUE"""),0)</f>
        <v>0</v>
      </c>
      <c r="P64" s="2">
        <f ca="1">IFERROR(__xludf.DUMMYFUNCTION("""COMPUTED_VALUE"""),0)</f>
        <v>0</v>
      </c>
      <c r="Q64" s="2">
        <f ca="1">IFERROR(__xludf.DUMMYFUNCTION("""COMPUTED_VALUE"""),0.314999999999999)</f>
        <v>0.314999999999999</v>
      </c>
      <c r="R64" s="2">
        <f ca="1">IFERROR(__xludf.DUMMYFUNCTION("""COMPUTED_VALUE"""),0)</f>
        <v>0</v>
      </c>
      <c r="S64" s="2">
        <f ca="1">IFERROR(__xludf.DUMMYFUNCTION("""COMPUTED_VALUE"""),0)</f>
        <v>0</v>
      </c>
      <c r="T64" s="2">
        <f ca="1">IFERROR(__xludf.DUMMYFUNCTION("""COMPUTED_VALUE"""),0)</f>
        <v>0</v>
      </c>
      <c r="U64" s="2">
        <f ca="1">IFERROR(__xludf.DUMMYFUNCTION("""COMPUTED_VALUE"""),0)</f>
        <v>0</v>
      </c>
      <c r="V64" s="2">
        <f ca="1">IFERROR(__xludf.DUMMYFUNCTION("""COMPUTED_VALUE"""),0)</f>
        <v>0</v>
      </c>
      <c r="W64" s="2">
        <f ca="1">IFERROR(__xludf.DUMMYFUNCTION("""COMPUTED_VALUE"""),0)</f>
        <v>0</v>
      </c>
      <c r="X64" s="2">
        <f ca="1">IFERROR(__xludf.DUMMYFUNCTION("""COMPUTED_VALUE"""),0)</f>
        <v>0</v>
      </c>
      <c r="Y64" s="2">
        <f ca="1">IFERROR(__xludf.DUMMYFUNCTION("""COMPUTED_VALUE"""),0)</f>
        <v>0</v>
      </c>
      <c r="AB64" s="2"/>
      <c r="AC64" s="2"/>
      <c r="AD64" s="2" t="str">
        <f ca="1">IFERROR(__xludf.DUMMYFUNCTION("""COMPUTED_VALUE"""),"X")</f>
        <v>X</v>
      </c>
      <c r="AE64" s="2" t="str">
        <f ca="1">IFERROR(__xludf.DUMMYFUNCTION("""COMPUTED_VALUE"""),"X")</f>
        <v>X</v>
      </c>
      <c r="AF64" s="2" t="str">
        <f ca="1">IFERROR(__xludf.DUMMYFUNCTION("""COMPUTED_VALUE"""),"X")</f>
        <v>X</v>
      </c>
      <c r="AG64" s="2" t="str">
        <f ca="1">IFERROR(__xludf.DUMMYFUNCTION("""COMPUTED_VALUE"""),"X")</f>
        <v>X</v>
      </c>
      <c r="AH64" s="2"/>
      <c r="AI64" s="2"/>
      <c r="AJ64" s="2"/>
      <c r="AK64" s="2"/>
      <c r="AL64" s="2"/>
      <c r="AM64" s="2">
        <f ca="1">IFERROR(__xludf.DUMMYFUNCTION("""COMPUTED_VALUE"""),0)</f>
        <v>0</v>
      </c>
      <c r="AN64" s="2">
        <f ca="1">IFERROR(__xludf.DUMMYFUNCTION("""COMPUTED_VALUE"""),0)</f>
        <v>0</v>
      </c>
      <c r="AO64" s="2">
        <f ca="1">IFERROR(__xludf.DUMMYFUNCTION("""COMPUTED_VALUE"""),1.8975)</f>
        <v>1.8975</v>
      </c>
      <c r="AP64" s="2">
        <f ca="1">IFERROR(__xludf.DUMMYFUNCTION("""COMPUTED_VALUE"""),2.27499999999999)</f>
        <v>2.2749999999999901</v>
      </c>
      <c r="AQ64" s="2">
        <f ca="1">IFERROR(__xludf.DUMMYFUNCTION("""COMPUTED_VALUE"""),2.125)</f>
        <v>2.125</v>
      </c>
      <c r="AR64" s="2">
        <f ca="1">IFERROR(__xludf.DUMMYFUNCTION("""COMPUTED_VALUE"""),3.765)</f>
        <v>3.7650000000000001</v>
      </c>
      <c r="AS64" s="2">
        <f ca="1">IFERROR(__xludf.DUMMYFUNCTION("""COMPUTED_VALUE"""),0)</f>
        <v>0</v>
      </c>
      <c r="AT64" s="2">
        <f ca="1">IFERROR(__xludf.DUMMYFUNCTION("""COMPUTED_VALUE"""),0)</f>
        <v>0</v>
      </c>
      <c r="AU64" s="2">
        <f ca="1">IFERROR(__xludf.DUMMYFUNCTION("""COMPUTED_VALUE"""),0)</f>
        <v>0</v>
      </c>
      <c r="AV64" s="2">
        <f ca="1">IFERROR(__xludf.DUMMYFUNCTION("""COMPUTED_VALUE"""),0)</f>
        <v>0</v>
      </c>
      <c r="AW64" s="2">
        <f ca="1">IFERROR(__xludf.DUMMYFUNCTION("""COMPUTED_VALUE"""),0)</f>
        <v>0</v>
      </c>
      <c r="AY64" s="2">
        <f t="shared" ca="1" si="0"/>
        <v>10</v>
      </c>
      <c r="AZ64" s="2" t="e">
        <f ca="1">IF(NOT(COUNTA(D64:J64)), _xludf.IFS(AL64="W", 'Round Bonuses'!$F$14, AL64="X", 'Round Bonuses'!$F$13, AK64="X", 'Round Bonuses'!$F$12, AJ64="X", 'Round Bonuses'!$F$11, AI64="X", 'Round Bonuses'!$F$10, AH64="X", 'Round Bonuses'!$F$9, AG64="X", 'Round Bonuses'!$F$8, AF64="X", 'Round Bonuses'!$F$7, AE64="X", 'Round Bonuses'!$F$6, AD64="X", 'Round Bonuses'!$F$5, AC64="X", 'Round Bonuses'!$F$4, AB64="X", 'Round Bonuses'!$F$3, TRUE, 0), IF(AA64="X", _xludf.IFS(AD64="X", 'Round Bonuses'!$E$4, AF64="X",'Round Bonuses'!$E$6,TRUE, 'Round Bonuses'!$E$7), 0) +IF(AB64="X", 'Round Bonuses'!$E$3, 0)+IF(AC64="X",'Round Bonuses'!$E$4, 0)+IF(AD64="X", 'Round Bonuses'!$E$5, 0)+IF(AE64="X", 'Round Bonuses'!$E$6, 0)+IF(AF64="X", 'Round Bonuses'!$E$7, 0)+IF(AG64="X", 'Round Bonuses'!$E$8, 0)+_xludf.IFS(AL64="W", 'Round Bonuses'!$G$14, AL64="X", 'Round Bonuses'!$G$13, AK64="X", 'Round Bonuses'!$G$12, AJ64="X", 'Round Bonuses'!$G$11, AI64="X", 'Round Bonuses'!$G$10, AH64="X", 'Round Bonuses'!$G$9, TRUE, 0))+_xludf.IFS(N64="W", 'Round Bonuses'!$C$13, N64="X", 'Round Bonuses'!$C$12, M64="X", 'Round Bonuses'!$C$11, L64="X", 'Round Bonuses'!$C$10, K64="X", 'Round Bonuses'!$C$9, J64="X", 'Round Bonuses'!$C$8, I64="X", 'Round Bonuses'!$C$7, H64="X", 'Round Bonuses'!$C$6, G64="X", 'Round Bonuses'!$C$5, F64="X", 'Round Bonuses'!$C$4, E64="X", 'Round Bonuses'!$C$3, D64="X", 'Round Bonuses'!$C$3, TRUE, 0)</f>
        <v>#NAME?</v>
      </c>
      <c r="BA64" s="2">
        <f t="shared" ca="1" si="1"/>
        <v>10.377499999999991</v>
      </c>
      <c r="BB64" s="10" t="e">
        <f t="shared" ca="1" si="2"/>
        <v>#NAME?</v>
      </c>
      <c r="BD64" s="11" t="str">
        <f t="shared" ca="1" si="3"/>
        <v>Dundalk</v>
      </c>
      <c r="BE64" s="2" t="str">
        <f t="shared" ca="1" si="4"/>
        <v>Republic of Ireland</v>
      </c>
      <c r="BF64" s="2" t="e">
        <f t="shared" ca="1" si="5"/>
        <v>#NAME?</v>
      </c>
      <c r="BG64" s="2">
        <f t="shared" ca="1" si="6"/>
        <v>10</v>
      </c>
      <c r="BH64" s="2" t="s">
        <v>100</v>
      </c>
      <c r="BI64" s="2" t="s">
        <v>60</v>
      </c>
      <c r="BJ64" s="7">
        <v>5.8010937499999997</v>
      </c>
      <c r="BK64" s="2">
        <v>8</v>
      </c>
      <c r="BL64" s="2">
        <f t="shared" si="10"/>
        <v>62</v>
      </c>
      <c r="BM64" s="2" t="str">
        <f t="shared" si="7"/>
        <v>LASK</v>
      </c>
      <c r="BN64" s="7">
        <f t="shared" ref="BN64:BO64" si="71">BJ64</f>
        <v>5.8010937499999997</v>
      </c>
      <c r="BO64" s="2">
        <f t="shared" si="71"/>
        <v>8</v>
      </c>
      <c r="BS64" s="2" t="str">
        <f t="shared" si="9"/>
        <v>Austria</v>
      </c>
    </row>
    <row r="65" spans="1:71" ht="13.8" x14ac:dyDescent="0.45">
      <c r="A65" s="2" t="str">
        <f ca="1">IFERROR(__xludf.DUMMYFUNCTION("""COMPUTED_VALUE"""),"Dynamo Brest")</f>
        <v>Dynamo Brest</v>
      </c>
      <c r="B65" s="2">
        <f ca="1">IFERROR(__xludf.DUMMYFUNCTION("""COMPUTED_VALUE"""),0.79)</f>
        <v>0.79</v>
      </c>
      <c r="C65" s="2" t="str">
        <f ca="1">IFERROR(__xludf.DUMMYFUNCTION("""COMPUTED_VALUE"""),"Belarus")</f>
        <v>Belarus</v>
      </c>
      <c r="D65" s="2"/>
      <c r="E65" s="2"/>
      <c r="F65" s="2" t="str">
        <f ca="1">IFERROR(__xludf.DUMMYFUNCTION("""COMPUTED_VALUE"""),"X")</f>
        <v>X</v>
      </c>
      <c r="G65" s="2" t="str">
        <f ca="1">IFERROR(__xludf.DUMMYFUNCTION("""COMPUTED_VALUE"""),"X")</f>
        <v>X</v>
      </c>
      <c r="H65" s="2" t="str">
        <f ca="1">IFERROR(__xludf.DUMMYFUNCTION("""COMPUTED_VALUE"""),"X")</f>
        <v>X</v>
      </c>
      <c r="I65" s="2"/>
      <c r="J65" s="2"/>
      <c r="K65" s="2"/>
      <c r="L65" s="2"/>
      <c r="M65" s="2"/>
      <c r="N65" s="2"/>
      <c r="O65" s="5">
        <f ca="1">IFERROR(__xludf.DUMMYFUNCTION("""COMPUTED_VALUE"""),0)</f>
        <v>0</v>
      </c>
      <c r="P65" s="2">
        <f ca="1">IFERROR(__xludf.DUMMYFUNCTION("""COMPUTED_VALUE"""),0)</f>
        <v>0</v>
      </c>
      <c r="Q65" s="2">
        <f ca="1">IFERROR(__xludf.DUMMYFUNCTION("""COMPUTED_VALUE"""),3.325)</f>
        <v>3.3250000000000002</v>
      </c>
      <c r="R65" s="2">
        <f ca="1">IFERROR(__xludf.DUMMYFUNCTION("""COMPUTED_VALUE"""),2.475)</f>
        <v>2.4750000000000001</v>
      </c>
      <c r="S65" s="2">
        <f ca="1">IFERROR(__xludf.DUMMYFUNCTION("""COMPUTED_VALUE"""),0.605)</f>
        <v>0.60499999999999998</v>
      </c>
      <c r="T65" s="2">
        <f ca="1">IFERROR(__xludf.DUMMYFUNCTION("""COMPUTED_VALUE"""),0)</f>
        <v>0</v>
      </c>
      <c r="U65" s="2">
        <f ca="1">IFERROR(__xludf.DUMMYFUNCTION("""COMPUTED_VALUE"""),0)</f>
        <v>0</v>
      </c>
      <c r="V65" s="2">
        <f ca="1">IFERROR(__xludf.DUMMYFUNCTION("""COMPUTED_VALUE"""),0)</f>
        <v>0</v>
      </c>
      <c r="W65" s="2">
        <f ca="1">IFERROR(__xludf.DUMMYFUNCTION("""COMPUTED_VALUE"""),0)</f>
        <v>0</v>
      </c>
      <c r="X65" s="2">
        <f ca="1">IFERROR(__xludf.DUMMYFUNCTION("""COMPUTED_VALUE"""),0)</f>
        <v>0</v>
      </c>
      <c r="Y65" s="2">
        <f ca="1">IFERROR(__xludf.DUMMYFUNCTION("""COMPUTED_VALUE"""),0)</f>
        <v>0</v>
      </c>
      <c r="AB65" s="2"/>
      <c r="AC65" s="2"/>
      <c r="AD65" s="2"/>
      <c r="AE65" s="2"/>
      <c r="AF65" s="2" t="str">
        <f ca="1">IFERROR(__xludf.DUMMYFUNCTION("""COMPUTED_VALUE"""),"X")</f>
        <v>X</v>
      </c>
      <c r="AG65" s="2"/>
      <c r="AH65" s="2"/>
      <c r="AI65" s="2"/>
      <c r="AJ65" s="2"/>
      <c r="AK65" s="2"/>
      <c r="AL65" s="2"/>
      <c r="AM65" s="2">
        <f ca="1">IFERROR(__xludf.DUMMYFUNCTION("""COMPUTED_VALUE"""),0)</f>
        <v>0</v>
      </c>
      <c r="AN65" s="2">
        <f ca="1">IFERROR(__xludf.DUMMYFUNCTION("""COMPUTED_VALUE"""),0)</f>
        <v>0</v>
      </c>
      <c r="AO65" s="2">
        <f ca="1">IFERROR(__xludf.DUMMYFUNCTION("""COMPUTED_VALUE"""),0)</f>
        <v>0</v>
      </c>
      <c r="AP65" s="2">
        <f ca="1">IFERROR(__xludf.DUMMYFUNCTION("""COMPUTED_VALUE"""),0)</f>
        <v>0</v>
      </c>
      <c r="AQ65" s="2">
        <f ca="1">IFERROR(__xludf.DUMMYFUNCTION("""COMPUTED_VALUE"""),0.47)</f>
        <v>0.47</v>
      </c>
      <c r="AR65" s="2">
        <f ca="1">IFERROR(__xludf.DUMMYFUNCTION("""COMPUTED_VALUE"""),0)</f>
        <v>0</v>
      </c>
      <c r="AS65" s="2">
        <f ca="1">IFERROR(__xludf.DUMMYFUNCTION("""COMPUTED_VALUE"""),0)</f>
        <v>0</v>
      </c>
      <c r="AT65" s="2">
        <f ca="1">IFERROR(__xludf.DUMMYFUNCTION("""COMPUTED_VALUE"""),0)</f>
        <v>0</v>
      </c>
      <c r="AU65" s="2">
        <f ca="1">IFERROR(__xludf.DUMMYFUNCTION("""COMPUTED_VALUE"""),0)</f>
        <v>0</v>
      </c>
      <c r="AV65" s="2">
        <f ca="1">IFERROR(__xludf.DUMMYFUNCTION("""COMPUTED_VALUE"""),0)</f>
        <v>0</v>
      </c>
      <c r="AW65" s="2">
        <f ca="1">IFERROR(__xludf.DUMMYFUNCTION("""COMPUTED_VALUE"""),0)</f>
        <v>0</v>
      </c>
      <c r="AY65" s="2">
        <f t="shared" ca="1" si="0"/>
        <v>4</v>
      </c>
      <c r="AZ65" s="2" t="e">
        <f ca="1">IF(NOT(COUNTA(D65:J65)), _xludf.IFS(AL65="W", 'Round Bonuses'!$F$14, AL65="X", 'Round Bonuses'!$F$13, AK65="X", 'Round Bonuses'!$F$12, AJ65="X", 'Round Bonuses'!$F$11, AI65="X", 'Round Bonuses'!$F$10, AH65="X", 'Round Bonuses'!$F$9, AG65="X", 'Round Bonuses'!$F$8, AF65="X", 'Round Bonuses'!$F$7, AE65="X", 'Round Bonuses'!$F$6, AD65="X", 'Round Bonuses'!$F$5, AC65="X", 'Round Bonuses'!$F$4, AB65="X", 'Round Bonuses'!$F$3, TRUE, 0), IF(AA65="X", _xludf.IFS(AD65="X", 'Round Bonuses'!$E$4, AF65="X",'Round Bonuses'!$E$6,TRUE, 'Round Bonuses'!$E$7), 0) +IF(AB65="X", 'Round Bonuses'!$E$3, 0)+IF(AC65="X",'Round Bonuses'!$E$4, 0)+IF(AD65="X", 'Round Bonuses'!$E$5, 0)+IF(AE65="X", 'Round Bonuses'!$E$6, 0)+IF(AF65="X", 'Round Bonuses'!$E$7, 0)+IF(AG65="X", 'Round Bonuses'!$E$8, 0)+_xludf.IFS(AL65="W", 'Round Bonuses'!$G$14, AL65="X", 'Round Bonuses'!$G$13, AK65="X", 'Round Bonuses'!$G$12, AJ65="X", 'Round Bonuses'!$G$11, AI65="X", 'Round Bonuses'!$G$10, AH65="X", 'Round Bonuses'!$G$9, TRUE, 0))+_xludf.IFS(N65="W", 'Round Bonuses'!$C$13, N65="X", 'Round Bonuses'!$C$12, M65="X", 'Round Bonuses'!$C$11, L65="X", 'Round Bonuses'!$C$10, K65="X", 'Round Bonuses'!$C$9, J65="X", 'Round Bonuses'!$C$8, I65="X", 'Round Bonuses'!$C$7, H65="X", 'Round Bonuses'!$C$6, G65="X", 'Round Bonuses'!$C$5, F65="X", 'Round Bonuses'!$C$4, E65="X", 'Round Bonuses'!$C$3, D65="X", 'Round Bonuses'!$C$3, TRUE, 0)</f>
        <v>#NAME?</v>
      </c>
      <c r="BA65" s="2">
        <f t="shared" ca="1" si="1"/>
        <v>6.8750000000000009</v>
      </c>
      <c r="BB65" s="10" t="e">
        <f t="shared" ca="1" si="2"/>
        <v>#NAME?</v>
      </c>
      <c r="BD65" s="11" t="str">
        <f t="shared" ca="1" si="3"/>
        <v>Dynamo Brest</v>
      </c>
      <c r="BE65" s="2" t="str">
        <f t="shared" ca="1" si="4"/>
        <v>Belarus</v>
      </c>
      <c r="BF65" s="2" t="e">
        <f t="shared" ca="1" si="5"/>
        <v>#NAME?</v>
      </c>
      <c r="BG65" s="2">
        <f t="shared" ca="1" si="6"/>
        <v>4</v>
      </c>
      <c r="BH65" s="2" t="s">
        <v>101</v>
      </c>
      <c r="BI65" s="2" t="s">
        <v>102</v>
      </c>
      <c r="BJ65" s="7">
        <v>5.786249999999999</v>
      </c>
      <c r="BK65" s="2">
        <v>10</v>
      </c>
      <c r="BL65" s="2">
        <f t="shared" si="10"/>
        <v>63</v>
      </c>
      <c r="BM65" s="2" t="str">
        <f t="shared" si="7"/>
        <v>Qarabağ</v>
      </c>
      <c r="BN65" s="7">
        <f t="shared" ref="BN65:BO65" si="72">BJ65</f>
        <v>5.786249999999999</v>
      </c>
      <c r="BO65" s="2">
        <f t="shared" si="72"/>
        <v>10</v>
      </c>
      <c r="BS65" s="2" t="str">
        <f t="shared" si="9"/>
        <v>Azerbaijan</v>
      </c>
    </row>
    <row r="66" spans="1:71" ht="13.8" x14ac:dyDescent="0.45">
      <c r="A66" s="2" t="str">
        <f ca="1">IFERROR(__xludf.DUMMYFUNCTION("""COMPUTED_VALUE"""),"Dynamo Kyiv")</f>
        <v>Dynamo Kyiv</v>
      </c>
      <c r="B66" s="2">
        <f ca="1">IFERROR(__xludf.DUMMYFUNCTION("""COMPUTED_VALUE"""),0.9)</f>
        <v>0.9</v>
      </c>
      <c r="C66" s="2" t="str">
        <f ca="1">IFERROR(__xludf.DUMMYFUNCTION("""COMPUTED_VALUE"""),"Ukraine")</f>
        <v>Ukraine</v>
      </c>
      <c r="D66" s="2"/>
      <c r="E66" s="2"/>
      <c r="F66" s="2"/>
      <c r="G66" s="2"/>
      <c r="H66" s="2" t="str">
        <f ca="1">IFERROR(__xludf.DUMMYFUNCTION("""COMPUTED_VALUE"""),"X")</f>
        <v>X</v>
      </c>
      <c r="I66" s="2" t="str">
        <f ca="1">IFERROR(__xludf.DUMMYFUNCTION("""COMPUTED_VALUE"""),"X")</f>
        <v>X</v>
      </c>
      <c r="J66" s="2" t="str">
        <f ca="1">IFERROR(__xludf.DUMMYFUNCTION("""COMPUTED_VALUE"""),"X")</f>
        <v>X</v>
      </c>
      <c r="K66" s="2"/>
      <c r="L66" s="2"/>
      <c r="M66" s="2"/>
      <c r="N66" s="2"/>
      <c r="O66" s="5">
        <f ca="1">IFERROR(__xludf.DUMMYFUNCTION("""COMPUTED_VALUE"""),0)</f>
        <v>0</v>
      </c>
      <c r="P66" s="2">
        <f ca="1">IFERROR(__xludf.DUMMYFUNCTION("""COMPUTED_VALUE"""),0)</f>
        <v>0</v>
      </c>
      <c r="Q66" s="2">
        <f ca="1">IFERROR(__xludf.DUMMYFUNCTION("""COMPUTED_VALUE"""),0)</f>
        <v>0</v>
      </c>
      <c r="R66" s="2">
        <f ca="1">IFERROR(__xludf.DUMMYFUNCTION("""COMPUTED_VALUE"""),0)</f>
        <v>0</v>
      </c>
      <c r="S66" s="2">
        <f ca="1">IFERROR(__xludf.DUMMYFUNCTION("""COMPUTED_VALUE"""),3.73999999999999)</f>
        <v>3.73999999999999</v>
      </c>
      <c r="T66" s="2">
        <f ca="1">IFERROR(__xludf.DUMMYFUNCTION("""COMPUTED_VALUE"""),7.735)</f>
        <v>7.7350000000000003</v>
      </c>
      <c r="U66" s="2">
        <f ca="1">IFERROR(__xludf.DUMMYFUNCTION("""COMPUTED_VALUE"""),6.75374999999999)</f>
        <v>6.7537499999999904</v>
      </c>
      <c r="V66" s="2">
        <f ca="1">IFERROR(__xludf.DUMMYFUNCTION("""COMPUTED_VALUE"""),0)</f>
        <v>0</v>
      </c>
      <c r="W66" s="2">
        <f ca="1">IFERROR(__xludf.DUMMYFUNCTION("""COMPUTED_VALUE"""),0)</f>
        <v>0</v>
      </c>
      <c r="X66" s="2">
        <f ca="1">IFERROR(__xludf.DUMMYFUNCTION("""COMPUTED_VALUE"""),0)</f>
        <v>0</v>
      </c>
      <c r="Y66" s="2">
        <f ca="1">IFERROR(__xludf.DUMMYFUNCTION("""COMPUTED_VALUE"""),0)</f>
        <v>0</v>
      </c>
      <c r="AB66" s="2"/>
      <c r="AC66" s="2"/>
      <c r="AD66" s="2"/>
      <c r="AE66" s="2"/>
      <c r="AF66" s="2"/>
      <c r="AG66" s="2"/>
      <c r="AH66" s="2" t="str">
        <f ca="1">IFERROR(__xludf.DUMMYFUNCTION("""COMPUTED_VALUE"""),"X")</f>
        <v>X</v>
      </c>
      <c r="AI66" s="2" t="str">
        <f ca="1">IFERROR(__xludf.DUMMYFUNCTION("""COMPUTED_VALUE"""),"X")</f>
        <v>X</v>
      </c>
      <c r="AJ66" s="2"/>
      <c r="AK66" s="2"/>
      <c r="AL66" s="2"/>
      <c r="AM66" s="2">
        <f ca="1">IFERROR(__xludf.DUMMYFUNCTION("""COMPUTED_VALUE"""),0)</f>
        <v>0</v>
      </c>
      <c r="AN66" s="2">
        <f ca="1">IFERROR(__xludf.DUMMYFUNCTION("""COMPUTED_VALUE"""),0)</f>
        <v>0</v>
      </c>
      <c r="AO66" s="2">
        <f ca="1">IFERROR(__xludf.DUMMYFUNCTION("""COMPUTED_VALUE"""),0)</f>
        <v>0</v>
      </c>
      <c r="AP66" s="2">
        <f ca="1">IFERROR(__xludf.DUMMYFUNCTION("""COMPUTED_VALUE"""),0)</f>
        <v>0</v>
      </c>
      <c r="AQ66" s="2">
        <f ca="1">IFERROR(__xludf.DUMMYFUNCTION("""COMPUTED_VALUE"""),0)</f>
        <v>0</v>
      </c>
      <c r="AR66" s="2">
        <f ca="1">IFERROR(__xludf.DUMMYFUNCTION("""COMPUTED_VALUE"""),0)</f>
        <v>0</v>
      </c>
      <c r="AS66" s="2">
        <f ca="1">IFERROR(__xludf.DUMMYFUNCTION("""COMPUTED_VALUE"""),5.635)</f>
        <v>5.6349999999999998</v>
      </c>
      <c r="AT66" s="2">
        <f ca="1">IFERROR(__xludf.DUMMYFUNCTION("""COMPUTED_VALUE"""),1.4)</f>
        <v>1.4</v>
      </c>
      <c r="AU66" s="2">
        <f ca="1">IFERROR(__xludf.DUMMYFUNCTION("""COMPUTED_VALUE"""),0)</f>
        <v>0</v>
      </c>
      <c r="AV66" s="2">
        <f ca="1">IFERROR(__xludf.DUMMYFUNCTION("""COMPUTED_VALUE"""),0)</f>
        <v>0</v>
      </c>
      <c r="AW66" s="2">
        <f ca="1">IFERROR(__xludf.DUMMYFUNCTION("""COMPUTED_VALUE"""),0)</f>
        <v>0</v>
      </c>
      <c r="AY66" s="2">
        <f t="shared" ca="1" si="0"/>
        <v>13</v>
      </c>
      <c r="AZ66" s="2" t="e">
        <f ca="1">IF(NOT(COUNTA(D66:J66)), _xludf.IFS(AL66="W", 'Round Bonuses'!$F$14, AL66="X", 'Round Bonuses'!$F$13, AK66="X", 'Round Bonuses'!$F$12, AJ66="X", 'Round Bonuses'!$F$11, AI66="X", 'Round Bonuses'!$F$10, AH66="X", 'Round Bonuses'!$F$9, AG66="X", 'Round Bonuses'!$F$8, AF66="X", 'Round Bonuses'!$F$7, AE66="X", 'Round Bonuses'!$F$6, AD66="X", 'Round Bonuses'!$F$5, AC66="X", 'Round Bonuses'!$F$4, AB66="X", 'Round Bonuses'!$F$3, TRUE, 0), IF(AA66="X", _xludf.IFS(AD66="X", 'Round Bonuses'!$E$4, AF66="X",'Round Bonuses'!$E$6,TRUE, 'Round Bonuses'!$E$7), 0) +IF(AB66="X", 'Round Bonuses'!$E$3, 0)+IF(AC66="X",'Round Bonuses'!$E$4, 0)+IF(AD66="X", 'Round Bonuses'!$E$5, 0)+IF(AE66="X", 'Round Bonuses'!$E$6, 0)+IF(AF66="X", 'Round Bonuses'!$E$7, 0)+IF(AG66="X", 'Round Bonuses'!$E$8, 0)+_xludf.IFS(AL66="W", 'Round Bonuses'!$G$14, AL66="X", 'Round Bonuses'!$G$13, AK66="X", 'Round Bonuses'!$G$12, AJ66="X", 'Round Bonuses'!$G$11, AI66="X", 'Round Bonuses'!$G$10, AH66="X", 'Round Bonuses'!$G$9, TRUE, 0))+_xludf.IFS(N66="W", 'Round Bonuses'!$C$13, N66="X", 'Round Bonuses'!$C$12, M66="X", 'Round Bonuses'!$C$11, L66="X", 'Round Bonuses'!$C$10, K66="X", 'Round Bonuses'!$C$9, J66="X", 'Round Bonuses'!$C$8, I66="X", 'Round Bonuses'!$C$7, H66="X", 'Round Bonuses'!$C$6, G66="X", 'Round Bonuses'!$C$5, F66="X", 'Round Bonuses'!$C$4, E66="X", 'Round Bonuses'!$C$3, D66="X", 'Round Bonuses'!$C$3, TRUE, 0)</f>
        <v>#NAME?</v>
      </c>
      <c r="BA66" s="2">
        <f t="shared" ca="1" si="1"/>
        <v>25.26374999999998</v>
      </c>
      <c r="BB66" s="10" t="e">
        <f t="shared" ca="1" si="2"/>
        <v>#NAME?</v>
      </c>
      <c r="BD66" s="11" t="str">
        <f t="shared" ca="1" si="3"/>
        <v>Dynamo Kyiv</v>
      </c>
      <c r="BE66" s="2" t="str">
        <f t="shared" ca="1" si="4"/>
        <v>Ukraine</v>
      </c>
      <c r="BF66" s="2" t="e">
        <f t="shared" ca="1" si="5"/>
        <v>#NAME?</v>
      </c>
      <c r="BG66" s="2">
        <f t="shared" ca="1" si="6"/>
        <v>13</v>
      </c>
      <c r="BH66" s="2" t="s">
        <v>103</v>
      </c>
      <c r="BI66" s="2" t="s">
        <v>104</v>
      </c>
      <c r="BJ66" s="7">
        <v>5.5827500000000008</v>
      </c>
      <c r="BK66" s="2">
        <v>10</v>
      </c>
      <c r="BL66" s="2">
        <f t="shared" si="10"/>
        <v>64</v>
      </c>
      <c r="BM66" s="2" t="str">
        <f t="shared" si="7"/>
        <v>CFR Cluj</v>
      </c>
      <c r="BN66" s="7">
        <f t="shared" ref="BN66:BO66" si="73">BJ66</f>
        <v>5.5827500000000008</v>
      </c>
      <c r="BO66" s="2">
        <f t="shared" si="73"/>
        <v>10</v>
      </c>
      <c r="BS66" s="2" t="str">
        <f t="shared" si="9"/>
        <v>Romania</v>
      </c>
    </row>
    <row r="67" spans="1:71" ht="13.8" x14ac:dyDescent="0.45">
      <c r="A67" s="2" t="str">
        <f ca="1">IFERROR(__xludf.DUMMYFUNCTION("""COMPUTED_VALUE"""),"Dynamo Moscow")</f>
        <v>Dynamo Moscow</v>
      </c>
      <c r="B67" s="2">
        <f ca="1">IFERROR(__xludf.DUMMYFUNCTION("""COMPUTED_VALUE"""),0.889999999999999)</f>
        <v>0.88999999999999901</v>
      </c>
      <c r="C67" s="2" t="str">
        <f ca="1">IFERROR(__xludf.DUMMYFUNCTION("""COMPUTED_VALUE"""),"Russia")</f>
        <v>Russia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5">
        <f ca="1">IFERROR(__xludf.DUMMYFUNCTION("""COMPUTED_VALUE"""),0)</f>
        <v>0</v>
      </c>
      <c r="P67" s="2">
        <f ca="1">IFERROR(__xludf.DUMMYFUNCTION("""COMPUTED_VALUE"""),0)</f>
        <v>0</v>
      </c>
      <c r="Q67" s="2">
        <f ca="1">IFERROR(__xludf.DUMMYFUNCTION("""COMPUTED_VALUE"""),0)</f>
        <v>0</v>
      </c>
      <c r="R67" s="2">
        <f ca="1">IFERROR(__xludf.DUMMYFUNCTION("""COMPUTED_VALUE"""),0)</f>
        <v>0</v>
      </c>
      <c r="S67" s="2">
        <f ca="1">IFERROR(__xludf.DUMMYFUNCTION("""COMPUTED_VALUE"""),0)</f>
        <v>0</v>
      </c>
      <c r="T67" s="2">
        <f ca="1">IFERROR(__xludf.DUMMYFUNCTION("""COMPUTED_VALUE"""),0)</f>
        <v>0</v>
      </c>
      <c r="U67" s="2">
        <f ca="1">IFERROR(__xludf.DUMMYFUNCTION("""COMPUTED_VALUE"""),0)</f>
        <v>0</v>
      </c>
      <c r="V67" s="2">
        <f ca="1">IFERROR(__xludf.DUMMYFUNCTION("""COMPUTED_VALUE"""),0)</f>
        <v>0</v>
      </c>
      <c r="W67" s="2">
        <f ca="1">IFERROR(__xludf.DUMMYFUNCTION("""COMPUTED_VALUE"""),0)</f>
        <v>0</v>
      </c>
      <c r="X67" s="2">
        <f ca="1">IFERROR(__xludf.DUMMYFUNCTION("""COMPUTED_VALUE"""),0)</f>
        <v>0</v>
      </c>
      <c r="Y67" s="2">
        <f ca="1">IFERROR(__xludf.DUMMYFUNCTION("""COMPUTED_VALUE"""),0)</f>
        <v>0</v>
      </c>
      <c r="AB67" s="2"/>
      <c r="AC67" s="2"/>
      <c r="AD67" s="2" t="str">
        <f ca="1">IFERROR(__xludf.DUMMYFUNCTION("""COMPUTED_VALUE"""),"X")</f>
        <v>X</v>
      </c>
      <c r="AE67" s="2"/>
      <c r="AF67" s="2"/>
      <c r="AG67" s="2"/>
      <c r="AH67" s="2"/>
      <c r="AI67" s="2"/>
      <c r="AJ67" s="2"/>
      <c r="AK67" s="2"/>
      <c r="AL67" s="2"/>
      <c r="AM67" s="2">
        <f ca="1">IFERROR(__xludf.DUMMYFUNCTION("""COMPUTED_VALUE"""),0)</f>
        <v>0</v>
      </c>
      <c r="AN67" s="2">
        <f ca="1">IFERROR(__xludf.DUMMYFUNCTION("""COMPUTED_VALUE"""),0)</f>
        <v>0</v>
      </c>
      <c r="AO67" s="2">
        <f ca="1">IFERROR(__xludf.DUMMYFUNCTION("""COMPUTED_VALUE"""),0.375)</f>
        <v>0.375</v>
      </c>
      <c r="AP67" s="2">
        <f ca="1">IFERROR(__xludf.DUMMYFUNCTION("""COMPUTED_VALUE"""),0)</f>
        <v>0</v>
      </c>
      <c r="AQ67" s="2">
        <f ca="1">IFERROR(__xludf.DUMMYFUNCTION("""COMPUTED_VALUE"""),0)</f>
        <v>0</v>
      </c>
      <c r="AR67" s="2">
        <f ca="1">IFERROR(__xludf.DUMMYFUNCTION("""COMPUTED_VALUE"""),0)</f>
        <v>0</v>
      </c>
      <c r="AS67" s="2">
        <f ca="1">IFERROR(__xludf.DUMMYFUNCTION("""COMPUTED_VALUE"""),0)</f>
        <v>0</v>
      </c>
      <c r="AT67" s="2">
        <f ca="1">IFERROR(__xludf.DUMMYFUNCTION("""COMPUTED_VALUE"""),0)</f>
        <v>0</v>
      </c>
      <c r="AU67" s="2">
        <f ca="1">IFERROR(__xludf.DUMMYFUNCTION("""COMPUTED_VALUE"""),0)</f>
        <v>0</v>
      </c>
      <c r="AV67" s="2">
        <f ca="1">IFERROR(__xludf.DUMMYFUNCTION("""COMPUTED_VALUE"""),0)</f>
        <v>0</v>
      </c>
      <c r="AW67" s="2">
        <f ca="1">IFERROR(__xludf.DUMMYFUNCTION("""COMPUTED_VALUE"""),0)</f>
        <v>0</v>
      </c>
      <c r="AY67" s="2">
        <f t="shared" ca="1" si="0"/>
        <v>1</v>
      </c>
      <c r="AZ67" s="2" t="e">
        <f ca="1">IF(NOT(COUNTA(D67:J67)), _xludf.IFS(AL67="W", 'Round Bonuses'!$F$14, AL67="X", 'Round Bonuses'!$F$13, AK67="X", 'Round Bonuses'!$F$12, AJ67="X", 'Round Bonuses'!$F$11, AI67="X", 'Round Bonuses'!$F$10, AH67="X", 'Round Bonuses'!$F$9, AG67="X", 'Round Bonuses'!$F$8, AF67="X", 'Round Bonuses'!$F$7, AE67="X", 'Round Bonuses'!$F$6, AD67="X", 'Round Bonuses'!$F$5, AC67="X", 'Round Bonuses'!$F$4, AB67="X", 'Round Bonuses'!$F$3, TRUE, 0), IF(AA67="X", _xludf.IFS(AD67="X", 'Round Bonuses'!$E$4, AF67="X",'Round Bonuses'!$E$6,TRUE, 'Round Bonuses'!$E$7), 0) +IF(AB67="X", 'Round Bonuses'!$E$3, 0)+IF(AC67="X",'Round Bonuses'!$E$4, 0)+IF(AD67="X", 'Round Bonuses'!$E$5, 0)+IF(AE67="X", 'Round Bonuses'!$E$6, 0)+IF(AF67="X", 'Round Bonuses'!$E$7, 0)+IF(AG67="X", 'Round Bonuses'!$E$8, 0)+_xludf.IFS(AL67="W", 'Round Bonuses'!$G$14, AL67="X", 'Round Bonuses'!$G$13, AK67="X", 'Round Bonuses'!$G$12, AJ67="X", 'Round Bonuses'!$G$11, AI67="X", 'Round Bonuses'!$G$10, AH67="X", 'Round Bonuses'!$G$9, TRUE, 0))+_xludf.IFS(N67="W", 'Round Bonuses'!$C$13, N67="X", 'Round Bonuses'!$C$12, M67="X", 'Round Bonuses'!$C$11, L67="X", 'Round Bonuses'!$C$10, K67="X", 'Round Bonuses'!$C$9, J67="X", 'Round Bonuses'!$C$8, I67="X", 'Round Bonuses'!$C$7, H67="X", 'Round Bonuses'!$C$6, G67="X", 'Round Bonuses'!$C$5, F67="X", 'Round Bonuses'!$C$4, E67="X", 'Round Bonuses'!$C$3, D67="X", 'Round Bonuses'!$C$3, TRUE, 0)</f>
        <v>#NAME?</v>
      </c>
      <c r="BA67" s="2">
        <f t="shared" ca="1" si="1"/>
        <v>0.375</v>
      </c>
      <c r="BB67" s="10" t="e">
        <f t="shared" ca="1" si="2"/>
        <v>#NAME?</v>
      </c>
      <c r="BD67" s="11" t="str">
        <f t="shared" ca="1" si="3"/>
        <v>Dynamo Moscow</v>
      </c>
      <c r="BE67" s="2" t="str">
        <f t="shared" ca="1" si="4"/>
        <v>Russia</v>
      </c>
      <c r="BF67" s="2" t="e">
        <f t="shared" ca="1" si="5"/>
        <v>#NAME?</v>
      </c>
      <c r="BG67" s="2">
        <f t="shared" ca="1" si="6"/>
        <v>1</v>
      </c>
      <c r="BH67" s="2" t="s">
        <v>105</v>
      </c>
      <c r="BI67" s="2" t="s">
        <v>66</v>
      </c>
      <c r="BJ67" s="7">
        <v>5.5215000000000005</v>
      </c>
      <c r="BK67" s="2">
        <v>10</v>
      </c>
      <c r="BL67" s="2">
        <f t="shared" si="10"/>
        <v>65</v>
      </c>
      <c r="BM67" s="2" t="str">
        <f t="shared" si="7"/>
        <v>Celtic</v>
      </c>
      <c r="BN67" s="7">
        <f t="shared" ref="BN67:BO67" si="74">BJ67</f>
        <v>5.5215000000000005</v>
      </c>
      <c r="BO67" s="2">
        <f t="shared" si="74"/>
        <v>10</v>
      </c>
      <c r="BS67" s="2" t="str">
        <f t="shared" si="9"/>
        <v>Scotland</v>
      </c>
    </row>
    <row r="68" spans="1:71" ht="13.8" x14ac:dyDescent="0.45">
      <c r="A68" s="2" t="str">
        <f ca="1">IFERROR(__xludf.DUMMYFUNCTION("""COMPUTED_VALUE"""),"Engordany")</f>
        <v>Engordany</v>
      </c>
      <c r="B68" s="2">
        <f ca="1">IFERROR(__xludf.DUMMYFUNCTION("""COMPUTED_VALUE"""),0.439999999999999)</f>
        <v>0.439999999999999</v>
      </c>
      <c r="C68" s="2" t="str">
        <f ca="1">IFERROR(__xludf.DUMMYFUNCTION("""COMPUTED_VALUE"""),"Andorra")</f>
        <v>Andorra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5">
        <f ca="1">IFERROR(__xludf.DUMMYFUNCTION("""COMPUTED_VALUE"""),0)</f>
        <v>0</v>
      </c>
      <c r="P68" s="2">
        <f ca="1">IFERROR(__xludf.DUMMYFUNCTION("""COMPUTED_VALUE"""),0)</f>
        <v>0</v>
      </c>
      <c r="Q68" s="2">
        <f ca="1">IFERROR(__xludf.DUMMYFUNCTION("""COMPUTED_VALUE"""),0)</f>
        <v>0</v>
      </c>
      <c r="R68" s="2">
        <f ca="1">IFERROR(__xludf.DUMMYFUNCTION("""COMPUTED_VALUE"""),0)</f>
        <v>0</v>
      </c>
      <c r="S68" s="2">
        <f ca="1">IFERROR(__xludf.DUMMYFUNCTION("""COMPUTED_VALUE"""),0)</f>
        <v>0</v>
      </c>
      <c r="T68" s="2">
        <f ca="1">IFERROR(__xludf.DUMMYFUNCTION("""COMPUTED_VALUE"""),0)</f>
        <v>0</v>
      </c>
      <c r="U68" s="2">
        <f ca="1">IFERROR(__xludf.DUMMYFUNCTION("""COMPUTED_VALUE"""),0)</f>
        <v>0</v>
      </c>
      <c r="V68" s="2">
        <f ca="1">IFERROR(__xludf.DUMMYFUNCTION("""COMPUTED_VALUE"""),0)</f>
        <v>0</v>
      </c>
      <c r="W68" s="2">
        <f ca="1">IFERROR(__xludf.DUMMYFUNCTION("""COMPUTED_VALUE"""),0)</f>
        <v>0</v>
      </c>
      <c r="X68" s="2">
        <f ca="1">IFERROR(__xludf.DUMMYFUNCTION("""COMPUTED_VALUE"""),0)</f>
        <v>0</v>
      </c>
      <c r="Y68" s="2">
        <f ca="1">IFERROR(__xludf.DUMMYFUNCTION("""COMPUTED_VALUE"""),0)</f>
        <v>0</v>
      </c>
      <c r="AB68" s="2" t="str">
        <f ca="1">IFERROR(__xludf.DUMMYFUNCTION("""COMPUTED_VALUE"""),"X")</f>
        <v>X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>
        <f ca="1">IFERROR(__xludf.DUMMYFUNCTION("""COMPUTED_VALUE"""),0.23)</f>
        <v>0.23</v>
      </c>
      <c r="AN68" s="2">
        <f ca="1">IFERROR(__xludf.DUMMYFUNCTION("""COMPUTED_VALUE"""),0)</f>
        <v>0</v>
      </c>
      <c r="AO68" s="2">
        <f ca="1">IFERROR(__xludf.DUMMYFUNCTION("""COMPUTED_VALUE"""),0)</f>
        <v>0</v>
      </c>
      <c r="AP68" s="2">
        <f ca="1">IFERROR(__xludf.DUMMYFUNCTION("""COMPUTED_VALUE"""),0)</f>
        <v>0</v>
      </c>
      <c r="AQ68" s="2">
        <f ca="1">IFERROR(__xludf.DUMMYFUNCTION("""COMPUTED_VALUE"""),0)</f>
        <v>0</v>
      </c>
      <c r="AR68" s="2">
        <f ca="1">IFERROR(__xludf.DUMMYFUNCTION("""COMPUTED_VALUE"""),0)</f>
        <v>0</v>
      </c>
      <c r="AS68" s="2">
        <f ca="1">IFERROR(__xludf.DUMMYFUNCTION("""COMPUTED_VALUE"""),0)</f>
        <v>0</v>
      </c>
      <c r="AT68" s="2">
        <f ca="1">IFERROR(__xludf.DUMMYFUNCTION("""COMPUTED_VALUE"""),0)</f>
        <v>0</v>
      </c>
      <c r="AU68" s="2">
        <f ca="1">IFERROR(__xludf.DUMMYFUNCTION("""COMPUTED_VALUE"""),0)</f>
        <v>0</v>
      </c>
      <c r="AV68" s="2">
        <f ca="1">IFERROR(__xludf.DUMMYFUNCTION("""COMPUTED_VALUE"""),0)</f>
        <v>0</v>
      </c>
      <c r="AW68" s="2">
        <f ca="1">IFERROR(__xludf.DUMMYFUNCTION("""COMPUTED_VALUE"""),0)</f>
        <v>0</v>
      </c>
      <c r="AY68" s="2">
        <f t="shared" ca="1" si="0"/>
        <v>1</v>
      </c>
      <c r="AZ68" s="2" t="e">
        <f ca="1">IF(NOT(COUNTA(D68:J68)), _xludf.IFS(AL68="W", 'Round Bonuses'!$F$14, AL68="X", 'Round Bonuses'!$F$13, AK68="X", 'Round Bonuses'!$F$12, AJ68="X", 'Round Bonuses'!$F$11, AI68="X", 'Round Bonuses'!$F$10, AH68="X", 'Round Bonuses'!$F$9, AG68="X", 'Round Bonuses'!$F$8, AF68="X", 'Round Bonuses'!$F$7, AE68="X", 'Round Bonuses'!$F$6, AD68="X", 'Round Bonuses'!$F$5, AC68="X", 'Round Bonuses'!$F$4, AB68="X", 'Round Bonuses'!$F$3, TRUE, 0), IF(AA68="X", _xludf.IFS(AD68="X", 'Round Bonuses'!$E$4, AF68="X",'Round Bonuses'!$E$6,TRUE, 'Round Bonuses'!$E$7), 0) +IF(AB68="X", 'Round Bonuses'!$E$3, 0)+IF(AC68="X",'Round Bonuses'!$E$4, 0)+IF(AD68="X", 'Round Bonuses'!$E$5, 0)+IF(AE68="X", 'Round Bonuses'!$E$6, 0)+IF(AF68="X", 'Round Bonuses'!$E$7, 0)+IF(AG68="X", 'Round Bonuses'!$E$8, 0)+_xludf.IFS(AL68="W", 'Round Bonuses'!$G$14, AL68="X", 'Round Bonuses'!$G$13, AK68="X", 'Round Bonuses'!$G$12, AJ68="X", 'Round Bonuses'!$G$11, AI68="X", 'Round Bonuses'!$G$10, AH68="X", 'Round Bonuses'!$G$9, TRUE, 0))+_xludf.IFS(N68="W", 'Round Bonuses'!$C$13, N68="X", 'Round Bonuses'!$C$12, M68="X", 'Round Bonuses'!$C$11, L68="X", 'Round Bonuses'!$C$10, K68="X", 'Round Bonuses'!$C$9, J68="X", 'Round Bonuses'!$C$8, I68="X", 'Round Bonuses'!$C$7, H68="X", 'Round Bonuses'!$C$6, G68="X", 'Round Bonuses'!$C$5, F68="X", 'Round Bonuses'!$C$4, E68="X", 'Round Bonuses'!$C$3, D68="X", 'Round Bonuses'!$C$3, TRUE, 0)</f>
        <v>#NAME?</v>
      </c>
      <c r="BA68" s="2">
        <f t="shared" ca="1" si="1"/>
        <v>0.23</v>
      </c>
      <c r="BB68" s="10" t="e">
        <f t="shared" ca="1" si="2"/>
        <v>#NAME?</v>
      </c>
      <c r="BD68" s="11" t="str">
        <f t="shared" ca="1" si="3"/>
        <v>Engordany</v>
      </c>
      <c r="BE68" s="2" t="str">
        <f t="shared" ca="1" si="4"/>
        <v>Andorra</v>
      </c>
      <c r="BF68" s="2" t="e">
        <f t="shared" ca="1" si="5"/>
        <v>#NAME?</v>
      </c>
      <c r="BG68" s="2">
        <f t="shared" ca="1" si="6"/>
        <v>1</v>
      </c>
      <c r="BH68" s="2" t="s">
        <v>106</v>
      </c>
      <c r="BI68" s="2" t="s">
        <v>68</v>
      </c>
      <c r="BJ68" s="7">
        <v>5.4738749999999996</v>
      </c>
      <c r="BK68" s="2">
        <v>10</v>
      </c>
      <c r="BL68" s="2">
        <f t="shared" si="10"/>
        <v>66</v>
      </c>
      <c r="BM68" s="2" t="str">
        <f t="shared" si="7"/>
        <v>Hapoel Be'er Sheva</v>
      </c>
      <c r="BN68" s="7">
        <f t="shared" ref="BN68:BO68" si="75">BJ68</f>
        <v>5.4738749999999996</v>
      </c>
      <c r="BO68" s="2">
        <f t="shared" si="75"/>
        <v>10</v>
      </c>
      <c r="BS68" s="2" t="str">
        <f t="shared" si="9"/>
        <v>Israel</v>
      </c>
    </row>
    <row r="69" spans="1:71" ht="13.8" x14ac:dyDescent="0.45">
      <c r="A69" s="2" t="str">
        <f ca="1">IFERROR(__xludf.DUMMYFUNCTION("""COMPUTED_VALUE"""),"Europa")</f>
        <v>Europa</v>
      </c>
      <c r="B69" s="2">
        <f ca="1">IFERROR(__xludf.DUMMYFUNCTION("""COMPUTED_VALUE"""),0.49)</f>
        <v>0.49</v>
      </c>
      <c r="C69" s="2" t="str">
        <f ca="1">IFERROR(__xludf.DUMMYFUNCTION("""COMPUTED_VALUE"""),"Gibraltar")</f>
        <v>Gibraltar</v>
      </c>
      <c r="D69" s="2"/>
      <c r="E69" s="2"/>
      <c r="F69" s="2" t="str">
        <f ca="1">IFERROR(__xludf.DUMMYFUNCTION("""COMPUTED_VALUE"""),"X")</f>
        <v>X</v>
      </c>
      <c r="G69" s="2"/>
      <c r="H69" s="2"/>
      <c r="I69" s="2"/>
      <c r="J69" s="2"/>
      <c r="K69" s="2"/>
      <c r="L69" s="2"/>
      <c r="M69" s="2"/>
      <c r="N69" s="2"/>
      <c r="O69" s="5">
        <f ca="1">IFERROR(__xludf.DUMMYFUNCTION("""COMPUTED_VALUE"""),0)</f>
        <v>0</v>
      </c>
      <c r="P69" s="2">
        <f ca="1">IFERROR(__xludf.DUMMYFUNCTION("""COMPUTED_VALUE"""),0)</f>
        <v>0</v>
      </c>
      <c r="Q69" s="2">
        <f ca="1">IFERROR(__xludf.DUMMYFUNCTION("""COMPUTED_VALUE"""),0.185)</f>
        <v>0.185</v>
      </c>
      <c r="R69" s="2">
        <f ca="1">IFERROR(__xludf.DUMMYFUNCTION("""COMPUTED_VALUE"""),0)</f>
        <v>0</v>
      </c>
      <c r="S69" s="2">
        <f ca="1">IFERROR(__xludf.DUMMYFUNCTION("""COMPUTED_VALUE"""),0)</f>
        <v>0</v>
      </c>
      <c r="T69" s="2">
        <f ca="1">IFERROR(__xludf.DUMMYFUNCTION("""COMPUTED_VALUE"""),0)</f>
        <v>0</v>
      </c>
      <c r="U69" s="2">
        <f ca="1">IFERROR(__xludf.DUMMYFUNCTION("""COMPUTED_VALUE"""),0)</f>
        <v>0</v>
      </c>
      <c r="V69" s="2">
        <f ca="1">IFERROR(__xludf.DUMMYFUNCTION("""COMPUTED_VALUE"""),0)</f>
        <v>0</v>
      </c>
      <c r="W69" s="2">
        <f ca="1">IFERROR(__xludf.DUMMYFUNCTION("""COMPUTED_VALUE"""),0)</f>
        <v>0</v>
      </c>
      <c r="X69" s="2">
        <f ca="1">IFERROR(__xludf.DUMMYFUNCTION("""COMPUTED_VALUE"""),0)</f>
        <v>0</v>
      </c>
      <c r="Y69" s="2">
        <f ca="1">IFERROR(__xludf.DUMMYFUNCTION("""COMPUTED_VALUE"""),0)</f>
        <v>0</v>
      </c>
      <c r="AB69" s="2"/>
      <c r="AC69" s="2"/>
      <c r="AD69" s="2" t="str">
        <f ca="1">IFERROR(__xludf.DUMMYFUNCTION("""COMPUTED_VALUE"""),"X")</f>
        <v>X</v>
      </c>
      <c r="AE69" s="2"/>
      <c r="AF69" s="2"/>
      <c r="AG69" s="2"/>
      <c r="AH69" s="2"/>
      <c r="AI69" s="2"/>
      <c r="AJ69" s="2"/>
      <c r="AK69" s="2"/>
      <c r="AL69" s="2"/>
      <c r="AM69" s="2">
        <f ca="1">IFERROR(__xludf.DUMMYFUNCTION("""COMPUTED_VALUE"""),0)</f>
        <v>0</v>
      </c>
      <c r="AN69" s="2">
        <f ca="1">IFERROR(__xludf.DUMMYFUNCTION("""COMPUTED_VALUE"""),0)</f>
        <v>0</v>
      </c>
      <c r="AO69" s="2">
        <f ca="1">IFERROR(__xludf.DUMMYFUNCTION("""COMPUTED_VALUE"""),0.655)</f>
        <v>0.65500000000000003</v>
      </c>
      <c r="AP69" s="2">
        <f ca="1">IFERROR(__xludf.DUMMYFUNCTION("""COMPUTED_VALUE"""),0)</f>
        <v>0</v>
      </c>
      <c r="AQ69" s="2">
        <f ca="1">IFERROR(__xludf.DUMMYFUNCTION("""COMPUTED_VALUE"""),0)</f>
        <v>0</v>
      </c>
      <c r="AR69" s="2">
        <f ca="1">IFERROR(__xludf.DUMMYFUNCTION("""COMPUTED_VALUE"""),0)</f>
        <v>0</v>
      </c>
      <c r="AS69" s="2">
        <f ca="1">IFERROR(__xludf.DUMMYFUNCTION("""COMPUTED_VALUE"""),0)</f>
        <v>0</v>
      </c>
      <c r="AT69" s="2">
        <f ca="1">IFERROR(__xludf.DUMMYFUNCTION("""COMPUTED_VALUE"""),0)</f>
        <v>0</v>
      </c>
      <c r="AU69" s="2">
        <f ca="1">IFERROR(__xludf.DUMMYFUNCTION("""COMPUTED_VALUE"""),0)</f>
        <v>0</v>
      </c>
      <c r="AV69" s="2">
        <f ca="1">IFERROR(__xludf.DUMMYFUNCTION("""COMPUTED_VALUE"""),0)</f>
        <v>0</v>
      </c>
      <c r="AW69" s="2">
        <f ca="1">IFERROR(__xludf.DUMMYFUNCTION("""COMPUTED_VALUE"""),0)</f>
        <v>0</v>
      </c>
      <c r="AY69" s="2">
        <f t="shared" ca="1" si="0"/>
        <v>2</v>
      </c>
      <c r="AZ69" s="2" t="e">
        <f ca="1">IF(NOT(COUNTA(D69:J69)), _xludf.IFS(AL69="W", 'Round Bonuses'!$F$14, AL69="X", 'Round Bonuses'!$F$13, AK69="X", 'Round Bonuses'!$F$12, AJ69="X", 'Round Bonuses'!$F$11, AI69="X", 'Round Bonuses'!$F$10, AH69="X", 'Round Bonuses'!$F$9, AG69="X", 'Round Bonuses'!$F$8, AF69="X", 'Round Bonuses'!$F$7, AE69="X", 'Round Bonuses'!$F$6, AD69="X", 'Round Bonuses'!$F$5, AC69="X", 'Round Bonuses'!$F$4, AB69="X", 'Round Bonuses'!$F$3, TRUE, 0), IF(AA69="X", _xludf.IFS(AD69="X", 'Round Bonuses'!$E$4, AF69="X",'Round Bonuses'!$E$6,TRUE, 'Round Bonuses'!$E$7), 0) +IF(AB69="X", 'Round Bonuses'!$E$3, 0)+IF(AC69="X",'Round Bonuses'!$E$4, 0)+IF(AD69="X", 'Round Bonuses'!$E$5, 0)+IF(AE69="X", 'Round Bonuses'!$E$6, 0)+IF(AF69="X", 'Round Bonuses'!$E$7, 0)+IF(AG69="X", 'Round Bonuses'!$E$8, 0)+_xludf.IFS(AL69="W", 'Round Bonuses'!$G$14, AL69="X", 'Round Bonuses'!$G$13, AK69="X", 'Round Bonuses'!$G$12, AJ69="X", 'Round Bonuses'!$G$11, AI69="X", 'Round Bonuses'!$G$10, AH69="X", 'Round Bonuses'!$G$9, TRUE, 0))+_xludf.IFS(N69="W", 'Round Bonuses'!$C$13, N69="X", 'Round Bonuses'!$C$12, M69="X", 'Round Bonuses'!$C$11, L69="X", 'Round Bonuses'!$C$10, K69="X", 'Round Bonuses'!$C$9, J69="X", 'Round Bonuses'!$C$8, I69="X", 'Round Bonuses'!$C$7, H69="X", 'Round Bonuses'!$C$6, G69="X", 'Round Bonuses'!$C$5, F69="X", 'Round Bonuses'!$C$4, E69="X", 'Round Bonuses'!$C$3, D69="X", 'Round Bonuses'!$C$3, TRUE, 0)</f>
        <v>#NAME?</v>
      </c>
      <c r="BA69" s="2">
        <f t="shared" ca="1" si="1"/>
        <v>0.84000000000000008</v>
      </c>
      <c r="BB69" s="10" t="e">
        <f t="shared" ca="1" si="2"/>
        <v>#NAME?</v>
      </c>
      <c r="BD69" s="11" t="str">
        <f t="shared" ca="1" si="3"/>
        <v>Europa</v>
      </c>
      <c r="BE69" s="2" t="str">
        <f t="shared" ca="1" si="4"/>
        <v>Gibraltar</v>
      </c>
      <c r="BF69" s="2" t="e">
        <f t="shared" ca="1" si="5"/>
        <v>#NAME?</v>
      </c>
      <c r="BG69" s="2">
        <f t="shared" ca="1" si="6"/>
        <v>2</v>
      </c>
      <c r="BH69" s="2" t="s">
        <v>107</v>
      </c>
      <c r="BI69" s="2" t="s">
        <v>48</v>
      </c>
      <c r="BJ69" s="7">
        <v>5.431111111111111</v>
      </c>
      <c r="BK69" s="2">
        <v>9</v>
      </c>
      <c r="BL69" s="2">
        <f t="shared" si="10"/>
        <v>67</v>
      </c>
      <c r="BM69" s="2" t="str">
        <f t="shared" si="7"/>
        <v>Slovan Liberec</v>
      </c>
      <c r="BN69" s="7">
        <f t="shared" ref="BN69:BO69" si="76">BJ69</f>
        <v>5.431111111111111</v>
      </c>
      <c r="BO69" s="2">
        <f t="shared" si="76"/>
        <v>9</v>
      </c>
      <c r="BS69" s="2" t="str">
        <f t="shared" si="9"/>
        <v>Czech Republic</v>
      </c>
    </row>
    <row r="70" spans="1:71" ht="13.8" x14ac:dyDescent="0.45">
      <c r="A70" s="2" t="str">
        <f ca="1">IFERROR(__xludf.DUMMYFUNCTION("""COMPUTED_VALUE"""),"FC Santa Coloma")</f>
        <v>FC Santa Coloma</v>
      </c>
      <c r="B70" s="2">
        <f ca="1">IFERROR(__xludf.DUMMYFUNCTION("""COMPUTED_VALUE"""),0.449999999999999)</f>
        <v>0.44999999999999901</v>
      </c>
      <c r="C70" s="2" t="str">
        <f ca="1">IFERROR(__xludf.DUMMYFUNCTION("""COMPUTED_VALUE"""),"Andorra")</f>
        <v>Andorra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5">
        <f ca="1">IFERROR(__xludf.DUMMYFUNCTION("""COMPUTED_VALUE"""),0)</f>
        <v>0</v>
      </c>
      <c r="P70" s="2">
        <f ca="1">IFERROR(__xludf.DUMMYFUNCTION("""COMPUTED_VALUE"""),0)</f>
        <v>0</v>
      </c>
      <c r="Q70" s="2">
        <f ca="1">IFERROR(__xludf.DUMMYFUNCTION("""COMPUTED_VALUE"""),0)</f>
        <v>0</v>
      </c>
      <c r="R70" s="2">
        <f ca="1">IFERROR(__xludf.DUMMYFUNCTION("""COMPUTED_VALUE"""),0)</f>
        <v>0</v>
      </c>
      <c r="S70" s="2">
        <f ca="1">IFERROR(__xludf.DUMMYFUNCTION("""COMPUTED_VALUE"""),0)</f>
        <v>0</v>
      </c>
      <c r="T70" s="2">
        <f ca="1">IFERROR(__xludf.DUMMYFUNCTION("""COMPUTED_VALUE"""),0)</f>
        <v>0</v>
      </c>
      <c r="U70" s="2">
        <f ca="1">IFERROR(__xludf.DUMMYFUNCTION("""COMPUTED_VALUE"""),0)</f>
        <v>0</v>
      </c>
      <c r="V70" s="2">
        <f ca="1">IFERROR(__xludf.DUMMYFUNCTION("""COMPUTED_VALUE"""),0)</f>
        <v>0</v>
      </c>
      <c r="W70" s="2">
        <f ca="1">IFERROR(__xludf.DUMMYFUNCTION("""COMPUTED_VALUE"""),0)</f>
        <v>0</v>
      </c>
      <c r="X70" s="2">
        <f ca="1">IFERROR(__xludf.DUMMYFUNCTION("""COMPUTED_VALUE"""),0)</f>
        <v>0</v>
      </c>
      <c r="Y70" s="2">
        <f ca="1">IFERROR(__xludf.DUMMYFUNCTION("""COMPUTED_VALUE"""),0)</f>
        <v>0</v>
      </c>
      <c r="AB70" s="2" t="str">
        <f ca="1">IFERROR(__xludf.DUMMYFUNCTION("""COMPUTED_VALUE"""),"X")</f>
        <v>X</v>
      </c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>
        <f ca="1">IFERROR(__xludf.DUMMYFUNCTION("""COMPUTED_VALUE"""),0.49)</f>
        <v>0.49</v>
      </c>
      <c r="AN70" s="2">
        <f ca="1">IFERROR(__xludf.DUMMYFUNCTION("""COMPUTED_VALUE"""),0)</f>
        <v>0</v>
      </c>
      <c r="AO70" s="2">
        <f ca="1">IFERROR(__xludf.DUMMYFUNCTION("""COMPUTED_VALUE"""),0)</f>
        <v>0</v>
      </c>
      <c r="AP70" s="2">
        <f ca="1">IFERROR(__xludf.DUMMYFUNCTION("""COMPUTED_VALUE"""),0)</f>
        <v>0</v>
      </c>
      <c r="AQ70" s="2">
        <f ca="1">IFERROR(__xludf.DUMMYFUNCTION("""COMPUTED_VALUE"""),0)</f>
        <v>0</v>
      </c>
      <c r="AR70" s="2">
        <f ca="1">IFERROR(__xludf.DUMMYFUNCTION("""COMPUTED_VALUE"""),0)</f>
        <v>0</v>
      </c>
      <c r="AS70" s="2">
        <f ca="1">IFERROR(__xludf.DUMMYFUNCTION("""COMPUTED_VALUE"""),0)</f>
        <v>0</v>
      </c>
      <c r="AT70" s="2">
        <f ca="1">IFERROR(__xludf.DUMMYFUNCTION("""COMPUTED_VALUE"""),0)</f>
        <v>0</v>
      </c>
      <c r="AU70" s="2">
        <f ca="1">IFERROR(__xludf.DUMMYFUNCTION("""COMPUTED_VALUE"""),0)</f>
        <v>0</v>
      </c>
      <c r="AV70" s="2">
        <f ca="1">IFERROR(__xludf.DUMMYFUNCTION("""COMPUTED_VALUE"""),0)</f>
        <v>0</v>
      </c>
      <c r="AW70" s="2">
        <f ca="1">IFERROR(__xludf.DUMMYFUNCTION("""COMPUTED_VALUE"""),0)</f>
        <v>0</v>
      </c>
      <c r="AY70" s="2">
        <f t="shared" ca="1" si="0"/>
        <v>1</v>
      </c>
      <c r="AZ70" s="2" t="e">
        <f ca="1">IF(NOT(COUNTA(D70:J70)), _xludf.IFS(AL70="W", 'Round Bonuses'!$F$14, AL70="X", 'Round Bonuses'!$F$13, AK70="X", 'Round Bonuses'!$F$12, AJ70="X", 'Round Bonuses'!$F$11, AI70="X", 'Round Bonuses'!$F$10, AH70="X", 'Round Bonuses'!$F$9, AG70="X", 'Round Bonuses'!$F$8, AF70="X", 'Round Bonuses'!$F$7, AE70="X", 'Round Bonuses'!$F$6, AD70="X", 'Round Bonuses'!$F$5, AC70="X", 'Round Bonuses'!$F$4, AB70="X", 'Round Bonuses'!$F$3, TRUE, 0), IF(AA70="X", _xludf.IFS(AD70="X", 'Round Bonuses'!$E$4, AF70="X",'Round Bonuses'!$E$6,TRUE, 'Round Bonuses'!$E$7), 0) +IF(AB70="X", 'Round Bonuses'!$E$3, 0)+IF(AC70="X",'Round Bonuses'!$E$4, 0)+IF(AD70="X", 'Round Bonuses'!$E$5, 0)+IF(AE70="X", 'Round Bonuses'!$E$6, 0)+IF(AF70="X", 'Round Bonuses'!$E$7, 0)+IF(AG70="X", 'Round Bonuses'!$E$8, 0)+_xludf.IFS(AL70="W", 'Round Bonuses'!$G$14, AL70="X", 'Round Bonuses'!$G$13, AK70="X", 'Round Bonuses'!$G$12, AJ70="X", 'Round Bonuses'!$G$11, AI70="X", 'Round Bonuses'!$G$10, AH70="X", 'Round Bonuses'!$G$9, TRUE, 0))+_xludf.IFS(N70="W", 'Round Bonuses'!$C$13, N70="X", 'Round Bonuses'!$C$12, M70="X", 'Round Bonuses'!$C$11, L70="X", 'Round Bonuses'!$C$10, K70="X", 'Round Bonuses'!$C$9, J70="X", 'Round Bonuses'!$C$8, I70="X", 'Round Bonuses'!$C$7, H70="X", 'Round Bonuses'!$C$6, G70="X", 'Round Bonuses'!$C$5, F70="X", 'Round Bonuses'!$C$4, E70="X", 'Round Bonuses'!$C$3, D70="X", 'Round Bonuses'!$C$3, TRUE, 0)</f>
        <v>#NAME?</v>
      </c>
      <c r="BA70" s="2">
        <f t="shared" ca="1" si="1"/>
        <v>0.49</v>
      </c>
      <c r="BB70" s="10" t="e">
        <f t="shared" ca="1" si="2"/>
        <v>#NAME?</v>
      </c>
      <c r="BD70" s="11" t="str">
        <f t="shared" ca="1" si="3"/>
        <v>FC Santa Coloma</v>
      </c>
      <c r="BE70" s="2" t="str">
        <f t="shared" ca="1" si="4"/>
        <v>Andorra</v>
      </c>
      <c r="BF70" s="2" t="e">
        <f t="shared" ca="1" si="5"/>
        <v>#NAME?</v>
      </c>
      <c r="BG70" s="2">
        <f t="shared" ca="1" si="6"/>
        <v>1</v>
      </c>
      <c r="BH70" s="2" t="s">
        <v>108</v>
      </c>
      <c r="BI70" s="2" t="s">
        <v>109</v>
      </c>
      <c r="BJ70" s="7">
        <v>5.2887500000000003</v>
      </c>
      <c r="BK70" s="2">
        <v>10</v>
      </c>
      <c r="BL70" s="2">
        <f t="shared" si="10"/>
        <v>68</v>
      </c>
      <c r="BM70" s="2" t="str">
        <f t="shared" si="7"/>
        <v>Lech Poznań</v>
      </c>
      <c r="BN70" s="7">
        <f t="shared" ref="BN70:BO70" si="77">BJ70</f>
        <v>5.2887500000000003</v>
      </c>
      <c r="BO70" s="2">
        <f t="shared" si="77"/>
        <v>10</v>
      </c>
      <c r="BS70" s="2" t="str">
        <f t="shared" si="9"/>
        <v>Poland</v>
      </c>
    </row>
    <row r="71" spans="1:71" ht="13.8" x14ac:dyDescent="0.45">
      <c r="A71" s="2" t="str">
        <f ca="1">IFERROR(__xludf.DUMMYFUNCTION("""COMPUTED_VALUE"""),"FCI Levadia")</f>
        <v>FCI Levadia</v>
      </c>
      <c r="B71" s="2">
        <f ca="1">IFERROR(__xludf.DUMMYFUNCTION("""COMPUTED_VALUE"""),0.53)</f>
        <v>0.53</v>
      </c>
      <c r="C71" s="2" t="str">
        <f ca="1">IFERROR(__xludf.DUMMYFUNCTION("""COMPUTED_VALUE"""),"Estonia")</f>
        <v>Estonia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5">
        <f ca="1">IFERROR(__xludf.DUMMYFUNCTION("""COMPUTED_VALUE"""),0)</f>
        <v>0</v>
      </c>
      <c r="P71" s="2">
        <f ca="1">IFERROR(__xludf.DUMMYFUNCTION("""COMPUTED_VALUE"""),0)</f>
        <v>0</v>
      </c>
      <c r="Q71" s="2">
        <f ca="1">IFERROR(__xludf.DUMMYFUNCTION("""COMPUTED_VALUE"""),0)</f>
        <v>0</v>
      </c>
      <c r="R71" s="2">
        <f ca="1">IFERROR(__xludf.DUMMYFUNCTION("""COMPUTED_VALUE"""),0)</f>
        <v>0</v>
      </c>
      <c r="S71" s="2">
        <f ca="1">IFERROR(__xludf.DUMMYFUNCTION("""COMPUTED_VALUE"""),0)</f>
        <v>0</v>
      </c>
      <c r="T71" s="2">
        <f ca="1">IFERROR(__xludf.DUMMYFUNCTION("""COMPUTED_VALUE"""),0)</f>
        <v>0</v>
      </c>
      <c r="U71" s="2">
        <f ca="1">IFERROR(__xludf.DUMMYFUNCTION("""COMPUTED_VALUE"""),0)</f>
        <v>0</v>
      </c>
      <c r="V71" s="2">
        <f ca="1">IFERROR(__xludf.DUMMYFUNCTION("""COMPUTED_VALUE"""),0)</f>
        <v>0</v>
      </c>
      <c r="W71" s="2">
        <f ca="1">IFERROR(__xludf.DUMMYFUNCTION("""COMPUTED_VALUE"""),0)</f>
        <v>0</v>
      </c>
      <c r="X71" s="2">
        <f ca="1">IFERROR(__xludf.DUMMYFUNCTION("""COMPUTED_VALUE"""),0)</f>
        <v>0</v>
      </c>
      <c r="Y71" s="2">
        <f ca="1">IFERROR(__xludf.DUMMYFUNCTION("""COMPUTED_VALUE"""),0)</f>
        <v>0</v>
      </c>
      <c r="AB71" s="2"/>
      <c r="AC71" s="2" t="str">
        <f ca="1">IFERROR(__xludf.DUMMYFUNCTION("""COMPUTED_VALUE"""),"X")</f>
        <v>X</v>
      </c>
      <c r="AD71" s="2"/>
      <c r="AE71" s="2"/>
      <c r="AF71" s="2"/>
      <c r="AG71" s="2"/>
      <c r="AH71" s="2"/>
      <c r="AI71" s="2"/>
      <c r="AJ71" s="2"/>
      <c r="AK71" s="2"/>
      <c r="AL71" s="2"/>
      <c r="AM71" s="2">
        <f ca="1">IFERROR(__xludf.DUMMYFUNCTION("""COMPUTED_VALUE"""),0)</f>
        <v>0</v>
      </c>
      <c r="AN71" s="2">
        <f ca="1">IFERROR(__xludf.DUMMYFUNCTION("""COMPUTED_VALUE"""),0.365)</f>
        <v>0.36499999999999999</v>
      </c>
      <c r="AO71" s="2">
        <f ca="1">IFERROR(__xludf.DUMMYFUNCTION("""COMPUTED_VALUE"""),0)</f>
        <v>0</v>
      </c>
      <c r="AP71" s="2">
        <f ca="1">IFERROR(__xludf.DUMMYFUNCTION("""COMPUTED_VALUE"""),0)</f>
        <v>0</v>
      </c>
      <c r="AQ71" s="2">
        <f ca="1">IFERROR(__xludf.DUMMYFUNCTION("""COMPUTED_VALUE"""),0)</f>
        <v>0</v>
      </c>
      <c r="AR71" s="2">
        <f ca="1">IFERROR(__xludf.DUMMYFUNCTION("""COMPUTED_VALUE"""),0)</f>
        <v>0</v>
      </c>
      <c r="AS71" s="2">
        <f ca="1">IFERROR(__xludf.DUMMYFUNCTION("""COMPUTED_VALUE"""),0)</f>
        <v>0</v>
      </c>
      <c r="AT71" s="2">
        <f ca="1">IFERROR(__xludf.DUMMYFUNCTION("""COMPUTED_VALUE"""),0)</f>
        <v>0</v>
      </c>
      <c r="AU71" s="2">
        <f ca="1">IFERROR(__xludf.DUMMYFUNCTION("""COMPUTED_VALUE"""),0)</f>
        <v>0</v>
      </c>
      <c r="AV71" s="2">
        <f ca="1">IFERROR(__xludf.DUMMYFUNCTION("""COMPUTED_VALUE"""),0)</f>
        <v>0</v>
      </c>
      <c r="AW71" s="2">
        <f ca="1">IFERROR(__xludf.DUMMYFUNCTION("""COMPUTED_VALUE"""),0)</f>
        <v>0</v>
      </c>
      <c r="AY71" s="2">
        <f t="shared" ca="1" si="0"/>
        <v>1</v>
      </c>
      <c r="AZ71" s="2" t="e">
        <f ca="1">IF(NOT(COUNTA(D71:J71)), _xludf.IFS(AL71="W", 'Round Bonuses'!$F$14, AL71="X", 'Round Bonuses'!$F$13, AK71="X", 'Round Bonuses'!$F$12, AJ71="X", 'Round Bonuses'!$F$11, AI71="X", 'Round Bonuses'!$F$10, AH71="X", 'Round Bonuses'!$F$9, AG71="X", 'Round Bonuses'!$F$8, AF71="X", 'Round Bonuses'!$F$7, AE71="X", 'Round Bonuses'!$F$6, AD71="X", 'Round Bonuses'!$F$5, AC71="X", 'Round Bonuses'!$F$4, AB71="X", 'Round Bonuses'!$F$3, TRUE, 0), IF(AA71="X", _xludf.IFS(AD71="X", 'Round Bonuses'!$E$4, AF71="X",'Round Bonuses'!$E$6,TRUE, 'Round Bonuses'!$E$7), 0) +IF(AB71="X", 'Round Bonuses'!$E$3, 0)+IF(AC71="X",'Round Bonuses'!$E$4, 0)+IF(AD71="X", 'Round Bonuses'!$E$5, 0)+IF(AE71="X", 'Round Bonuses'!$E$6, 0)+IF(AF71="X", 'Round Bonuses'!$E$7, 0)+IF(AG71="X", 'Round Bonuses'!$E$8, 0)+_xludf.IFS(AL71="W", 'Round Bonuses'!$G$14, AL71="X", 'Round Bonuses'!$G$13, AK71="X", 'Round Bonuses'!$G$12, AJ71="X", 'Round Bonuses'!$G$11, AI71="X", 'Round Bonuses'!$G$10, AH71="X", 'Round Bonuses'!$G$9, TRUE, 0))+_xludf.IFS(N71="W", 'Round Bonuses'!$C$13, N71="X", 'Round Bonuses'!$C$12, M71="X", 'Round Bonuses'!$C$11, L71="X", 'Round Bonuses'!$C$10, K71="X", 'Round Bonuses'!$C$9, J71="X", 'Round Bonuses'!$C$8, I71="X", 'Round Bonuses'!$C$7, H71="X", 'Round Bonuses'!$C$6, G71="X", 'Round Bonuses'!$C$5, F71="X", 'Round Bonuses'!$C$4, E71="X", 'Round Bonuses'!$C$3, D71="X", 'Round Bonuses'!$C$3, TRUE, 0)</f>
        <v>#NAME?</v>
      </c>
      <c r="BA71" s="2">
        <f t="shared" ca="1" si="1"/>
        <v>0.36499999999999999</v>
      </c>
      <c r="BB71" s="10" t="e">
        <f t="shared" ca="1" si="2"/>
        <v>#NAME?</v>
      </c>
      <c r="BD71" s="11" t="str">
        <f t="shared" ca="1" si="3"/>
        <v>FCI Levadia</v>
      </c>
      <c r="BE71" s="2" t="str">
        <f t="shared" ca="1" si="4"/>
        <v>Estonia</v>
      </c>
      <c r="BF71" s="2" t="e">
        <f t="shared" ca="1" si="5"/>
        <v>#NAME?</v>
      </c>
      <c r="BG71" s="2">
        <f t="shared" ca="1" si="6"/>
        <v>1</v>
      </c>
      <c r="BH71" s="2" t="s">
        <v>110</v>
      </c>
      <c r="BI71" s="2" t="s">
        <v>111</v>
      </c>
      <c r="BJ71" s="7">
        <v>5.2795000000000005</v>
      </c>
      <c r="BK71" s="2">
        <v>10</v>
      </c>
      <c r="BL71" s="2">
        <f t="shared" si="10"/>
        <v>69</v>
      </c>
      <c r="BM71" s="2" t="str">
        <f t="shared" si="7"/>
        <v>CSKA Sofia</v>
      </c>
      <c r="BN71" s="7">
        <f t="shared" ref="BN71:BO71" si="78">BJ71</f>
        <v>5.2795000000000005</v>
      </c>
      <c r="BO71" s="2">
        <f t="shared" si="78"/>
        <v>10</v>
      </c>
      <c r="BS71" s="2" t="str">
        <f t="shared" si="9"/>
        <v>Bulgaria</v>
      </c>
    </row>
    <row r="72" spans="1:71" ht="13.8" x14ac:dyDescent="0.45">
      <c r="A72" s="2" t="str">
        <f ca="1">IFERROR(__xludf.DUMMYFUNCTION("""COMPUTED_VALUE"""),"FCSB")</f>
        <v>FCSB</v>
      </c>
      <c r="B72" s="2">
        <f ca="1">IFERROR(__xludf.DUMMYFUNCTION("""COMPUTED_VALUE"""),0.69)</f>
        <v>0.69</v>
      </c>
      <c r="C72" s="2" t="str">
        <f ca="1">IFERROR(__xludf.DUMMYFUNCTION("""COMPUTED_VALUE"""),"Romania")</f>
        <v>Romania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5">
        <f ca="1">IFERROR(__xludf.DUMMYFUNCTION("""COMPUTED_VALUE"""),0)</f>
        <v>0</v>
      </c>
      <c r="P72" s="2">
        <f ca="1">IFERROR(__xludf.DUMMYFUNCTION("""COMPUTED_VALUE"""),0)</f>
        <v>0</v>
      </c>
      <c r="Q72" s="2">
        <f ca="1">IFERROR(__xludf.DUMMYFUNCTION("""COMPUTED_VALUE"""),0)</f>
        <v>0</v>
      </c>
      <c r="R72" s="2">
        <f ca="1">IFERROR(__xludf.DUMMYFUNCTION("""COMPUTED_VALUE"""),0)</f>
        <v>0</v>
      </c>
      <c r="S72" s="2">
        <f ca="1">IFERROR(__xludf.DUMMYFUNCTION("""COMPUTED_VALUE"""),0)</f>
        <v>0</v>
      </c>
      <c r="T72" s="2">
        <f ca="1">IFERROR(__xludf.DUMMYFUNCTION("""COMPUTED_VALUE"""),0)</f>
        <v>0</v>
      </c>
      <c r="U72" s="2">
        <f ca="1">IFERROR(__xludf.DUMMYFUNCTION("""COMPUTED_VALUE"""),0)</f>
        <v>0</v>
      </c>
      <c r="V72" s="2">
        <f ca="1">IFERROR(__xludf.DUMMYFUNCTION("""COMPUTED_VALUE"""),0)</f>
        <v>0</v>
      </c>
      <c r="W72" s="2">
        <f ca="1">IFERROR(__xludf.DUMMYFUNCTION("""COMPUTED_VALUE"""),0)</f>
        <v>0</v>
      </c>
      <c r="X72" s="2">
        <f ca="1">IFERROR(__xludf.DUMMYFUNCTION("""COMPUTED_VALUE"""),0)</f>
        <v>0</v>
      </c>
      <c r="Y72" s="2">
        <f ca="1">IFERROR(__xludf.DUMMYFUNCTION("""COMPUTED_VALUE"""),0)</f>
        <v>0</v>
      </c>
      <c r="AB72" s="2"/>
      <c r="AC72" s="2" t="str">
        <f ca="1">IFERROR(__xludf.DUMMYFUNCTION("""COMPUTED_VALUE"""),"X")</f>
        <v>X</v>
      </c>
      <c r="AD72" s="2" t="str">
        <f ca="1">IFERROR(__xludf.DUMMYFUNCTION("""COMPUTED_VALUE"""),"X")</f>
        <v>X</v>
      </c>
      <c r="AE72" s="2" t="str">
        <f ca="1">IFERROR(__xludf.DUMMYFUNCTION("""COMPUTED_VALUE"""),"X")</f>
        <v>X</v>
      </c>
      <c r="AF72" s="2"/>
      <c r="AG72" s="2"/>
      <c r="AH72" s="2"/>
      <c r="AI72" s="2"/>
      <c r="AJ72" s="2"/>
      <c r="AK72" s="2"/>
      <c r="AL72" s="2"/>
      <c r="AM72" s="2">
        <f ca="1">IFERROR(__xludf.DUMMYFUNCTION("""COMPUTED_VALUE"""),0)</f>
        <v>0</v>
      </c>
      <c r="AN72" s="2">
        <f ca="1">IFERROR(__xludf.DUMMYFUNCTION("""COMPUTED_VALUE"""),2.31875)</f>
        <v>2.3187500000000001</v>
      </c>
      <c r="AO72" s="2">
        <f ca="1">IFERROR(__xludf.DUMMYFUNCTION("""COMPUTED_VALUE"""),2.73)</f>
        <v>2.73</v>
      </c>
      <c r="AP72" s="2">
        <f ca="1">IFERROR(__xludf.DUMMYFUNCTION("""COMPUTED_VALUE"""),0.58)</f>
        <v>0.57999999999999996</v>
      </c>
      <c r="AQ72" s="2">
        <f ca="1">IFERROR(__xludf.DUMMYFUNCTION("""COMPUTED_VALUE"""),0)</f>
        <v>0</v>
      </c>
      <c r="AR72" s="2">
        <f ca="1">IFERROR(__xludf.DUMMYFUNCTION("""COMPUTED_VALUE"""),0)</f>
        <v>0</v>
      </c>
      <c r="AS72" s="2">
        <f ca="1">IFERROR(__xludf.DUMMYFUNCTION("""COMPUTED_VALUE"""),0)</f>
        <v>0</v>
      </c>
      <c r="AT72" s="2">
        <f ca="1">IFERROR(__xludf.DUMMYFUNCTION("""COMPUTED_VALUE"""),0)</f>
        <v>0</v>
      </c>
      <c r="AU72" s="2">
        <f ca="1">IFERROR(__xludf.DUMMYFUNCTION("""COMPUTED_VALUE"""),0)</f>
        <v>0</v>
      </c>
      <c r="AV72" s="2">
        <f ca="1">IFERROR(__xludf.DUMMYFUNCTION("""COMPUTED_VALUE"""),0)</f>
        <v>0</v>
      </c>
      <c r="AW72" s="2">
        <f ca="1">IFERROR(__xludf.DUMMYFUNCTION("""COMPUTED_VALUE"""),0)</f>
        <v>0</v>
      </c>
      <c r="AY72" s="2">
        <f t="shared" ca="1" si="0"/>
        <v>3</v>
      </c>
      <c r="AZ72" s="2" t="e">
        <f ca="1">IF(NOT(COUNTA(D72:J72)), _xludf.IFS(AL72="W", 'Round Bonuses'!$F$14, AL72="X", 'Round Bonuses'!$F$13, AK72="X", 'Round Bonuses'!$F$12, AJ72="X", 'Round Bonuses'!$F$11, AI72="X", 'Round Bonuses'!$F$10, AH72="X", 'Round Bonuses'!$F$9, AG72="X", 'Round Bonuses'!$F$8, AF72="X", 'Round Bonuses'!$F$7, AE72="X", 'Round Bonuses'!$F$6, AD72="X", 'Round Bonuses'!$F$5, AC72="X", 'Round Bonuses'!$F$4, AB72="X", 'Round Bonuses'!$F$3, TRUE, 0), IF(AA72="X", _xludf.IFS(AD72="X", 'Round Bonuses'!$E$4, AF72="X",'Round Bonuses'!$E$6,TRUE, 'Round Bonuses'!$E$7), 0) +IF(AB72="X", 'Round Bonuses'!$E$3, 0)+IF(AC72="X",'Round Bonuses'!$E$4, 0)+IF(AD72="X", 'Round Bonuses'!$E$5, 0)+IF(AE72="X", 'Round Bonuses'!$E$6, 0)+IF(AF72="X", 'Round Bonuses'!$E$7, 0)+IF(AG72="X", 'Round Bonuses'!$E$8, 0)+_xludf.IFS(AL72="W", 'Round Bonuses'!$G$14, AL72="X", 'Round Bonuses'!$G$13, AK72="X", 'Round Bonuses'!$G$12, AJ72="X", 'Round Bonuses'!$G$11, AI72="X", 'Round Bonuses'!$G$10, AH72="X", 'Round Bonuses'!$G$9, TRUE, 0))+_xludf.IFS(N72="W", 'Round Bonuses'!$C$13, N72="X", 'Round Bonuses'!$C$12, M72="X", 'Round Bonuses'!$C$11, L72="X", 'Round Bonuses'!$C$10, K72="X", 'Round Bonuses'!$C$9, J72="X", 'Round Bonuses'!$C$8, I72="X", 'Round Bonuses'!$C$7, H72="X", 'Round Bonuses'!$C$6, G72="X", 'Round Bonuses'!$C$5, F72="X", 'Round Bonuses'!$C$4, E72="X", 'Round Bonuses'!$C$3, D72="X", 'Round Bonuses'!$C$3, TRUE, 0)</f>
        <v>#NAME?</v>
      </c>
      <c r="BA72" s="2">
        <f t="shared" ca="1" si="1"/>
        <v>5.6287500000000001</v>
      </c>
      <c r="BB72" s="10" t="e">
        <f t="shared" ca="1" si="2"/>
        <v>#NAME?</v>
      </c>
      <c r="BD72" s="11" t="str">
        <f t="shared" ca="1" si="3"/>
        <v>FCSB</v>
      </c>
      <c r="BE72" s="2" t="str">
        <f t="shared" ca="1" si="4"/>
        <v>Romania</v>
      </c>
      <c r="BF72" s="2" t="e">
        <f t="shared" ca="1" si="5"/>
        <v>#NAME?</v>
      </c>
      <c r="BG72" s="2">
        <f t="shared" ca="1" si="6"/>
        <v>3</v>
      </c>
      <c r="BH72" s="2" t="s">
        <v>112</v>
      </c>
      <c r="BI72" s="2" t="s">
        <v>52</v>
      </c>
      <c r="BJ72" s="7">
        <v>5.2270312499999996</v>
      </c>
      <c r="BK72" s="2">
        <v>8</v>
      </c>
      <c r="BL72" s="2">
        <f t="shared" si="10"/>
        <v>70</v>
      </c>
      <c r="BM72" s="2" t="str">
        <f t="shared" si="7"/>
        <v>Rijeka</v>
      </c>
      <c r="BN72" s="7">
        <f t="shared" ref="BN72:BO72" si="79">BJ72</f>
        <v>5.2270312499999996</v>
      </c>
      <c r="BO72" s="2">
        <f t="shared" si="79"/>
        <v>8</v>
      </c>
      <c r="BS72" s="2" t="str">
        <f t="shared" si="9"/>
        <v>Croatia</v>
      </c>
    </row>
    <row r="73" spans="1:71" ht="13.8" x14ac:dyDescent="0.45">
      <c r="A73" s="2" t="str">
        <f ca="1">IFERROR(__xludf.DUMMYFUNCTION("""COMPUTED_VALUE"""),"Fehérvár")</f>
        <v>Fehérvár</v>
      </c>
      <c r="B73" s="2">
        <f ca="1">IFERROR(__xludf.DUMMYFUNCTION("""COMPUTED_VALUE"""),0.659999999999999)</f>
        <v>0.65999999999999903</v>
      </c>
      <c r="C73" s="2" t="str">
        <f ca="1">IFERROR(__xludf.DUMMYFUNCTION("""COMPUTED_VALUE"""),"Hungary")</f>
        <v>Hungary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5">
        <f ca="1">IFERROR(__xludf.DUMMYFUNCTION("""COMPUTED_VALUE"""),0)</f>
        <v>0</v>
      </c>
      <c r="P73" s="2">
        <f ca="1">IFERROR(__xludf.DUMMYFUNCTION("""COMPUTED_VALUE"""),0)</f>
        <v>0</v>
      </c>
      <c r="Q73" s="2">
        <f ca="1">IFERROR(__xludf.DUMMYFUNCTION("""COMPUTED_VALUE"""),0)</f>
        <v>0</v>
      </c>
      <c r="R73" s="2">
        <f ca="1">IFERROR(__xludf.DUMMYFUNCTION("""COMPUTED_VALUE"""),0)</f>
        <v>0</v>
      </c>
      <c r="S73" s="2">
        <f ca="1">IFERROR(__xludf.DUMMYFUNCTION("""COMPUTED_VALUE"""),0)</f>
        <v>0</v>
      </c>
      <c r="T73" s="2">
        <f ca="1">IFERROR(__xludf.DUMMYFUNCTION("""COMPUTED_VALUE"""),0)</f>
        <v>0</v>
      </c>
      <c r="U73" s="2">
        <f ca="1">IFERROR(__xludf.DUMMYFUNCTION("""COMPUTED_VALUE"""),0)</f>
        <v>0</v>
      </c>
      <c r="V73" s="2">
        <f ca="1">IFERROR(__xludf.DUMMYFUNCTION("""COMPUTED_VALUE"""),0)</f>
        <v>0</v>
      </c>
      <c r="W73" s="2">
        <f ca="1">IFERROR(__xludf.DUMMYFUNCTION("""COMPUTED_VALUE"""),0)</f>
        <v>0</v>
      </c>
      <c r="X73" s="2">
        <f ca="1">IFERROR(__xludf.DUMMYFUNCTION("""COMPUTED_VALUE"""),0)</f>
        <v>0</v>
      </c>
      <c r="Y73" s="2">
        <f ca="1">IFERROR(__xludf.DUMMYFUNCTION("""COMPUTED_VALUE"""),0)</f>
        <v>0</v>
      </c>
      <c r="AB73" s="2"/>
      <c r="AC73" s="2" t="str">
        <f ca="1">IFERROR(__xludf.DUMMYFUNCTION("""COMPUTED_VALUE"""),"X")</f>
        <v>X</v>
      </c>
      <c r="AD73" s="2" t="str">
        <f ca="1">IFERROR(__xludf.DUMMYFUNCTION("""COMPUTED_VALUE"""),"X")</f>
        <v>X</v>
      </c>
      <c r="AE73" s="2" t="str">
        <f ca="1">IFERROR(__xludf.DUMMYFUNCTION("""COMPUTED_VALUE"""),"X")</f>
        <v>X</v>
      </c>
      <c r="AF73" s="2" t="str">
        <f ca="1">IFERROR(__xludf.DUMMYFUNCTION("""COMPUTED_VALUE"""),"X")</f>
        <v>X</v>
      </c>
      <c r="AG73" s="2"/>
      <c r="AH73" s="2"/>
      <c r="AI73" s="2"/>
      <c r="AJ73" s="2"/>
      <c r="AK73" s="2"/>
      <c r="AL73" s="2"/>
      <c r="AM73" s="2">
        <f ca="1">IFERROR(__xludf.DUMMYFUNCTION("""COMPUTED_VALUE"""),0)</f>
        <v>0</v>
      </c>
      <c r="AN73" s="2">
        <f ca="1">IFERROR(__xludf.DUMMYFUNCTION("""COMPUTED_VALUE"""),2.135)</f>
        <v>2.1349999999999998</v>
      </c>
      <c r="AO73" s="2">
        <f ca="1">IFERROR(__xludf.DUMMYFUNCTION("""COMPUTED_VALUE"""),2.18625)</f>
        <v>2.1862499999999998</v>
      </c>
      <c r="AP73" s="2">
        <f ca="1">IFERROR(__xludf.DUMMYFUNCTION("""COMPUTED_VALUE"""),3.15)</f>
        <v>3.15</v>
      </c>
      <c r="AQ73" s="2">
        <f ca="1">IFERROR(__xludf.DUMMYFUNCTION("""COMPUTED_VALUE"""),0.63)</f>
        <v>0.63</v>
      </c>
      <c r="AR73" s="2">
        <f ca="1">IFERROR(__xludf.DUMMYFUNCTION("""COMPUTED_VALUE"""),0)</f>
        <v>0</v>
      </c>
      <c r="AS73" s="2">
        <f ca="1">IFERROR(__xludf.DUMMYFUNCTION("""COMPUTED_VALUE"""),0)</f>
        <v>0</v>
      </c>
      <c r="AT73" s="2">
        <f ca="1">IFERROR(__xludf.DUMMYFUNCTION("""COMPUTED_VALUE"""),0)</f>
        <v>0</v>
      </c>
      <c r="AU73" s="2">
        <f ca="1">IFERROR(__xludf.DUMMYFUNCTION("""COMPUTED_VALUE"""),0)</f>
        <v>0</v>
      </c>
      <c r="AV73" s="2">
        <f ca="1">IFERROR(__xludf.DUMMYFUNCTION("""COMPUTED_VALUE"""),0)</f>
        <v>0</v>
      </c>
      <c r="AW73" s="2">
        <f ca="1">IFERROR(__xludf.DUMMYFUNCTION("""COMPUTED_VALUE"""),0)</f>
        <v>0</v>
      </c>
      <c r="AY73" s="2">
        <f t="shared" ca="1" si="0"/>
        <v>4</v>
      </c>
      <c r="AZ73" s="2" t="e">
        <f ca="1">IF(NOT(COUNTA(D73:J73)), _xludf.IFS(AL73="W", 'Round Bonuses'!$F$14, AL73="X", 'Round Bonuses'!$F$13, AK73="X", 'Round Bonuses'!$F$12, AJ73="X", 'Round Bonuses'!$F$11, AI73="X", 'Round Bonuses'!$F$10, AH73="X", 'Round Bonuses'!$F$9, AG73="X", 'Round Bonuses'!$F$8, AF73="X", 'Round Bonuses'!$F$7, AE73="X", 'Round Bonuses'!$F$6, AD73="X", 'Round Bonuses'!$F$5, AC73="X", 'Round Bonuses'!$F$4, AB73="X", 'Round Bonuses'!$F$3, TRUE, 0), IF(AA73="X", _xludf.IFS(AD73="X", 'Round Bonuses'!$E$4, AF73="X",'Round Bonuses'!$E$6,TRUE, 'Round Bonuses'!$E$7), 0) +IF(AB73="X", 'Round Bonuses'!$E$3, 0)+IF(AC73="X",'Round Bonuses'!$E$4, 0)+IF(AD73="X", 'Round Bonuses'!$E$5, 0)+IF(AE73="X", 'Round Bonuses'!$E$6, 0)+IF(AF73="X", 'Round Bonuses'!$E$7, 0)+IF(AG73="X", 'Round Bonuses'!$E$8, 0)+_xludf.IFS(AL73="W", 'Round Bonuses'!$G$14, AL73="X", 'Round Bonuses'!$G$13, AK73="X", 'Round Bonuses'!$G$12, AJ73="X", 'Round Bonuses'!$G$11, AI73="X", 'Round Bonuses'!$G$10, AH73="X", 'Round Bonuses'!$G$9, TRUE, 0))+_xludf.IFS(N73="W", 'Round Bonuses'!$C$13, N73="X", 'Round Bonuses'!$C$12, M73="X", 'Round Bonuses'!$C$11, L73="X", 'Round Bonuses'!$C$10, K73="X", 'Round Bonuses'!$C$9, J73="X", 'Round Bonuses'!$C$8, I73="X", 'Round Bonuses'!$C$7, H73="X", 'Round Bonuses'!$C$6, G73="X", 'Round Bonuses'!$C$5, F73="X", 'Round Bonuses'!$C$4, E73="X", 'Round Bonuses'!$C$3, D73="X", 'Round Bonuses'!$C$3, TRUE, 0)</f>
        <v>#NAME?</v>
      </c>
      <c r="BA73" s="2">
        <f t="shared" ca="1" si="1"/>
        <v>8.1012500000000003</v>
      </c>
      <c r="BB73" s="10" t="e">
        <f t="shared" ca="1" si="2"/>
        <v>#NAME?</v>
      </c>
      <c r="BD73" s="11" t="str">
        <f t="shared" ca="1" si="3"/>
        <v>Fehérvár</v>
      </c>
      <c r="BE73" s="2" t="str">
        <f t="shared" ca="1" si="4"/>
        <v>Hungary</v>
      </c>
      <c r="BF73" s="2" t="e">
        <f t="shared" ca="1" si="5"/>
        <v>#NAME?</v>
      </c>
      <c r="BG73" s="2">
        <f t="shared" ca="1" si="6"/>
        <v>4</v>
      </c>
      <c r="BH73" s="2" t="s">
        <v>113</v>
      </c>
      <c r="BI73" s="2" t="s">
        <v>46</v>
      </c>
      <c r="BJ73" s="7">
        <v>5.0754687499999998</v>
      </c>
      <c r="BK73" s="2">
        <v>8</v>
      </c>
      <c r="BL73" s="2">
        <f t="shared" si="10"/>
        <v>71</v>
      </c>
      <c r="BM73" s="2" t="str">
        <f t="shared" si="7"/>
        <v>AEK Athens</v>
      </c>
      <c r="BN73" s="7">
        <f t="shared" ref="BN73:BO73" si="80">BJ73</f>
        <v>5.0754687499999998</v>
      </c>
      <c r="BO73" s="2">
        <f t="shared" si="80"/>
        <v>8</v>
      </c>
      <c r="BS73" s="2" t="str">
        <f t="shared" si="9"/>
        <v>Greece</v>
      </c>
    </row>
    <row r="74" spans="1:71" ht="13.8" x14ac:dyDescent="0.45">
      <c r="A74" s="2" t="str">
        <f ca="1">IFERROR(__xludf.DUMMYFUNCTION("""COMPUTED_VALUE"""),"Ferencváros")</f>
        <v>Ferencváros</v>
      </c>
      <c r="B74" s="2">
        <f ca="1">IFERROR(__xludf.DUMMYFUNCTION("""COMPUTED_VALUE"""),0.669999999999999)</f>
        <v>0.66999999999999904</v>
      </c>
      <c r="C74" s="2" t="str">
        <f ca="1">IFERROR(__xludf.DUMMYFUNCTION("""COMPUTED_VALUE"""),"Hungary")</f>
        <v>Hungary</v>
      </c>
      <c r="D74" s="2"/>
      <c r="E74" s="2"/>
      <c r="F74" s="2" t="str">
        <f ca="1">IFERROR(__xludf.DUMMYFUNCTION("""COMPUTED_VALUE"""),"X")</f>
        <v>X</v>
      </c>
      <c r="G74" s="2" t="str">
        <f ca="1">IFERROR(__xludf.DUMMYFUNCTION("""COMPUTED_VALUE"""),"X")</f>
        <v>X</v>
      </c>
      <c r="H74" s="2" t="str">
        <f ca="1">IFERROR(__xludf.DUMMYFUNCTION("""COMPUTED_VALUE"""),"X")</f>
        <v>X</v>
      </c>
      <c r="I74" s="2" t="str">
        <f ca="1">IFERROR(__xludf.DUMMYFUNCTION("""COMPUTED_VALUE"""),"X")</f>
        <v>X</v>
      </c>
      <c r="J74" s="2" t="str">
        <f ca="1">IFERROR(__xludf.DUMMYFUNCTION("""COMPUTED_VALUE"""),"X")</f>
        <v>X</v>
      </c>
      <c r="K74" s="2"/>
      <c r="L74" s="2"/>
      <c r="M74" s="2"/>
      <c r="N74" s="2"/>
      <c r="O74" s="5">
        <f ca="1">IFERROR(__xludf.DUMMYFUNCTION("""COMPUTED_VALUE"""),0)</f>
        <v>0</v>
      </c>
      <c r="P74" s="2">
        <f ca="1">IFERROR(__xludf.DUMMYFUNCTION("""COMPUTED_VALUE"""),0)</f>
        <v>0</v>
      </c>
      <c r="Q74" s="2">
        <f ca="1">IFERROR(__xludf.DUMMYFUNCTION("""COMPUTED_VALUE"""),3.315)</f>
        <v>3.3149999999999999</v>
      </c>
      <c r="R74" s="2">
        <f ca="1">IFERROR(__xludf.DUMMYFUNCTION("""COMPUTED_VALUE"""),3.3)</f>
        <v>3.3</v>
      </c>
      <c r="S74" s="2">
        <f ca="1">IFERROR(__xludf.DUMMYFUNCTION("""COMPUTED_VALUE"""),3.50625)</f>
        <v>3.5062500000000001</v>
      </c>
      <c r="T74" s="2">
        <f ca="1">IFERROR(__xludf.DUMMYFUNCTION("""COMPUTED_VALUE"""),3.08)</f>
        <v>3.08</v>
      </c>
      <c r="U74" s="2">
        <f ca="1">IFERROR(__xludf.DUMMYFUNCTION("""COMPUTED_VALUE"""),5.1)</f>
        <v>5.0999999999999996</v>
      </c>
      <c r="V74" s="2">
        <f ca="1">IFERROR(__xludf.DUMMYFUNCTION("""COMPUTED_VALUE"""),0)</f>
        <v>0</v>
      </c>
      <c r="W74" s="2">
        <f ca="1">IFERROR(__xludf.DUMMYFUNCTION("""COMPUTED_VALUE"""),0)</f>
        <v>0</v>
      </c>
      <c r="X74" s="2">
        <f ca="1">IFERROR(__xludf.DUMMYFUNCTION("""COMPUTED_VALUE"""),0)</f>
        <v>0</v>
      </c>
      <c r="Y74" s="2">
        <f ca="1">IFERROR(__xludf.DUMMYFUNCTION("""COMPUTED_VALUE"""),0)</f>
        <v>0</v>
      </c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>
        <f ca="1">IFERROR(__xludf.DUMMYFUNCTION("""COMPUTED_VALUE"""),0)</f>
        <v>0</v>
      </c>
      <c r="AN74" s="2">
        <f ca="1">IFERROR(__xludf.DUMMYFUNCTION("""COMPUTED_VALUE"""),0)</f>
        <v>0</v>
      </c>
      <c r="AO74" s="2">
        <f ca="1">IFERROR(__xludf.DUMMYFUNCTION("""COMPUTED_VALUE"""),0)</f>
        <v>0</v>
      </c>
      <c r="AP74" s="2">
        <f ca="1">IFERROR(__xludf.DUMMYFUNCTION("""COMPUTED_VALUE"""),0)</f>
        <v>0</v>
      </c>
      <c r="AQ74" s="2">
        <f ca="1">IFERROR(__xludf.DUMMYFUNCTION("""COMPUTED_VALUE"""),0)</f>
        <v>0</v>
      </c>
      <c r="AR74" s="2">
        <f ca="1">IFERROR(__xludf.DUMMYFUNCTION("""COMPUTED_VALUE"""),0)</f>
        <v>0</v>
      </c>
      <c r="AS74" s="2">
        <f ca="1">IFERROR(__xludf.DUMMYFUNCTION("""COMPUTED_VALUE"""),0)</f>
        <v>0</v>
      </c>
      <c r="AT74" s="2">
        <f ca="1">IFERROR(__xludf.DUMMYFUNCTION("""COMPUTED_VALUE"""),0)</f>
        <v>0</v>
      </c>
      <c r="AU74" s="2">
        <f ca="1">IFERROR(__xludf.DUMMYFUNCTION("""COMPUTED_VALUE"""),0)</f>
        <v>0</v>
      </c>
      <c r="AV74" s="2">
        <f ca="1">IFERROR(__xludf.DUMMYFUNCTION("""COMPUTED_VALUE"""),0)</f>
        <v>0</v>
      </c>
      <c r="AW74" s="2">
        <f ca="1">IFERROR(__xludf.DUMMYFUNCTION("""COMPUTED_VALUE"""),0)</f>
        <v>0</v>
      </c>
      <c r="AY74" s="2">
        <f t="shared" ca="1" si="0"/>
        <v>11</v>
      </c>
      <c r="AZ74" s="2" t="e">
        <f ca="1">IF(NOT(COUNTA(D74:J74)), _xludf.IFS(AL74="W", 'Round Bonuses'!$F$14, AL74="X", 'Round Bonuses'!$F$13, AK74="X", 'Round Bonuses'!$F$12, AJ74="X", 'Round Bonuses'!$F$11, AI74="X", 'Round Bonuses'!$F$10, AH74="X", 'Round Bonuses'!$F$9, AG74="X", 'Round Bonuses'!$F$8, AF74="X", 'Round Bonuses'!$F$7, AE74="X", 'Round Bonuses'!$F$6, AD74="X", 'Round Bonuses'!$F$5, AC74="X", 'Round Bonuses'!$F$4, AB74="X", 'Round Bonuses'!$F$3, TRUE, 0), IF(AA74="X", _xludf.IFS(AD74="X", 'Round Bonuses'!$E$4, AF74="X",'Round Bonuses'!$E$6,TRUE, 'Round Bonuses'!$E$7), 0) +IF(AB74="X", 'Round Bonuses'!$E$3, 0)+IF(AC74="X",'Round Bonuses'!$E$4, 0)+IF(AD74="X", 'Round Bonuses'!$E$5, 0)+IF(AE74="X", 'Round Bonuses'!$E$6, 0)+IF(AF74="X", 'Round Bonuses'!$E$7, 0)+IF(AG74="X", 'Round Bonuses'!$E$8, 0)+_xludf.IFS(AL74="W", 'Round Bonuses'!$G$14, AL74="X", 'Round Bonuses'!$G$13, AK74="X", 'Round Bonuses'!$G$12, AJ74="X", 'Round Bonuses'!$G$11, AI74="X", 'Round Bonuses'!$G$10, AH74="X", 'Round Bonuses'!$G$9, TRUE, 0))+_xludf.IFS(N74="W", 'Round Bonuses'!$C$13, N74="X", 'Round Bonuses'!$C$12, M74="X", 'Round Bonuses'!$C$11, L74="X", 'Round Bonuses'!$C$10, K74="X", 'Round Bonuses'!$C$9, J74="X", 'Round Bonuses'!$C$8, I74="X", 'Round Bonuses'!$C$7, H74="X", 'Round Bonuses'!$C$6, G74="X", 'Round Bonuses'!$C$5, F74="X", 'Round Bonuses'!$C$4, E74="X", 'Round Bonuses'!$C$3, D74="X", 'Round Bonuses'!$C$3, TRUE, 0)</f>
        <v>#NAME?</v>
      </c>
      <c r="BA74" s="2">
        <f t="shared" ca="1" si="1"/>
        <v>18.30125</v>
      </c>
      <c r="BB74" s="10" t="e">
        <f t="shared" ca="1" si="2"/>
        <v>#NAME?</v>
      </c>
      <c r="BD74" s="11" t="str">
        <f t="shared" ca="1" si="3"/>
        <v>Ferencváros</v>
      </c>
      <c r="BE74" s="2" t="str">
        <f t="shared" ca="1" si="4"/>
        <v>Hungary</v>
      </c>
      <c r="BF74" s="2" t="e">
        <f t="shared" ca="1" si="5"/>
        <v>#NAME?</v>
      </c>
      <c r="BG74" s="2">
        <f t="shared" ca="1" si="6"/>
        <v>11</v>
      </c>
      <c r="BH74" s="2" t="s">
        <v>114</v>
      </c>
      <c r="BI74" s="2" t="s">
        <v>111</v>
      </c>
      <c r="BJ74" s="7">
        <v>5.0200000000000005</v>
      </c>
      <c r="BK74" s="2">
        <v>9</v>
      </c>
      <c r="BL74" s="2">
        <f t="shared" si="10"/>
        <v>72</v>
      </c>
      <c r="BM74" s="2" t="str">
        <f t="shared" si="7"/>
        <v>Ludogorets Razgrad</v>
      </c>
      <c r="BN74" s="7">
        <f t="shared" ref="BN74:BO74" si="81">BJ74</f>
        <v>5.0200000000000005</v>
      </c>
      <c r="BO74" s="2">
        <f t="shared" si="81"/>
        <v>9</v>
      </c>
      <c r="BS74" s="2" t="str">
        <f t="shared" si="9"/>
        <v>Bulgaria</v>
      </c>
    </row>
    <row r="75" spans="1:71" ht="13.8" x14ac:dyDescent="0.45">
      <c r="A75" s="2" t="str">
        <f ca="1">IFERROR(__xludf.DUMMYFUNCTION("""COMPUTED_VALUE"""),"Feyenoord")</f>
        <v>Feyenoord</v>
      </c>
      <c r="B75" s="2">
        <f ca="1">IFERROR(__xludf.DUMMYFUNCTION("""COMPUTED_VALUE"""),0.87)</f>
        <v>0.87</v>
      </c>
      <c r="C75" s="2" t="str">
        <f ca="1">IFERROR(__xludf.DUMMYFUNCTION("""COMPUTED_VALUE"""),"Netherlands")</f>
        <v>Netherlands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5">
        <f ca="1">IFERROR(__xludf.DUMMYFUNCTION("""COMPUTED_VALUE"""),0)</f>
        <v>0</v>
      </c>
      <c r="P75" s="2">
        <f ca="1">IFERROR(__xludf.DUMMYFUNCTION("""COMPUTED_VALUE"""),0)</f>
        <v>0</v>
      </c>
      <c r="Q75" s="2">
        <f ca="1">IFERROR(__xludf.DUMMYFUNCTION("""COMPUTED_VALUE"""),0)</f>
        <v>0</v>
      </c>
      <c r="R75" s="2">
        <f ca="1">IFERROR(__xludf.DUMMYFUNCTION("""COMPUTED_VALUE"""),0)</f>
        <v>0</v>
      </c>
      <c r="S75" s="2">
        <f ca="1">IFERROR(__xludf.DUMMYFUNCTION("""COMPUTED_VALUE"""),0)</f>
        <v>0</v>
      </c>
      <c r="T75" s="2">
        <f ca="1">IFERROR(__xludf.DUMMYFUNCTION("""COMPUTED_VALUE"""),0)</f>
        <v>0</v>
      </c>
      <c r="U75" s="2">
        <f ca="1">IFERROR(__xludf.DUMMYFUNCTION("""COMPUTED_VALUE"""),0)</f>
        <v>0</v>
      </c>
      <c r="V75" s="2">
        <f ca="1">IFERROR(__xludf.DUMMYFUNCTION("""COMPUTED_VALUE"""),0)</f>
        <v>0</v>
      </c>
      <c r="W75" s="2">
        <f ca="1">IFERROR(__xludf.DUMMYFUNCTION("""COMPUTED_VALUE"""),0)</f>
        <v>0</v>
      </c>
      <c r="X75" s="2">
        <f ca="1">IFERROR(__xludf.DUMMYFUNCTION("""COMPUTED_VALUE"""),0)</f>
        <v>0</v>
      </c>
      <c r="Y75" s="2">
        <f ca="1">IFERROR(__xludf.DUMMYFUNCTION("""COMPUTED_VALUE"""),0)</f>
        <v>0</v>
      </c>
      <c r="AB75" s="2"/>
      <c r="AC75" s="2"/>
      <c r="AD75" s="2"/>
      <c r="AE75" s="2"/>
      <c r="AF75" s="2"/>
      <c r="AG75" s="2" t="str">
        <f ca="1">IFERROR(__xludf.DUMMYFUNCTION("""COMPUTED_VALUE"""),"X")</f>
        <v>X</v>
      </c>
      <c r="AH75" s="2"/>
      <c r="AI75" s="2"/>
      <c r="AJ75" s="2"/>
      <c r="AK75" s="2"/>
      <c r="AL75" s="2"/>
      <c r="AM75" s="2">
        <f ca="1">IFERROR(__xludf.DUMMYFUNCTION("""COMPUTED_VALUE"""),0)</f>
        <v>0</v>
      </c>
      <c r="AN75" s="2">
        <f ca="1">IFERROR(__xludf.DUMMYFUNCTION("""COMPUTED_VALUE"""),0)</f>
        <v>0</v>
      </c>
      <c r="AO75" s="2">
        <f ca="1">IFERROR(__xludf.DUMMYFUNCTION("""COMPUTED_VALUE"""),0)</f>
        <v>0</v>
      </c>
      <c r="AP75" s="2">
        <f ca="1">IFERROR(__xludf.DUMMYFUNCTION("""COMPUTED_VALUE"""),0)</f>
        <v>0</v>
      </c>
      <c r="AQ75" s="2">
        <f ca="1">IFERROR(__xludf.DUMMYFUNCTION("""COMPUTED_VALUE"""),0)</f>
        <v>0</v>
      </c>
      <c r="AR75" s="2">
        <f ca="1">IFERROR(__xludf.DUMMYFUNCTION("""COMPUTED_VALUE"""),9.2075)</f>
        <v>9.2074999999999996</v>
      </c>
      <c r="AS75" s="2">
        <f ca="1">IFERROR(__xludf.DUMMYFUNCTION("""COMPUTED_VALUE"""),0)</f>
        <v>0</v>
      </c>
      <c r="AT75" s="2">
        <f ca="1">IFERROR(__xludf.DUMMYFUNCTION("""COMPUTED_VALUE"""),0)</f>
        <v>0</v>
      </c>
      <c r="AU75" s="2">
        <f ca="1">IFERROR(__xludf.DUMMYFUNCTION("""COMPUTED_VALUE"""),0)</f>
        <v>0</v>
      </c>
      <c r="AV75" s="2">
        <f ca="1">IFERROR(__xludf.DUMMYFUNCTION("""COMPUTED_VALUE"""),0)</f>
        <v>0</v>
      </c>
      <c r="AW75" s="2">
        <f ca="1">IFERROR(__xludf.DUMMYFUNCTION("""COMPUTED_VALUE"""),0)</f>
        <v>0</v>
      </c>
      <c r="AY75" s="2">
        <f t="shared" ca="1" si="0"/>
        <v>6</v>
      </c>
      <c r="AZ75" s="2" t="e">
        <f ca="1">IF(NOT(COUNTA(D75:J75)), _xludf.IFS(AL75="W", 'Round Bonuses'!$F$14, AL75="X", 'Round Bonuses'!$F$13, AK75="X", 'Round Bonuses'!$F$12, AJ75="X", 'Round Bonuses'!$F$11, AI75="X", 'Round Bonuses'!$F$10, AH75="X", 'Round Bonuses'!$F$9, AG75="X", 'Round Bonuses'!$F$8, AF75="X", 'Round Bonuses'!$F$7, AE75="X", 'Round Bonuses'!$F$6, AD75="X", 'Round Bonuses'!$F$5, AC75="X", 'Round Bonuses'!$F$4, AB75="X", 'Round Bonuses'!$F$3, TRUE, 0), IF(AA75="X", _xludf.IFS(AD75="X", 'Round Bonuses'!$E$4, AF75="X",'Round Bonuses'!$E$6,TRUE, 'Round Bonuses'!$E$7), 0) +IF(AB75="X", 'Round Bonuses'!$E$3, 0)+IF(AC75="X",'Round Bonuses'!$E$4, 0)+IF(AD75="X", 'Round Bonuses'!$E$5, 0)+IF(AE75="X", 'Round Bonuses'!$E$6, 0)+IF(AF75="X", 'Round Bonuses'!$E$7, 0)+IF(AG75="X", 'Round Bonuses'!$E$8, 0)+_xludf.IFS(AL75="W", 'Round Bonuses'!$G$14, AL75="X", 'Round Bonuses'!$G$13, AK75="X", 'Round Bonuses'!$G$12, AJ75="X", 'Round Bonuses'!$G$11, AI75="X", 'Round Bonuses'!$G$10, AH75="X", 'Round Bonuses'!$G$9, TRUE, 0))+_xludf.IFS(N75="W", 'Round Bonuses'!$C$13, N75="X", 'Round Bonuses'!$C$12, M75="X", 'Round Bonuses'!$C$11, L75="X", 'Round Bonuses'!$C$10, K75="X", 'Round Bonuses'!$C$9, J75="X", 'Round Bonuses'!$C$8, I75="X", 'Round Bonuses'!$C$7, H75="X", 'Round Bonuses'!$C$6, G75="X", 'Round Bonuses'!$C$5, F75="X", 'Round Bonuses'!$C$4, E75="X", 'Round Bonuses'!$C$3, D75="X", 'Round Bonuses'!$C$3, TRUE, 0)</f>
        <v>#NAME?</v>
      </c>
      <c r="BA75" s="2">
        <f t="shared" ca="1" si="1"/>
        <v>9.2074999999999996</v>
      </c>
      <c r="BB75" s="10" t="e">
        <f t="shared" ca="1" si="2"/>
        <v>#NAME?</v>
      </c>
      <c r="BD75" s="11" t="str">
        <f t="shared" ca="1" si="3"/>
        <v>Feyenoord</v>
      </c>
      <c r="BE75" s="2" t="str">
        <f t="shared" ca="1" si="4"/>
        <v>Netherlands</v>
      </c>
      <c r="BF75" s="2" t="e">
        <f t="shared" ca="1" si="5"/>
        <v>#NAME?</v>
      </c>
      <c r="BG75" s="2">
        <f t="shared" ca="1" si="6"/>
        <v>6</v>
      </c>
      <c r="BH75" s="2" t="s">
        <v>115</v>
      </c>
      <c r="BI75" s="2" t="s">
        <v>54</v>
      </c>
      <c r="BJ75" s="7">
        <v>5.002361111111111</v>
      </c>
      <c r="BK75" s="2">
        <v>9</v>
      </c>
      <c r="BL75" s="2">
        <f t="shared" si="10"/>
        <v>73</v>
      </c>
      <c r="BM75" s="2" t="str">
        <f t="shared" si="7"/>
        <v>Standard Liège</v>
      </c>
      <c r="BN75" s="7">
        <f t="shared" ref="BN75:BO75" si="82">BJ75</f>
        <v>5.002361111111111</v>
      </c>
      <c r="BO75" s="2">
        <f t="shared" si="82"/>
        <v>9</v>
      </c>
      <c r="BS75" s="2" t="str">
        <f t="shared" si="9"/>
        <v>Belgium</v>
      </c>
    </row>
    <row r="76" spans="1:71" ht="13.8" x14ac:dyDescent="0.45">
      <c r="A76" s="2" t="str">
        <f ca="1">IFERROR(__xludf.DUMMYFUNCTION("""COMPUTED_VALUE"""),"FH")</f>
        <v>FH</v>
      </c>
      <c r="B76" s="2">
        <f ca="1">IFERROR(__xludf.DUMMYFUNCTION("""COMPUTED_VALUE"""),0.59)</f>
        <v>0.59</v>
      </c>
      <c r="C76" s="2" t="str">
        <f ca="1">IFERROR(__xludf.DUMMYFUNCTION("""COMPUTED_VALUE"""),"Iceland")</f>
        <v>Iceland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5">
        <f ca="1">IFERROR(__xludf.DUMMYFUNCTION("""COMPUTED_VALUE"""),0)</f>
        <v>0</v>
      </c>
      <c r="P76" s="2">
        <f ca="1">IFERROR(__xludf.DUMMYFUNCTION("""COMPUTED_VALUE"""),0)</f>
        <v>0</v>
      </c>
      <c r="Q76" s="2">
        <f ca="1">IFERROR(__xludf.DUMMYFUNCTION("""COMPUTED_VALUE"""),0)</f>
        <v>0</v>
      </c>
      <c r="R76" s="2">
        <f ca="1">IFERROR(__xludf.DUMMYFUNCTION("""COMPUTED_VALUE"""),0)</f>
        <v>0</v>
      </c>
      <c r="S76" s="2">
        <f ca="1">IFERROR(__xludf.DUMMYFUNCTION("""COMPUTED_VALUE"""),0)</f>
        <v>0</v>
      </c>
      <c r="T76" s="2">
        <f ca="1">IFERROR(__xludf.DUMMYFUNCTION("""COMPUTED_VALUE"""),0)</f>
        <v>0</v>
      </c>
      <c r="U76" s="2">
        <f ca="1">IFERROR(__xludf.DUMMYFUNCTION("""COMPUTED_VALUE"""),0)</f>
        <v>0</v>
      </c>
      <c r="V76" s="2">
        <f ca="1">IFERROR(__xludf.DUMMYFUNCTION("""COMPUTED_VALUE"""),0)</f>
        <v>0</v>
      </c>
      <c r="W76" s="2">
        <f ca="1">IFERROR(__xludf.DUMMYFUNCTION("""COMPUTED_VALUE"""),0)</f>
        <v>0</v>
      </c>
      <c r="X76" s="2">
        <f ca="1">IFERROR(__xludf.DUMMYFUNCTION("""COMPUTED_VALUE"""),0)</f>
        <v>0</v>
      </c>
      <c r="Y76" s="2">
        <f ca="1">IFERROR(__xludf.DUMMYFUNCTION("""COMPUTED_VALUE"""),0)</f>
        <v>0</v>
      </c>
      <c r="AB76" s="2"/>
      <c r="AC76" s="2" t="str">
        <f ca="1">IFERROR(__xludf.DUMMYFUNCTION("""COMPUTED_VALUE"""),"X")</f>
        <v>X</v>
      </c>
      <c r="AD76" s="2"/>
      <c r="AE76" s="2"/>
      <c r="AF76" s="2"/>
      <c r="AG76" s="2"/>
      <c r="AH76" s="2"/>
      <c r="AI76" s="2"/>
      <c r="AJ76" s="2"/>
      <c r="AK76" s="2"/>
      <c r="AL76" s="2"/>
      <c r="AM76" s="2">
        <f ca="1">IFERROR(__xludf.DUMMYFUNCTION("""COMPUTED_VALUE"""),0)</f>
        <v>0</v>
      </c>
      <c r="AN76" s="2">
        <f ca="1">IFERROR(__xludf.DUMMYFUNCTION("""COMPUTED_VALUE"""),0.429999999999999)</f>
        <v>0.42999999999999899</v>
      </c>
      <c r="AO76" s="2">
        <f ca="1">IFERROR(__xludf.DUMMYFUNCTION("""COMPUTED_VALUE"""),0)</f>
        <v>0</v>
      </c>
      <c r="AP76" s="2">
        <f ca="1">IFERROR(__xludf.DUMMYFUNCTION("""COMPUTED_VALUE"""),0)</f>
        <v>0</v>
      </c>
      <c r="AQ76" s="2">
        <f ca="1">IFERROR(__xludf.DUMMYFUNCTION("""COMPUTED_VALUE"""),0)</f>
        <v>0</v>
      </c>
      <c r="AR76" s="2">
        <f ca="1">IFERROR(__xludf.DUMMYFUNCTION("""COMPUTED_VALUE"""),0)</f>
        <v>0</v>
      </c>
      <c r="AS76" s="2">
        <f ca="1">IFERROR(__xludf.DUMMYFUNCTION("""COMPUTED_VALUE"""),0)</f>
        <v>0</v>
      </c>
      <c r="AT76" s="2">
        <f ca="1">IFERROR(__xludf.DUMMYFUNCTION("""COMPUTED_VALUE"""),0)</f>
        <v>0</v>
      </c>
      <c r="AU76" s="2">
        <f ca="1">IFERROR(__xludf.DUMMYFUNCTION("""COMPUTED_VALUE"""),0)</f>
        <v>0</v>
      </c>
      <c r="AV76" s="2">
        <f ca="1">IFERROR(__xludf.DUMMYFUNCTION("""COMPUTED_VALUE"""),0)</f>
        <v>0</v>
      </c>
      <c r="AW76" s="2">
        <f ca="1">IFERROR(__xludf.DUMMYFUNCTION("""COMPUTED_VALUE"""),0)</f>
        <v>0</v>
      </c>
      <c r="AY76" s="2">
        <f t="shared" ca="1" si="0"/>
        <v>1</v>
      </c>
      <c r="AZ76" s="2" t="e">
        <f ca="1">IF(NOT(COUNTA(D76:J76)), _xludf.IFS(AL76="W", 'Round Bonuses'!$F$14, AL76="X", 'Round Bonuses'!$F$13, AK76="X", 'Round Bonuses'!$F$12, AJ76="X", 'Round Bonuses'!$F$11, AI76="X", 'Round Bonuses'!$F$10, AH76="X", 'Round Bonuses'!$F$9, AG76="X", 'Round Bonuses'!$F$8, AF76="X", 'Round Bonuses'!$F$7, AE76="X", 'Round Bonuses'!$F$6, AD76="X", 'Round Bonuses'!$F$5, AC76="X", 'Round Bonuses'!$F$4, AB76="X", 'Round Bonuses'!$F$3, TRUE, 0), IF(AA76="X", _xludf.IFS(AD76="X", 'Round Bonuses'!$E$4, AF76="X",'Round Bonuses'!$E$6,TRUE, 'Round Bonuses'!$E$7), 0) +IF(AB76="X", 'Round Bonuses'!$E$3, 0)+IF(AC76="X",'Round Bonuses'!$E$4, 0)+IF(AD76="X", 'Round Bonuses'!$E$5, 0)+IF(AE76="X", 'Round Bonuses'!$E$6, 0)+IF(AF76="X", 'Round Bonuses'!$E$7, 0)+IF(AG76="X", 'Round Bonuses'!$E$8, 0)+_xludf.IFS(AL76="W", 'Round Bonuses'!$G$14, AL76="X", 'Round Bonuses'!$G$13, AK76="X", 'Round Bonuses'!$G$12, AJ76="X", 'Round Bonuses'!$G$11, AI76="X", 'Round Bonuses'!$G$10, AH76="X", 'Round Bonuses'!$G$9, TRUE, 0))+_xludf.IFS(N76="W", 'Round Bonuses'!$C$13, N76="X", 'Round Bonuses'!$C$12, M76="X", 'Round Bonuses'!$C$11, L76="X", 'Round Bonuses'!$C$10, K76="X", 'Round Bonuses'!$C$9, J76="X", 'Round Bonuses'!$C$8, I76="X", 'Round Bonuses'!$C$7, H76="X", 'Round Bonuses'!$C$6, G76="X", 'Round Bonuses'!$C$5, F76="X", 'Round Bonuses'!$C$4, E76="X", 'Round Bonuses'!$C$3, D76="X", 'Round Bonuses'!$C$3, TRUE, 0)</f>
        <v>#NAME?</v>
      </c>
      <c r="BA76" s="2">
        <f t="shared" ca="1" si="1"/>
        <v>0.42999999999999899</v>
      </c>
      <c r="BB76" s="10" t="e">
        <f t="shared" ca="1" si="2"/>
        <v>#NAME?</v>
      </c>
      <c r="BD76" s="11" t="str">
        <f t="shared" ca="1" si="3"/>
        <v>FH</v>
      </c>
      <c r="BE76" s="2" t="str">
        <f t="shared" ca="1" si="4"/>
        <v>Iceland</v>
      </c>
      <c r="BF76" s="2" t="e">
        <f t="shared" ca="1" si="5"/>
        <v>#NAME?</v>
      </c>
      <c r="BG76" s="2">
        <f t="shared" ca="1" si="6"/>
        <v>1</v>
      </c>
      <c r="BH76" s="2" t="s">
        <v>116</v>
      </c>
      <c r="BI76" s="2" t="s">
        <v>43</v>
      </c>
      <c r="BJ76" s="7">
        <v>4.9712499999999995</v>
      </c>
      <c r="BK76" s="2">
        <v>6</v>
      </c>
      <c r="BL76" s="2">
        <f t="shared" si="10"/>
        <v>74</v>
      </c>
      <c r="BM76" s="2" t="str">
        <f t="shared" si="7"/>
        <v>Zorya Luhansk</v>
      </c>
      <c r="BN76" s="7">
        <f t="shared" ref="BN76:BO76" si="83">BJ76</f>
        <v>4.9712499999999995</v>
      </c>
      <c r="BO76" s="2">
        <f t="shared" si="83"/>
        <v>6</v>
      </c>
      <c r="BS76" s="2" t="str">
        <f t="shared" si="9"/>
        <v>Ukraine</v>
      </c>
    </row>
    <row r="77" spans="1:71" ht="13.8" x14ac:dyDescent="0.45">
      <c r="A77" s="2" t="str">
        <f ca="1">IFERROR(__xludf.DUMMYFUNCTION("""COMPUTED_VALUE"""),"Flora")</f>
        <v>Flora</v>
      </c>
      <c r="B77" s="2">
        <f ca="1">IFERROR(__xludf.DUMMYFUNCTION("""COMPUTED_VALUE"""),0.54)</f>
        <v>0.54</v>
      </c>
      <c r="C77" s="2" t="str">
        <f ca="1">IFERROR(__xludf.DUMMYFUNCTION("""COMPUTED_VALUE"""),"Estonia")</f>
        <v>Estonia</v>
      </c>
      <c r="D77" s="2"/>
      <c r="E77" s="2"/>
      <c r="F77" s="2" t="str">
        <f ca="1">IFERROR(__xludf.DUMMYFUNCTION("""COMPUTED_VALUE"""),"X")</f>
        <v>X</v>
      </c>
      <c r="G77" s="2"/>
      <c r="H77" s="2"/>
      <c r="I77" s="2"/>
      <c r="J77" s="2"/>
      <c r="K77" s="2"/>
      <c r="L77" s="2"/>
      <c r="M77" s="2"/>
      <c r="N77" s="2"/>
      <c r="O77" s="5">
        <f ca="1">IFERROR(__xludf.DUMMYFUNCTION("""COMPUTED_VALUE"""),0)</f>
        <v>0</v>
      </c>
      <c r="P77" s="2">
        <f ca="1">IFERROR(__xludf.DUMMYFUNCTION("""COMPUTED_VALUE"""),0)</f>
        <v>0</v>
      </c>
      <c r="Q77" s="2">
        <f ca="1">IFERROR(__xludf.DUMMYFUNCTION("""COMPUTED_VALUE"""),0.59)</f>
        <v>0.59</v>
      </c>
      <c r="R77" s="2">
        <f ca="1">IFERROR(__xludf.DUMMYFUNCTION("""COMPUTED_VALUE"""),0)</f>
        <v>0</v>
      </c>
      <c r="S77" s="2">
        <f ca="1">IFERROR(__xludf.DUMMYFUNCTION("""COMPUTED_VALUE"""),0)</f>
        <v>0</v>
      </c>
      <c r="T77" s="2">
        <f ca="1">IFERROR(__xludf.DUMMYFUNCTION("""COMPUTED_VALUE"""),0)</f>
        <v>0</v>
      </c>
      <c r="U77" s="2">
        <f ca="1">IFERROR(__xludf.DUMMYFUNCTION("""COMPUTED_VALUE"""),0)</f>
        <v>0</v>
      </c>
      <c r="V77" s="2">
        <f ca="1">IFERROR(__xludf.DUMMYFUNCTION("""COMPUTED_VALUE"""),0)</f>
        <v>0</v>
      </c>
      <c r="W77" s="2">
        <f ca="1">IFERROR(__xludf.DUMMYFUNCTION("""COMPUTED_VALUE"""),0)</f>
        <v>0</v>
      </c>
      <c r="X77" s="2">
        <f ca="1">IFERROR(__xludf.DUMMYFUNCTION("""COMPUTED_VALUE"""),0)</f>
        <v>0</v>
      </c>
      <c r="Y77" s="2">
        <f ca="1">IFERROR(__xludf.DUMMYFUNCTION("""COMPUTED_VALUE"""),0)</f>
        <v>0</v>
      </c>
      <c r="AB77" s="2"/>
      <c r="AC77" s="2"/>
      <c r="AD77" s="2" t="str">
        <f ca="1">IFERROR(__xludf.DUMMYFUNCTION("""COMPUTED_VALUE"""),"X")</f>
        <v>X</v>
      </c>
      <c r="AE77" s="2" t="str">
        <f ca="1">IFERROR(__xludf.DUMMYFUNCTION("""COMPUTED_VALUE"""),"X")</f>
        <v>X</v>
      </c>
      <c r="AF77" s="2" t="str">
        <f ca="1">IFERROR(__xludf.DUMMYFUNCTION("""COMPUTED_VALUE"""),"X")</f>
        <v>X</v>
      </c>
      <c r="AG77" s="2"/>
      <c r="AH77" s="2"/>
      <c r="AI77" s="2"/>
      <c r="AJ77" s="2"/>
      <c r="AK77" s="2"/>
      <c r="AL77" s="2"/>
      <c r="AM77" s="2">
        <f ca="1">IFERROR(__xludf.DUMMYFUNCTION("""COMPUTED_VALUE"""),0)</f>
        <v>0</v>
      </c>
      <c r="AN77" s="2">
        <f ca="1">IFERROR(__xludf.DUMMYFUNCTION("""COMPUTED_VALUE"""),0)</f>
        <v>0</v>
      </c>
      <c r="AO77" s="2">
        <f ca="1">IFERROR(__xludf.DUMMYFUNCTION("""COMPUTED_VALUE"""),2.51625)</f>
        <v>2.5162499999999999</v>
      </c>
      <c r="AP77" s="2">
        <f ca="1">IFERROR(__xludf.DUMMYFUNCTION("""COMPUTED_VALUE"""),1.925)</f>
        <v>1.925</v>
      </c>
      <c r="AQ77" s="2">
        <f ca="1">IFERROR(__xludf.DUMMYFUNCTION("""COMPUTED_VALUE"""),0.6)</f>
        <v>0.6</v>
      </c>
      <c r="AR77" s="2">
        <f ca="1">IFERROR(__xludf.DUMMYFUNCTION("""COMPUTED_VALUE"""),0)</f>
        <v>0</v>
      </c>
      <c r="AS77" s="2">
        <f ca="1">IFERROR(__xludf.DUMMYFUNCTION("""COMPUTED_VALUE"""),0)</f>
        <v>0</v>
      </c>
      <c r="AT77" s="2">
        <f ca="1">IFERROR(__xludf.DUMMYFUNCTION("""COMPUTED_VALUE"""),0)</f>
        <v>0</v>
      </c>
      <c r="AU77" s="2">
        <f ca="1">IFERROR(__xludf.DUMMYFUNCTION("""COMPUTED_VALUE"""),0)</f>
        <v>0</v>
      </c>
      <c r="AV77" s="2">
        <f ca="1">IFERROR(__xludf.DUMMYFUNCTION("""COMPUTED_VALUE"""),0)</f>
        <v>0</v>
      </c>
      <c r="AW77" s="2">
        <f ca="1">IFERROR(__xludf.DUMMYFUNCTION("""COMPUTED_VALUE"""),0)</f>
        <v>0</v>
      </c>
      <c r="AY77" s="2">
        <f t="shared" ca="1" si="0"/>
        <v>4</v>
      </c>
      <c r="AZ77" s="2" t="e">
        <f ca="1">IF(NOT(COUNTA(D77:J77)), _xludf.IFS(AL77="W", 'Round Bonuses'!$F$14, AL77="X", 'Round Bonuses'!$F$13, AK77="X", 'Round Bonuses'!$F$12, AJ77="X", 'Round Bonuses'!$F$11, AI77="X", 'Round Bonuses'!$F$10, AH77="X", 'Round Bonuses'!$F$9, AG77="X", 'Round Bonuses'!$F$8, AF77="X", 'Round Bonuses'!$F$7, AE77="X", 'Round Bonuses'!$F$6, AD77="X", 'Round Bonuses'!$F$5, AC77="X", 'Round Bonuses'!$F$4, AB77="X", 'Round Bonuses'!$F$3, TRUE, 0), IF(AA77="X", _xludf.IFS(AD77="X", 'Round Bonuses'!$E$4, AF77="X",'Round Bonuses'!$E$6,TRUE, 'Round Bonuses'!$E$7), 0) +IF(AB77="X", 'Round Bonuses'!$E$3, 0)+IF(AC77="X",'Round Bonuses'!$E$4, 0)+IF(AD77="X", 'Round Bonuses'!$E$5, 0)+IF(AE77="X", 'Round Bonuses'!$E$6, 0)+IF(AF77="X", 'Round Bonuses'!$E$7, 0)+IF(AG77="X", 'Round Bonuses'!$E$8, 0)+_xludf.IFS(AL77="W", 'Round Bonuses'!$G$14, AL77="X", 'Round Bonuses'!$G$13, AK77="X", 'Round Bonuses'!$G$12, AJ77="X", 'Round Bonuses'!$G$11, AI77="X", 'Round Bonuses'!$G$10, AH77="X", 'Round Bonuses'!$G$9, TRUE, 0))+_xludf.IFS(N77="W", 'Round Bonuses'!$C$13, N77="X", 'Round Bonuses'!$C$12, M77="X", 'Round Bonuses'!$C$11, L77="X", 'Round Bonuses'!$C$10, K77="X", 'Round Bonuses'!$C$9, J77="X", 'Round Bonuses'!$C$8, I77="X", 'Round Bonuses'!$C$7, H77="X", 'Round Bonuses'!$C$6, G77="X", 'Round Bonuses'!$C$5, F77="X", 'Round Bonuses'!$C$4, E77="X", 'Round Bonuses'!$C$3, D77="X", 'Round Bonuses'!$C$3, TRUE, 0)</f>
        <v>#NAME?</v>
      </c>
      <c r="BA77" s="2">
        <f t="shared" ca="1" si="1"/>
        <v>5.6312499999999996</v>
      </c>
      <c r="BB77" s="10" t="e">
        <f t="shared" ca="1" si="2"/>
        <v>#NAME?</v>
      </c>
      <c r="BD77" s="11" t="str">
        <f t="shared" ca="1" si="3"/>
        <v>Flora</v>
      </c>
      <c r="BE77" s="2" t="str">
        <f t="shared" ca="1" si="4"/>
        <v>Estonia</v>
      </c>
      <c r="BF77" s="2" t="e">
        <f t="shared" ca="1" si="5"/>
        <v>#NAME?</v>
      </c>
      <c r="BG77" s="2">
        <f t="shared" ca="1" si="6"/>
        <v>4</v>
      </c>
      <c r="BH77" s="2" t="s">
        <v>117</v>
      </c>
      <c r="BI77" s="2" t="s">
        <v>48</v>
      </c>
      <c r="BJ77" s="7">
        <v>4.9133333333333331</v>
      </c>
      <c r="BK77" s="2">
        <v>6</v>
      </c>
      <c r="BL77" s="2">
        <f t="shared" si="10"/>
        <v>75</v>
      </c>
      <c r="BM77" s="2" t="str">
        <f t="shared" si="7"/>
        <v>Sparta Prague</v>
      </c>
      <c r="BN77" s="7">
        <f t="shared" ref="BN77:BO77" si="84">BJ77</f>
        <v>4.9133333333333331</v>
      </c>
      <c r="BO77" s="2">
        <f t="shared" si="84"/>
        <v>6</v>
      </c>
      <c r="BS77" s="2" t="str">
        <f t="shared" si="9"/>
        <v>Czech Republic</v>
      </c>
    </row>
    <row r="78" spans="1:71" ht="13.8" x14ac:dyDescent="0.45">
      <c r="A78" s="2" t="str">
        <f ca="1">IFERROR(__xludf.DUMMYFUNCTION("""COMPUTED_VALUE"""),"Floriana")</f>
        <v>Floriana</v>
      </c>
      <c r="B78" s="2">
        <f ca="1">IFERROR(__xludf.DUMMYFUNCTION("""COMPUTED_VALUE"""),0.55)</f>
        <v>0.55000000000000004</v>
      </c>
      <c r="C78" s="2" t="str">
        <f ca="1">IFERROR(__xludf.DUMMYFUNCTION("""COMPUTED_VALUE"""),"Malta")</f>
        <v>Malta</v>
      </c>
      <c r="D78" s="2"/>
      <c r="E78" s="2"/>
      <c r="F78" s="2" t="str">
        <f ca="1">IFERROR(__xludf.DUMMYFUNCTION("""COMPUTED_VALUE"""),"X")</f>
        <v>X</v>
      </c>
      <c r="G78" s="2"/>
      <c r="H78" s="2"/>
      <c r="I78" s="2"/>
      <c r="J78" s="2"/>
      <c r="K78" s="2"/>
      <c r="L78" s="2"/>
      <c r="M78" s="2"/>
      <c r="N78" s="2"/>
      <c r="O78" s="5">
        <f ca="1">IFERROR(__xludf.DUMMYFUNCTION("""COMPUTED_VALUE"""),0)</f>
        <v>0</v>
      </c>
      <c r="P78" s="2">
        <f ca="1">IFERROR(__xludf.DUMMYFUNCTION("""COMPUTED_VALUE"""),0)</f>
        <v>0</v>
      </c>
      <c r="Q78" s="2">
        <f ca="1">IFERROR(__xludf.DUMMYFUNCTION("""COMPUTED_VALUE"""),0.459999999999999)</f>
        <v>0.45999999999999902</v>
      </c>
      <c r="R78" s="2">
        <f ca="1">IFERROR(__xludf.DUMMYFUNCTION("""COMPUTED_VALUE"""),0)</f>
        <v>0</v>
      </c>
      <c r="S78" s="2">
        <f ca="1">IFERROR(__xludf.DUMMYFUNCTION("""COMPUTED_VALUE"""),0)</f>
        <v>0</v>
      </c>
      <c r="T78" s="2">
        <f ca="1">IFERROR(__xludf.DUMMYFUNCTION("""COMPUTED_VALUE"""),0)</f>
        <v>0</v>
      </c>
      <c r="U78" s="2">
        <f ca="1">IFERROR(__xludf.DUMMYFUNCTION("""COMPUTED_VALUE"""),0)</f>
        <v>0</v>
      </c>
      <c r="V78" s="2">
        <f ca="1">IFERROR(__xludf.DUMMYFUNCTION("""COMPUTED_VALUE"""),0)</f>
        <v>0</v>
      </c>
      <c r="W78" s="2">
        <f ca="1">IFERROR(__xludf.DUMMYFUNCTION("""COMPUTED_VALUE"""),0)</f>
        <v>0</v>
      </c>
      <c r="X78" s="2">
        <f ca="1">IFERROR(__xludf.DUMMYFUNCTION("""COMPUTED_VALUE"""),0)</f>
        <v>0</v>
      </c>
      <c r="Y78" s="2">
        <f ca="1">IFERROR(__xludf.DUMMYFUNCTION("""COMPUTED_VALUE"""),0)</f>
        <v>0</v>
      </c>
      <c r="AB78" s="2"/>
      <c r="AC78" s="2"/>
      <c r="AD78" s="2" t="str">
        <f ca="1">IFERROR(__xludf.DUMMYFUNCTION("""COMPUTED_VALUE"""),"X")</f>
        <v>X</v>
      </c>
      <c r="AE78" s="2" t="str">
        <f ca="1">IFERROR(__xludf.DUMMYFUNCTION("""COMPUTED_VALUE"""),"X")</f>
        <v>X</v>
      </c>
      <c r="AF78" s="2"/>
      <c r="AG78" s="2"/>
      <c r="AH78" s="2"/>
      <c r="AI78" s="2"/>
      <c r="AJ78" s="2"/>
      <c r="AK78" s="2"/>
      <c r="AL78" s="2"/>
      <c r="AM78" s="2">
        <f ca="1">IFERROR(__xludf.DUMMYFUNCTION("""COMPUTED_VALUE"""),0)</f>
        <v>0</v>
      </c>
      <c r="AN78" s="2">
        <f ca="1">IFERROR(__xludf.DUMMYFUNCTION("""COMPUTED_VALUE"""),0)</f>
        <v>0</v>
      </c>
      <c r="AO78" s="2">
        <f ca="1">IFERROR(__xludf.DUMMYFUNCTION("""COMPUTED_VALUE"""),1.98)</f>
        <v>1.98</v>
      </c>
      <c r="AP78" s="2">
        <f ca="1">IFERROR(__xludf.DUMMYFUNCTION("""COMPUTED_VALUE"""),0.54)</f>
        <v>0.54</v>
      </c>
      <c r="AQ78" s="2">
        <f ca="1">IFERROR(__xludf.DUMMYFUNCTION("""COMPUTED_VALUE"""),0)</f>
        <v>0</v>
      </c>
      <c r="AR78" s="2">
        <f ca="1">IFERROR(__xludf.DUMMYFUNCTION("""COMPUTED_VALUE"""),0)</f>
        <v>0</v>
      </c>
      <c r="AS78" s="2">
        <f ca="1">IFERROR(__xludf.DUMMYFUNCTION("""COMPUTED_VALUE"""),0)</f>
        <v>0</v>
      </c>
      <c r="AT78" s="2">
        <f ca="1">IFERROR(__xludf.DUMMYFUNCTION("""COMPUTED_VALUE"""),0)</f>
        <v>0</v>
      </c>
      <c r="AU78" s="2">
        <f ca="1">IFERROR(__xludf.DUMMYFUNCTION("""COMPUTED_VALUE"""),0)</f>
        <v>0</v>
      </c>
      <c r="AV78" s="2">
        <f ca="1">IFERROR(__xludf.DUMMYFUNCTION("""COMPUTED_VALUE"""),0)</f>
        <v>0</v>
      </c>
      <c r="AW78" s="2">
        <f ca="1">IFERROR(__xludf.DUMMYFUNCTION("""COMPUTED_VALUE"""),0)</f>
        <v>0</v>
      </c>
      <c r="AY78" s="2">
        <f t="shared" ca="1" si="0"/>
        <v>3</v>
      </c>
      <c r="AZ78" s="2" t="e">
        <f ca="1">IF(NOT(COUNTA(D78:J78)), _xludf.IFS(AL78="W", 'Round Bonuses'!$F$14, AL78="X", 'Round Bonuses'!$F$13, AK78="X", 'Round Bonuses'!$F$12, AJ78="X", 'Round Bonuses'!$F$11, AI78="X", 'Round Bonuses'!$F$10, AH78="X", 'Round Bonuses'!$F$9, AG78="X", 'Round Bonuses'!$F$8, AF78="X", 'Round Bonuses'!$F$7, AE78="X", 'Round Bonuses'!$F$6, AD78="X", 'Round Bonuses'!$F$5, AC78="X", 'Round Bonuses'!$F$4, AB78="X", 'Round Bonuses'!$F$3, TRUE, 0), IF(AA78="X", _xludf.IFS(AD78="X", 'Round Bonuses'!$E$4, AF78="X",'Round Bonuses'!$E$6,TRUE, 'Round Bonuses'!$E$7), 0) +IF(AB78="X", 'Round Bonuses'!$E$3, 0)+IF(AC78="X",'Round Bonuses'!$E$4, 0)+IF(AD78="X", 'Round Bonuses'!$E$5, 0)+IF(AE78="X", 'Round Bonuses'!$E$6, 0)+IF(AF78="X", 'Round Bonuses'!$E$7, 0)+IF(AG78="X", 'Round Bonuses'!$E$8, 0)+_xludf.IFS(AL78="W", 'Round Bonuses'!$G$14, AL78="X", 'Round Bonuses'!$G$13, AK78="X", 'Round Bonuses'!$G$12, AJ78="X", 'Round Bonuses'!$G$11, AI78="X", 'Round Bonuses'!$G$10, AH78="X", 'Round Bonuses'!$G$9, TRUE, 0))+_xludf.IFS(N78="W", 'Round Bonuses'!$C$13, N78="X", 'Round Bonuses'!$C$12, M78="X", 'Round Bonuses'!$C$11, L78="X", 'Round Bonuses'!$C$10, K78="X", 'Round Bonuses'!$C$9, J78="X", 'Round Bonuses'!$C$8, I78="X", 'Round Bonuses'!$C$7, H78="X", 'Round Bonuses'!$C$6, G78="X", 'Round Bonuses'!$C$5, F78="X", 'Round Bonuses'!$C$4, E78="X", 'Round Bonuses'!$C$3, D78="X", 'Round Bonuses'!$C$3, TRUE, 0)</f>
        <v>#NAME?</v>
      </c>
      <c r="BA78" s="2">
        <f t="shared" ca="1" si="1"/>
        <v>2.9799999999999991</v>
      </c>
      <c r="BB78" s="10" t="e">
        <f t="shared" ca="1" si="2"/>
        <v>#NAME?</v>
      </c>
      <c r="BD78" s="11" t="str">
        <f t="shared" ca="1" si="3"/>
        <v>Floriana</v>
      </c>
      <c r="BE78" s="2" t="str">
        <f t="shared" ca="1" si="4"/>
        <v>Malta</v>
      </c>
      <c r="BF78" s="2" t="e">
        <f t="shared" ca="1" si="5"/>
        <v>#NAME?</v>
      </c>
      <c r="BG78" s="2">
        <f t="shared" ca="1" si="6"/>
        <v>3</v>
      </c>
      <c r="BH78" s="2" t="s">
        <v>118</v>
      </c>
      <c r="BI78" s="2" t="s">
        <v>31</v>
      </c>
      <c r="BJ78" s="7">
        <v>4.8345833333333328</v>
      </c>
      <c r="BK78" s="2">
        <v>6</v>
      </c>
      <c r="BL78" s="2">
        <f t="shared" si="10"/>
        <v>76</v>
      </c>
      <c r="BM78" s="2" t="str">
        <f t="shared" si="7"/>
        <v>Feyenoord</v>
      </c>
      <c r="BN78" s="7">
        <f t="shared" ref="BN78:BO78" si="85">BJ78</f>
        <v>4.8345833333333328</v>
      </c>
      <c r="BO78" s="2">
        <f t="shared" si="85"/>
        <v>6</v>
      </c>
      <c r="BS78" s="2" t="str">
        <f t="shared" si="9"/>
        <v>Netherlands</v>
      </c>
    </row>
    <row r="79" spans="1:71" ht="13.8" x14ac:dyDescent="0.45">
      <c r="A79" s="2" t="str">
        <f ca="1">IFERROR(__xludf.DUMMYFUNCTION("""COMPUTED_VALUE"""),"Fola Esch")</f>
        <v>Fola Esch</v>
      </c>
      <c r="B79" s="2">
        <f ca="1">IFERROR(__xludf.DUMMYFUNCTION("""COMPUTED_VALUE"""),0.57)</f>
        <v>0.56999999999999995</v>
      </c>
      <c r="C79" s="2" t="str">
        <f ca="1">IFERROR(__xludf.DUMMYFUNCTION("""COMPUTED_VALUE"""),"Luxembourg")</f>
        <v>Luxembourg</v>
      </c>
      <c r="D79" s="2"/>
      <c r="E79" s="2"/>
      <c r="F79" s="2" t="str">
        <f ca="1">IFERROR(__xludf.DUMMYFUNCTION("""COMPUTED_VALUE"""),"X")</f>
        <v>X</v>
      </c>
      <c r="G79" s="2"/>
      <c r="H79" s="2"/>
      <c r="I79" s="2"/>
      <c r="J79" s="2"/>
      <c r="K79" s="2"/>
      <c r="L79" s="2"/>
      <c r="M79" s="2"/>
      <c r="N79" s="2"/>
      <c r="O79" s="5">
        <f ca="1">IFERROR(__xludf.DUMMYFUNCTION("""COMPUTED_VALUE"""),0)</f>
        <v>0</v>
      </c>
      <c r="P79" s="2">
        <f ca="1">IFERROR(__xludf.DUMMYFUNCTION("""COMPUTED_VALUE"""),0)</f>
        <v>0</v>
      </c>
      <c r="Q79" s="2">
        <f ca="1">IFERROR(__xludf.DUMMYFUNCTION("""COMPUTED_VALUE"""),0.399999999999999)</f>
        <v>0.39999999999999902</v>
      </c>
      <c r="R79" s="2">
        <f ca="1">IFERROR(__xludf.DUMMYFUNCTION("""COMPUTED_VALUE"""),0)</f>
        <v>0</v>
      </c>
      <c r="S79" s="2">
        <f ca="1">IFERROR(__xludf.DUMMYFUNCTION("""COMPUTED_VALUE"""),0)</f>
        <v>0</v>
      </c>
      <c r="T79" s="2">
        <f ca="1">IFERROR(__xludf.DUMMYFUNCTION("""COMPUTED_VALUE"""),0)</f>
        <v>0</v>
      </c>
      <c r="U79" s="2">
        <f ca="1">IFERROR(__xludf.DUMMYFUNCTION("""COMPUTED_VALUE"""),0)</f>
        <v>0</v>
      </c>
      <c r="V79" s="2">
        <f ca="1">IFERROR(__xludf.DUMMYFUNCTION("""COMPUTED_VALUE"""),0)</f>
        <v>0</v>
      </c>
      <c r="W79" s="2">
        <f ca="1">IFERROR(__xludf.DUMMYFUNCTION("""COMPUTED_VALUE"""),0)</f>
        <v>0</v>
      </c>
      <c r="X79" s="2">
        <f ca="1">IFERROR(__xludf.DUMMYFUNCTION("""COMPUTED_VALUE"""),0)</f>
        <v>0</v>
      </c>
      <c r="Y79" s="2">
        <f ca="1">IFERROR(__xludf.DUMMYFUNCTION("""COMPUTED_VALUE"""),0)</f>
        <v>0</v>
      </c>
      <c r="AB79" s="2"/>
      <c r="AC79" s="2"/>
      <c r="AD79" s="2" t="str">
        <f ca="1">IFERROR(__xludf.DUMMYFUNCTION("""COMPUTED_VALUE"""),"X")</f>
        <v>X</v>
      </c>
      <c r="AE79" s="2"/>
      <c r="AF79" s="2"/>
      <c r="AG79" s="2"/>
      <c r="AH79" s="2"/>
      <c r="AI79" s="2"/>
      <c r="AJ79" s="2"/>
      <c r="AK79" s="2"/>
      <c r="AL79" s="2"/>
      <c r="AM79" s="2">
        <f ca="1">IFERROR(__xludf.DUMMYFUNCTION("""COMPUTED_VALUE"""),0)</f>
        <v>0</v>
      </c>
      <c r="AN79" s="2">
        <f ca="1">IFERROR(__xludf.DUMMYFUNCTION("""COMPUTED_VALUE"""),0)</f>
        <v>0</v>
      </c>
      <c r="AO79" s="2">
        <f ca="1">IFERROR(__xludf.DUMMYFUNCTION("""COMPUTED_VALUE"""),0.435)</f>
        <v>0.435</v>
      </c>
      <c r="AP79" s="2">
        <f ca="1">IFERROR(__xludf.DUMMYFUNCTION("""COMPUTED_VALUE"""),0)</f>
        <v>0</v>
      </c>
      <c r="AQ79" s="2">
        <f ca="1">IFERROR(__xludf.DUMMYFUNCTION("""COMPUTED_VALUE"""),0)</f>
        <v>0</v>
      </c>
      <c r="AR79" s="2">
        <f ca="1">IFERROR(__xludf.DUMMYFUNCTION("""COMPUTED_VALUE"""),0)</f>
        <v>0</v>
      </c>
      <c r="AS79" s="2">
        <f ca="1">IFERROR(__xludf.DUMMYFUNCTION("""COMPUTED_VALUE"""),0)</f>
        <v>0</v>
      </c>
      <c r="AT79" s="2">
        <f ca="1">IFERROR(__xludf.DUMMYFUNCTION("""COMPUTED_VALUE"""),0)</f>
        <v>0</v>
      </c>
      <c r="AU79" s="2">
        <f ca="1">IFERROR(__xludf.DUMMYFUNCTION("""COMPUTED_VALUE"""),0)</f>
        <v>0</v>
      </c>
      <c r="AV79" s="2">
        <f ca="1">IFERROR(__xludf.DUMMYFUNCTION("""COMPUTED_VALUE"""),0)</f>
        <v>0</v>
      </c>
      <c r="AW79" s="2">
        <f ca="1">IFERROR(__xludf.DUMMYFUNCTION("""COMPUTED_VALUE"""),0)</f>
        <v>0</v>
      </c>
      <c r="AY79" s="2">
        <f t="shared" ca="1" si="0"/>
        <v>2</v>
      </c>
      <c r="AZ79" s="2" t="e">
        <f ca="1">IF(NOT(COUNTA(D79:J79)), _xludf.IFS(AL79="W", 'Round Bonuses'!$F$14, AL79="X", 'Round Bonuses'!$F$13, AK79="X", 'Round Bonuses'!$F$12, AJ79="X", 'Round Bonuses'!$F$11, AI79="X", 'Round Bonuses'!$F$10, AH79="X", 'Round Bonuses'!$F$9, AG79="X", 'Round Bonuses'!$F$8, AF79="X", 'Round Bonuses'!$F$7, AE79="X", 'Round Bonuses'!$F$6, AD79="X", 'Round Bonuses'!$F$5, AC79="X", 'Round Bonuses'!$F$4, AB79="X", 'Round Bonuses'!$F$3, TRUE, 0), IF(AA79="X", _xludf.IFS(AD79="X", 'Round Bonuses'!$E$4, AF79="X",'Round Bonuses'!$E$6,TRUE, 'Round Bonuses'!$E$7), 0) +IF(AB79="X", 'Round Bonuses'!$E$3, 0)+IF(AC79="X",'Round Bonuses'!$E$4, 0)+IF(AD79="X", 'Round Bonuses'!$E$5, 0)+IF(AE79="X", 'Round Bonuses'!$E$6, 0)+IF(AF79="X", 'Round Bonuses'!$E$7, 0)+IF(AG79="X", 'Round Bonuses'!$E$8, 0)+_xludf.IFS(AL79="W", 'Round Bonuses'!$G$14, AL79="X", 'Round Bonuses'!$G$13, AK79="X", 'Round Bonuses'!$G$12, AJ79="X", 'Round Bonuses'!$G$11, AI79="X", 'Round Bonuses'!$G$10, AH79="X", 'Round Bonuses'!$G$9, TRUE, 0))+_xludf.IFS(N79="W", 'Round Bonuses'!$C$13, N79="X", 'Round Bonuses'!$C$12, M79="X", 'Round Bonuses'!$C$11, L79="X", 'Round Bonuses'!$C$10, K79="X", 'Round Bonuses'!$C$9, J79="X", 'Round Bonuses'!$C$8, I79="X", 'Round Bonuses'!$C$7, H79="X", 'Round Bonuses'!$C$6, G79="X", 'Round Bonuses'!$C$5, F79="X", 'Round Bonuses'!$C$4, E79="X", 'Round Bonuses'!$C$3, D79="X", 'Round Bonuses'!$C$3, TRUE, 0)</f>
        <v>#NAME?</v>
      </c>
      <c r="BA79" s="2">
        <f t="shared" ca="1" si="1"/>
        <v>0.83499999999999908</v>
      </c>
      <c r="BB79" s="10" t="e">
        <f t="shared" ca="1" si="2"/>
        <v>#NAME?</v>
      </c>
      <c r="BD79" s="11" t="str">
        <f t="shared" ca="1" si="3"/>
        <v>Fola Esch</v>
      </c>
      <c r="BE79" s="2" t="str">
        <f t="shared" ca="1" si="4"/>
        <v>Luxembourg</v>
      </c>
      <c r="BF79" s="2" t="e">
        <f t="shared" ca="1" si="5"/>
        <v>#NAME?</v>
      </c>
      <c r="BG79" s="2">
        <f t="shared" ca="1" si="6"/>
        <v>2</v>
      </c>
      <c r="BH79" s="2" t="s">
        <v>119</v>
      </c>
      <c r="BI79" s="2" t="s">
        <v>80</v>
      </c>
      <c r="BJ79" s="7">
        <v>4.7887499999999994</v>
      </c>
      <c r="BK79" s="2">
        <v>6</v>
      </c>
      <c r="BL79" s="2">
        <f t="shared" si="10"/>
        <v>77</v>
      </c>
      <c r="BM79" s="2" t="str">
        <f t="shared" si="7"/>
        <v>Sivasspor</v>
      </c>
      <c r="BN79" s="7">
        <f t="shared" ref="BN79:BO79" si="86">BJ79</f>
        <v>4.7887499999999994</v>
      </c>
      <c r="BO79" s="2">
        <f t="shared" si="86"/>
        <v>6</v>
      </c>
      <c r="BS79" s="2" t="str">
        <f t="shared" si="9"/>
        <v>Turkey</v>
      </c>
    </row>
    <row r="80" spans="1:71" ht="13.8" x14ac:dyDescent="0.45">
      <c r="A80" s="2" t="str">
        <f ca="1">IFERROR(__xludf.DUMMYFUNCTION("""COMPUTED_VALUE"""),"Galatasaray")</f>
        <v>Galatasaray</v>
      </c>
      <c r="B80" s="2">
        <f ca="1">IFERROR(__xludf.DUMMYFUNCTION("""COMPUTED_VALUE"""),0.85)</f>
        <v>0.85</v>
      </c>
      <c r="C80" s="2" t="str">
        <f ca="1">IFERROR(__xludf.DUMMYFUNCTION("""COMPUTED_VALUE"""),"Turkey")</f>
        <v>Turkey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5">
        <f ca="1">IFERROR(__xludf.DUMMYFUNCTION("""COMPUTED_VALUE"""),0)</f>
        <v>0</v>
      </c>
      <c r="P80" s="2">
        <f ca="1">IFERROR(__xludf.DUMMYFUNCTION("""COMPUTED_VALUE"""),0)</f>
        <v>0</v>
      </c>
      <c r="Q80" s="2">
        <f ca="1">IFERROR(__xludf.DUMMYFUNCTION("""COMPUTED_VALUE"""),0)</f>
        <v>0</v>
      </c>
      <c r="R80" s="2">
        <f ca="1">IFERROR(__xludf.DUMMYFUNCTION("""COMPUTED_VALUE"""),0)</f>
        <v>0</v>
      </c>
      <c r="S80" s="2">
        <f ca="1">IFERROR(__xludf.DUMMYFUNCTION("""COMPUTED_VALUE"""),0)</f>
        <v>0</v>
      </c>
      <c r="T80" s="2">
        <f ca="1">IFERROR(__xludf.DUMMYFUNCTION("""COMPUTED_VALUE"""),0)</f>
        <v>0</v>
      </c>
      <c r="U80" s="2">
        <f ca="1">IFERROR(__xludf.DUMMYFUNCTION("""COMPUTED_VALUE"""),0)</f>
        <v>0</v>
      </c>
      <c r="V80" s="2">
        <f ca="1">IFERROR(__xludf.DUMMYFUNCTION("""COMPUTED_VALUE"""),0)</f>
        <v>0</v>
      </c>
      <c r="W80" s="2">
        <f ca="1">IFERROR(__xludf.DUMMYFUNCTION("""COMPUTED_VALUE"""),0)</f>
        <v>0</v>
      </c>
      <c r="X80" s="2">
        <f ca="1">IFERROR(__xludf.DUMMYFUNCTION("""COMPUTED_VALUE"""),0)</f>
        <v>0</v>
      </c>
      <c r="Y80" s="2">
        <f ca="1">IFERROR(__xludf.DUMMYFUNCTION("""COMPUTED_VALUE"""),0)</f>
        <v>0</v>
      </c>
      <c r="AB80" s="2"/>
      <c r="AC80" s="2"/>
      <c r="AD80" s="2" t="str">
        <f ca="1">IFERROR(__xludf.DUMMYFUNCTION("""COMPUTED_VALUE"""),"X")</f>
        <v>X</v>
      </c>
      <c r="AE80" s="2" t="str">
        <f ca="1">IFERROR(__xludf.DUMMYFUNCTION("""COMPUTED_VALUE"""),"X")</f>
        <v>X</v>
      </c>
      <c r="AF80" s="2" t="str">
        <f ca="1">IFERROR(__xludf.DUMMYFUNCTION("""COMPUTED_VALUE"""),"X")</f>
        <v>X</v>
      </c>
      <c r="AG80" s="2"/>
      <c r="AH80" s="2"/>
      <c r="AI80" s="2"/>
      <c r="AJ80" s="2"/>
      <c r="AK80" s="2"/>
      <c r="AL80" s="2"/>
      <c r="AM80" s="2">
        <f ca="1">IFERROR(__xludf.DUMMYFUNCTION("""COMPUTED_VALUE"""),0)</f>
        <v>0</v>
      </c>
      <c r="AN80" s="2">
        <f ca="1">IFERROR(__xludf.DUMMYFUNCTION("""COMPUTED_VALUE"""),0)</f>
        <v>0</v>
      </c>
      <c r="AO80" s="2">
        <f ca="1">IFERROR(__xludf.DUMMYFUNCTION("""COMPUTED_VALUE"""),3.1025)</f>
        <v>3.1025</v>
      </c>
      <c r="AP80" s="2">
        <f ca="1">IFERROR(__xludf.DUMMYFUNCTION("""COMPUTED_VALUE"""),3.4425)</f>
        <v>3.4424999999999999</v>
      </c>
      <c r="AQ80" s="2">
        <f ca="1">IFERROR(__xludf.DUMMYFUNCTION("""COMPUTED_VALUE"""),0.665)</f>
        <v>0.66500000000000004</v>
      </c>
      <c r="AR80" s="2">
        <f ca="1">IFERROR(__xludf.DUMMYFUNCTION("""COMPUTED_VALUE"""),0)</f>
        <v>0</v>
      </c>
      <c r="AS80" s="2">
        <f ca="1">IFERROR(__xludf.DUMMYFUNCTION("""COMPUTED_VALUE"""),0)</f>
        <v>0</v>
      </c>
      <c r="AT80" s="2">
        <f ca="1">IFERROR(__xludf.DUMMYFUNCTION("""COMPUTED_VALUE"""),0)</f>
        <v>0</v>
      </c>
      <c r="AU80" s="2">
        <f ca="1">IFERROR(__xludf.DUMMYFUNCTION("""COMPUTED_VALUE"""),0)</f>
        <v>0</v>
      </c>
      <c r="AV80" s="2">
        <f ca="1">IFERROR(__xludf.DUMMYFUNCTION("""COMPUTED_VALUE"""),0)</f>
        <v>0</v>
      </c>
      <c r="AW80" s="2">
        <f ca="1">IFERROR(__xludf.DUMMYFUNCTION("""COMPUTED_VALUE"""),0)</f>
        <v>0</v>
      </c>
      <c r="AY80" s="2">
        <f t="shared" ca="1" si="0"/>
        <v>3</v>
      </c>
      <c r="AZ80" s="2" t="e">
        <f ca="1">IF(NOT(COUNTA(D80:J80)), _xludf.IFS(AL80="W", 'Round Bonuses'!$F$14, AL80="X", 'Round Bonuses'!$F$13, AK80="X", 'Round Bonuses'!$F$12, AJ80="X", 'Round Bonuses'!$F$11, AI80="X", 'Round Bonuses'!$F$10, AH80="X", 'Round Bonuses'!$F$9, AG80="X", 'Round Bonuses'!$F$8, AF80="X", 'Round Bonuses'!$F$7, AE80="X", 'Round Bonuses'!$F$6, AD80="X", 'Round Bonuses'!$F$5, AC80="X", 'Round Bonuses'!$F$4, AB80="X", 'Round Bonuses'!$F$3, TRUE, 0), IF(AA80="X", _xludf.IFS(AD80="X", 'Round Bonuses'!$E$4, AF80="X",'Round Bonuses'!$E$6,TRUE, 'Round Bonuses'!$E$7), 0) +IF(AB80="X", 'Round Bonuses'!$E$3, 0)+IF(AC80="X",'Round Bonuses'!$E$4, 0)+IF(AD80="X", 'Round Bonuses'!$E$5, 0)+IF(AE80="X", 'Round Bonuses'!$E$6, 0)+IF(AF80="X", 'Round Bonuses'!$E$7, 0)+IF(AG80="X", 'Round Bonuses'!$E$8, 0)+_xludf.IFS(AL80="W", 'Round Bonuses'!$G$14, AL80="X", 'Round Bonuses'!$G$13, AK80="X", 'Round Bonuses'!$G$12, AJ80="X", 'Round Bonuses'!$G$11, AI80="X", 'Round Bonuses'!$G$10, AH80="X", 'Round Bonuses'!$G$9, TRUE, 0))+_xludf.IFS(N80="W", 'Round Bonuses'!$C$13, N80="X", 'Round Bonuses'!$C$12, M80="X", 'Round Bonuses'!$C$11, L80="X", 'Round Bonuses'!$C$10, K80="X", 'Round Bonuses'!$C$9, J80="X", 'Round Bonuses'!$C$8, I80="X", 'Round Bonuses'!$C$7, H80="X", 'Round Bonuses'!$C$6, G80="X", 'Round Bonuses'!$C$5, F80="X", 'Round Bonuses'!$C$4, E80="X", 'Round Bonuses'!$C$3, D80="X", 'Round Bonuses'!$C$3, TRUE, 0)</f>
        <v>#NAME?</v>
      </c>
      <c r="BA80" s="2">
        <f t="shared" ca="1" si="1"/>
        <v>7.21</v>
      </c>
      <c r="BB80" s="10" t="e">
        <f t="shared" ca="1" si="2"/>
        <v>#NAME?</v>
      </c>
      <c r="BD80" s="11" t="str">
        <f t="shared" ca="1" si="3"/>
        <v>Galatasaray</v>
      </c>
      <c r="BE80" s="2" t="str">
        <f t="shared" ca="1" si="4"/>
        <v>Turkey</v>
      </c>
      <c r="BF80" s="2" t="e">
        <f t="shared" ca="1" si="5"/>
        <v>#NAME?</v>
      </c>
      <c r="BG80" s="2">
        <f t="shared" ca="1" si="6"/>
        <v>3</v>
      </c>
      <c r="BH80" s="2" t="s">
        <v>120</v>
      </c>
      <c r="BI80" s="2" t="s">
        <v>121</v>
      </c>
      <c r="BJ80" s="7">
        <v>4.6377500000000005</v>
      </c>
      <c r="BK80" s="2">
        <v>10</v>
      </c>
      <c r="BL80" s="2">
        <f t="shared" si="10"/>
        <v>78</v>
      </c>
      <c r="BM80" s="2" t="str">
        <f t="shared" si="7"/>
        <v>Dundalk</v>
      </c>
      <c r="BN80" s="7">
        <f t="shared" ref="BN80:BO80" si="87">BJ80</f>
        <v>4.6377500000000005</v>
      </c>
      <c r="BO80" s="2">
        <f t="shared" si="87"/>
        <v>10</v>
      </c>
      <c r="BS80" s="2" t="str">
        <f t="shared" si="9"/>
        <v>Republic of Ireland</v>
      </c>
    </row>
    <row r="81" spans="1:71" ht="13.8" x14ac:dyDescent="0.45">
      <c r="A81" s="2" t="str">
        <f ca="1">IFERROR(__xludf.DUMMYFUNCTION("""COMPUTED_VALUE"""),"Gent")</f>
        <v>Gent</v>
      </c>
      <c r="B81" s="2">
        <f ca="1">IFERROR(__xludf.DUMMYFUNCTION("""COMPUTED_VALUE"""),0.91)</f>
        <v>0.91</v>
      </c>
      <c r="C81" s="2" t="str">
        <f ca="1">IFERROR(__xludf.DUMMYFUNCTION("""COMPUTED_VALUE"""),"Belgium")</f>
        <v>Belgium</v>
      </c>
      <c r="D81" s="2"/>
      <c r="E81" s="2"/>
      <c r="F81" s="2"/>
      <c r="G81" s="2"/>
      <c r="H81" s="2" t="str">
        <f ca="1">IFERROR(__xludf.DUMMYFUNCTION("""COMPUTED_VALUE"""),"X")</f>
        <v>X</v>
      </c>
      <c r="I81" s="2" t="str">
        <f ca="1">IFERROR(__xludf.DUMMYFUNCTION("""COMPUTED_VALUE"""),"X")</f>
        <v>X</v>
      </c>
      <c r="J81" s="2"/>
      <c r="K81" s="2"/>
      <c r="L81" s="2"/>
      <c r="M81" s="2"/>
      <c r="N81" s="2"/>
      <c r="O81" s="5">
        <f ca="1">IFERROR(__xludf.DUMMYFUNCTION("""COMPUTED_VALUE"""),0)</f>
        <v>0</v>
      </c>
      <c r="P81" s="2">
        <f ca="1">IFERROR(__xludf.DUMMYFUNCTION("""COMPUTED_VALUE"""),0)</f>
        <v>0</v>
      </c>
      <c r="Q81" s="2">
        <f ca="1">IFERROR(__xludf.DUMMYFUNCTION("""COMPUTED_VALUE"""),0)</f>
        <v>0</v>
      </c>
      <c r="R81" s="2">
        <f ca="1">IFERROR(__xludf.DUMMYFUNCTION("""COMPUTED_VALUE"""),0)</f>
        <v>0</v>
      </c>
      <c r="S81" s="2">
        <f ca="1">IFERROR(__xludf.DUMMYFUNCTION("""COMPUTED_VALUE"""),3.58875)</f>
        <v>3.5887500000000001</v>
      </c>
      <c r="T81" s="2">
        <f ca="1">IFERROR(__xludf.DUMMYFUNCTION("""COMPUTED_VALUE"""),1.3)</f>
        <v>1.3</v>
      </c>
      <c r="U81" s="2">
        <f ca="1">IFERROR(__xludf.DUMMYFUNCTION("""COMPUTED_VALUE"""),0)</f>
        <v>0</v>
      </c>
      <c r="V81" s="2">
        <f ca="1">IFERROR(__xludf.DUMMYFUNCTION("""COMPUTED_VALUE"""),0)</f>
        <v>0</v>
      </c>
      <c r="W81" s="2">
        <f ca="1">IFERROR(__xludf.DUMMYFUNCTION("""COMPUTED_VALUE"""),0)</f>
        <v>0</v>
      </c>
      <c r="X81" s="2">
        <f ca="1">IFERROR(__xludf.DUMMYFUNCTION("""COMPUTED_VALUE"""),0)</f>
        <v>0</v>
      </c>
      <c r="Y81" s="2">
        <f ca="1">IFERROR(__xludf.DUMMYFUNCTION("""COMPUTED_VALUE"""),0)</f>
        <v>0</v>
      </c>
      <c r="AB81" s="2"/>
      <c r="AC81" s="2"/>
      <c r="AD81" s="2"/>
      <c r="AE81" s="2"/>
      <c r="AF81" s="2"/>
      <c r="AG81" s="2" t="str">
        <f ca="1">IFERROR(__xludf.DUMMYFUNCTION("""COMPUTED_VALUE"""),"X")</f>
        <v>X</v>
      </c>
      <c r="AH81" s="2"/>
      <c r="AI81" s="2"/>
      <c r="AJ81" s="2"/>
      <c r="AK81" s="2"/>
      <c r="AL81" s="2"/>
      <c r="AM81" s="2">
        <f ca="1">IFERROR(__xludf.DUMMYFUNCTION("""COMPUTED_VALUE"""),0)</f>
        <v>0</v>
      </c>
      <c r="AN81" s="2">
        <f ca="1">IFERROR(__xludf.DUMMYFUNCTION("""COMPUTED_VALUE"""),0)</f>
        <v>0</v>
      </c>
      <c r="AO81" s="2">
        <f ca="1">IFERROR(__xludf.DUMMYFUNCTION("""COMPUTED_VALUE"""),0)</f>
        <v>0</v>
      </c>
      <c r="AP81" s="2">
        <f ca="1">IFERROR(__xludf.DUMMYFUNCTION("""COMPUTED_VALUE"""),0)</f>
        <v>0</v>
      </c>
      <c r="AQ81" s="2">
        <f ca="1">IFERROR(__xludf.DUMMYFUNCTION("""COMPUTED_VALUE"""),0)</f>
        <v>0</v>
      </c>
      <c r="AR81" s="2">
        <f ca="1">IFERROR(__xludf.DUMMYFUNCTION("""COMPUTED_VALUE"""),3.725)</f>
        <v>3.7250000000000001</v>
      </c>
      <c r="AS81" s="2">
        <f ca="1">IFERROR(__xludf.DUMMYFUNCTION("""COMPUTED_VALUE"""),0)</f>
        <v>0</v>
      </c>
      <c r="AT81" s="2">
        <f ca="1">IFERROR(__xludf.DUMMYFUNCTION("""COMPUTED_VALUE"""),0)</f>
        <v>0</v>
      </c>
      <c r="AU81" s="2">
        <f ca="1">IFERROR(__xludf.DUMMYFUNCTION("""COMPUTED_VALUE"""),0)</f>
        <v>0</v>
      </c>
      <c r="AV81" s="2">
        <f ca="1">IFERROR(__xludf.DUMMYFUNCTION("""COMPUTED_VALUE"""),0)</f>
        <v>0</v>
      </c>
      <c r="AW81" s="2">
        <f ca="1">IFERROR(__xludf.DUMMYFUNCTION("""COMPUTED_VALUE"""),0)</f>
        <v>0</v>
      </c>
      <c r="AY81" s="2">
        <f t="shared" ca="1" si="0"/>
        <v>9</v>
      </c>
      <c r="AZ81" s="2" t="e">
        <f ca="1">IF(NOT(COUNTA(D81:J81)), _xludf.IFS(AL81="W", 'Round Bonuses'!$F$14, AL81="X", 'Round Bonuses'!$F$13, AK81="X", 'Round Bonuses'!$F$12, AJ81="X", 'Round Bonuses'!$F$11, AI81="X", 'Round Bonuses'!$F$10, AH81="X", 'Round Bonuses'!$F$9, AG81="X", 'Round Bonuses'!$F$8, AF81="X", 'Round Bonuses'!$F$7, AE81="X", 'Round Bonuses'!$F$6, AD81="X", 'Round Bonuses'!$F$5, AC81="X", 'Round Bonuses'!$F$4, AB81="X", 'Round Bonuses'!$F$3, TRUE, 0), IF(AA81="X", _xludf.IFS(AD81="X", 'Round Bonuses'!$E$4, AF81="X",'Round Bonuses'!$E$6,TRUE, 'Round Bonuses'!$E$7), 0) +IF(AB81="X", 'Round Bonuses'!$E$3, 0)+IF(AC81="X",'Round Bonuses'!$E$4, 0)+IF(AD81="X", 'Round Bonuses'!$E$5, 0)+IF(AE81="X", 'Round Bonuses'!$E$6, 0)+IF(AF81="X", 'Round Bonuses'!$E$7, 0)+IF(AG81="X", 'Round Bonuses'!$E$8, 0)+_xludf.IFS(AL81="W", 'Round Bonuses'!$G$14, AL81="X", 'Round Bonuses'!$G$13, AK81="X", 'Round Bonuses'!$G$12, AJ81="X", 'Round Bonuses'!$G$11, AI81="X", 'Round Bonuses'!$G$10, AH81="X", 'Round Bonuses'!$G$9, TRUE, 0))+_xludf.IFS(N81="W", 'Round Bonuses'!$C$13, N81="X", 'Round Bonuses'!$C$12, M81="X", 'Round Bonuses'!$C$11, L81="X", 'Round Bonuses'!$C$10, K81="X", 'Round Bonuses'!$C$9, J81="X", 'Round Bonuses'!$C$8, I81="X", 'Round Bonuses'!$C$7, H81="X", 'Round Bonuses'!$C$6, G81="X", 'Round Bonuses'!$C$5, F81="X", 'Round Bonuses'!$C$4, E81="X", 'Round Bonuses'!$C$3, D81="X", 'Round Bonuses'!$C$3, TRUE, 0)</f>
        <v>#NAME?</v>
      </c>
      <c r="BA81" s="2">
        <f t="shared" ca="1" si="1"/>
        <v>8.6137499999999996</v>
      </c>
      <c r="BB81" s="10" t="e">
        <f t="shared" ca="1" si="2"/>
        <v>#NAME?</v>
      </c>
      <c r="BD81" s="11" t="str">
        <f t="shared" ca="1" si="3"/>
        <v>Gent</v>
      </c>
      <c r="BE81" s="2" t="str">
        <f t="shared" ca="1" si="4"/>
        <v>Belgium</v>
      </c>
      <c r="BF81" s="2" t="e">
        <f t="shared" ca="1" si="5"/>
        <v>#NAME?</v>
      </c>
      <c r="BG81" s="2">
        <f t="shared" ca="1" si="6"/>
        <v>9</v>
      </c>
      <c r="BH81" s="2" t="s">
        <v>122</v>
      </c>
      <c r="BI81" s="2" t="s">
        <v>123</v>
      </c>
      <c r="BJ81" s="7">
        <v>4.5687500000000005</v>
      </c>
      <c r="BK81" s="2">
        <v>4</v>
      </c>
      <c r="BL81" s="2">
        <f t="shared" si="10"/>
        <v>79</v>
      </c>
      <c r="BM81" s="2" t="str">
        <f t="shared" si="7"/>
        <v>Dynamo Brest</v>
      </c>
      <c r="BN81" s="7">
        <f t="shared" ref="BN81:BO81" si="88">BJ81</f>
        <v>4.5687500000000005</v>
      </c>
      <c r="BO81" s="2">
        <f t="shared" si="88"/>
        <v>4</v>
      </c>
      <c r="BS81" s="2" t="str">
        <f t="shared" si="9"/>
        <v>Belarus</v>
      </c>
    </row>
    <row r="82" spans="1:71" ht="13.8" x14ac:dyDescent="0.45">
      <c r="A82" s="2" t="str">
        <f ca="1">IFERROR(__xludf.DUMMYFUNCTION("""COMPUTED_VALUE"""),"Gjilani")</f>
        <v>Gjilani</v>
      </c>
      <c r="B82" s="2">
        <f ca="1">IFERROR(__xludf.DUMMYFUNCTION("""COMPUTED_VALUE"""),0.459999999999999)</f>
        <v>0.45999999999999902</v>
      </c>
      <c r="C82" s="2" t="str">
        <f ca="1">IFERROR(__xludf.DUMMYFUNCTION("""COMPUTED_VALUE"""),"Kosovo")</f>
        <v>Kosovo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5">
        <f ca="1">IFERROR(__xludf.DUMMYFUNCTION("""COMPUTED_VALUE"""),0)</f>
        <v>0</v>
      </c>
      <c r="P82" s="2">
        <f ca="1">IFERROR(__xludf.DUMMYFUNCTION("""COMPUTED_VALUE"""),0)</f>
        <v>0</v>
      </c>
      <c r="Q82" s="2">
        <f ca="1">IFERROR(__xludf.DUMMYFUNCTION("""COMPUTED_VALUE"""),0)</f>
        <v>0</v>
      </c>
      <c r="R82" s="2">
        <f ca="1">IFERROR(__xludf.DUMMYFUNCTION("""COMPUTED_VALUE"""),0)</f>
        <v>0</v>
      </c>
      <c r="S82" s="2">
        <f ca="1">IFERROR(__xludf.DUMMYFUNCTION("""COMPUTED_VALUE"""),0)</f>
        <v>0</v>
      </c>
      <c r="T82" s="2">
        <f ca="1">IFERROR(__xludf.DUMMYFUNCTION("""COMPUTED_VALUE"""),0)</f>
        <v>0</v>
      </c>
      <c r="U82" s="2">
        <f ca="1">IFERROR(__xludf.DUMMYFUNCTION("""COMPUTED_VALUE"""),0)</f>
        <v>0</v>
      </c>
      <c r="V82" s="2">
        <f ca="1">IFERROR(__xludf.DUMMYFUNCTION("""COMPUTED_VALUE"""),0)</f>
        <v>0</v>
      </c>
      <c r="W82" s="2">
        <f ca="1">IFERROR(__xludf.DUMMYFUNCTION("""COMPUTED_VALUE"""),0)</f>
        <v>0</v>
      </c>
      <c r="X82" s="2">
        <f ca="1">IFERROR(__xludf.DUMMYFUNCTION("""COMPUTED_VALUE"""),0)</f>
        <v>0</v>
      </c>
      <c r="Y82" s="2">
        <f ca="1">IFERROR(__xludf.DUMMYFUNCTION("""COMPUTED_VALUE"""),0)</f>
        <v>0</v>
      </c>
      <c r="AB82" s="2" t="str">
        <f ca="1">IFERROR(__xludf.DUMMYFUNCTION("""COMPUTED_VALUE"""),"X")</f>
        <v>X</v>
      </c>
      <c r="AC82" s="2" t="str">
        <f ca="1">IFERROR(__xludf.DUMMYFUNCTION("""COMPUTED_VALUE"""),"X")</f>
        <v>X</v>
      </c>
      <c r="AD82" s="2"/>
      <c r="AE82" s="2"/>
      <c r="AF82" s="2"/>
      <c r="AG82" s="2"/>
      <c r="AH82" s="2"/>
      <c r="AI82" s="2"/>
      <c r="AJ82" s="2"/>
      <c r="AK82" s="2"/>
      <c r="AL82" s="2"/>
      <c r="AM82" s="2">
        <f ca="1">IFERROR(__xludf.DUMMYFUNCTION("""COMPUTED_VALUE"""),1.82749999999999)</f>
        <v>1.8274999999999899</v>
      </c>
      <c r="AN82" s="2">
        <f ca="1">IFERROR(__xludf.DUMMYFUNCTION("""COMPUTED_VALUE"""),0.55)</f>
        <v>0.55000000000000004</v>
      </c>
      <c r="AO82" s="2">
        <f ca="1">IFERROR(__xludf.DUMMYFUNCTION("""COMPUTED_VALUE"""),0)</f>
        <v>0</v>
      </c>
      <c r="AP82" s="2">
        <f ca="1">IFERROR(__xludf.DUMMYFUNCTION("""COMPUTED_VALUE"""),0)</f>
        <v>0</v>
      </c>
      <c r="AQ82" s="2">
        <f ca="1">IFERROR(__xludf.DUMMYFUNCTION("""COMPUTED_VALUE"""),0)</f>
        <v>0</v>
      </c>
      <c r="AR82" s="2">
        <f ca="1">IFERROR(__xludf.DUMMYFUNCTION("""COMPUTED_VALUE"""),0)</f>
        <v>0</v>
      </c>
      <c r="AS82" s="2">
        <f ca="1">IFERROR(__xludf.DUMMYFUNCTION("""COMPUTED_VALUE"""),0)</f>
        <v>0</v>
      </c>
      <c r="AT82" s="2">
        <f ca="1">IFERROR(__xludf.DUMMYFUNCTION("""COMPUTED_VALUE"""),0)</f>
        <v>0</v>
      </c>
      <c r="AU82" s="2">
        <f ca="1">IFERROR(__xludf.DUMMYFUNCTION("""COMPUTED_VALUE"""),0)</f>
        <v>0</v>
      </c>
      <c r="AV82" s="2">
        <f ca="1">IFERROR(__xludf.DUMMYFUNCTION("""COMPUTED_VALUE"""),0)</f>
        <v>0</v>
      </c>
      <c r="AW82" s="2">
        <f ca="1">IFERROR(__xludf.DUMMYFUNCTION("""COMPUTED_VALUE"""),0)</f>
        <v>0</v>
      </c>
      <c r="AY82" s="2">
        <f t="shared" ca="1" si="0"/>
        <v>2</v>
      </c>
      <c r="AZ82" s="2" t="e">
        <f ca="1">IF(NOT(COUNTA(D82:J82)), _xludf.IFS(AL82="W", 'Round Bonuses'!$F$14, AL82="X", 'Round Bonuses'!$F$13, AK82="X", 'Round Bonuses'!$F$12, AJ82="X", 'Round Bonuses'!$F$11, AI82="X", 'Round Bonuses'!$F$10, AH82="X", 'Round Bonuses'!$F$9, AG82="X", 'Round Bonuses'!$F$8, AF82="X", 'Round Bonuses'!$F$7, AE82="X", 'Round Bonuses'!$F$6, AD82="X", 'Round Bonuses'!$F$5, AC82="X", 'Round Bonuses'!$F$4, AB82="X", 'Round Bonuses'!$F$3, TRUE, 0), IF(AA82="X", _xludf.IFS(AD82="X", 'Round Bonuses'!$E$4, AF82="X",'Round Bonuses'!$E$6,TRUE, 'Round Bonuses'!$E$7), 0) +IF(AB82="X", 'Round Bonuses'!$E$3, 0)+IF(AC82="X",'Round Bonuses'!$E$4, 0)+IF(AD82="X", 'Round Bonuses'!$E$5, 0)+IF(AE82="X", 'Round Bonuses'!$E$6, 0)+IF(AF82="X", 'Round Bonuses'!$E$7, 0)+IF(AG82="X", 'Round Bonuses'!$E$8, 0)+_xludf.IFS(AL82="W", 'Round Bonuses'!$G$14, AL82="X", 'Round Bonuses'!$G$13, AK82="X", 'Round Bonuses'!$G$12, AJ82="X", 'Round Bonuses'!$G$11, AI82="X", 'Round Bonuses'!$G$10, AH82="X", 'Round Bonuses'!$G$9, TRUE, 0))+_xludf.IFS(N82="W", 'Round Bonuses'!$C$13, N82="X", 'Round Bonuses'!$C$12, M82="X", 'Round Bonuses'!$C$11, L82="X", 'Round Bonuses'!$C$10, K82="X", 'Round Bonuses'!$C$9, J82="X", 'Round Bonuses'!$C$8, I82="X", 'Round Bonuses'!$C$7, H82="X", 'Round Bonuses'!$C$6, G82="X", 'Round Bonuses'!$C$5, F82="X", 'Round Bonuses'!$C$4, E82="X", 'Round Bonuses'!$C$3, D82="X", 'Round Bonuses'!$C$3, TRUE, 0)</f>
        <v>#NAME?</v>
      </c>
      <c r="BA82" s="2">
        <f t="shared" ca="1" si="1"/>
        <v>2.3774999999999897</v>
      </c>
      <c r="BB82" s="10" t="e">
        <f t="shared" ca="1" si="2"/>
        <v>#NAME?</v>
      </c>
      <c r="BD82" s="11" t="str">
        <f t="shared" ca="1" si="3"/>
        <v>Gjilani</v>
      </c>
      <c r="BE82" s="2" t="str">
        <f t="shared" ca="1" si="4"/>
        <v>Kosovo</v>
      </c>
      <c r="BF82" s="2" t="e">
        <f t="shared" ca="1" si="5"/>
        <v>#NAME?</v>
      </c>
      <c r="BG82" s="2">
        <f t="shared" ca="1" si="6"/>
        <v>2</v>
      </c>
      <c r="BH82" s="2" t="s">
        <v>124</v>
      </c>
      <c r="BI82" s="2" t="s">
        <v>56</v>
      </c>
      <c r="BJ82" s="7">
        <v>4.4858333333333329</v>
      </c>
      <c r="BK82" s="2">
        <v>6</v>
      </c>
      <c r="BL82" s="2">
        <f t="shared" si="10"/>
        <v>80</v>
      </c>
      <c r="BM82" s="2" t="str">
        <f t="shared" si="7"/>
        <v>CSKA Moscow</v>
      </c>
      <c r="BN82" s="7">
        <f t="shared" ref="BN82:BO82" si="89">BJ82</f>
        <v>4.4858333333333329</v>
      </c>
      <c r="BO82" s="2">
        <f t="shared" si="89"/>
        <v>6</v>
      </c>
      <c r="BS82" s="2" t="str">
        <f t="shared" si="9"/>
        <v>Russia</v>
      </c>
    </row>
    <row r="83" spans="1:71" ht="13.8" x14ac:dyDescent="0.45">
      <c r="A83" s="2" t="str">
        <f ca="1">IFERROR(__xludf.DUMMYFUNCTION("""COMPUTED_VALUE"""),"Glentoran")</f>
        <v>Glentoran</v>
      </c>
      <c r="B83" s="2">
        <f ca="1">IFERROR(__xludf.DUMMYFUNCTION("""COMPUTED_VALUE"""),0.47)</f>
        <v>0.47</v>
      </c>
      <c r="C83" s="2" t="str">
        <f ca="1">IFERROR(__xludf.DUMMYFUNCTION("""COMPUTED_VALUE"""),"Northern Ireland")</f>
        <v>Northern Ireland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5">
        <f ca="1">IFERROR(__xludf.DUMMYFUNCTION("""COMPUTED_VALUE"""),0)</f>
        <v>0</v>
      </c>
      <c r="P83" s="2">
        <f ca="1">IFERROR(__xludf.DUMMYFUNCTION("""COMPUTED_VALUE"""),0)</f>
        <v>0</v>
      </c>
      <c r="Q83" s="2">
        <f ca="1">IFERROR(__xludf.DUMMYFUNCTION("""COMPUTED_VALUE"""),0)</f>
        <v>0</v>
      </c>
      <c r="R83" s="2">
        <f ca="1">IFERROR(__xludf.DUMMYFUNCTION("""COMPUTED_VALUE"""),0)</f>
        <v>0</v>
      </c>
      <c r="S83" s="2">
        <f ca="1">IFERROR(__xludf.DUMMYFUNCTION("""COMPUTED_VALUE"""),0)</f>
        <v>0</v>
      </c>
      <c r="T83" s="2">
        <f ca="1">IFERROR(__xludf.DUMMYFUNCTION("""COMPUTED_VALUE"""),0)</f>
        <v>0</v>
      </c>
      <c r="U83" s="2">
        <f ca="1">IFERROR(__xludf.DUMMYFUNCTION("""COMPUTED_VALUE"""),0)</f>
        <v>0</v>
      </c>
      <c r="V83" s="2">
        <f ca="1">IFERROR(__xludf.DUMMYFUNCTION("""COMPUTED_VALUE"""),0)</f>
        <v>0</v>
      </c>
      <c r="W83" s="2">
        <f ca="1">IFERROR(__xludf.DUMMYFUNCTION("""COMPUTED_VALUE"""),0)</f>
        <v>0</v>
      </c>
      <c r="X83" s="2">
        <f ca="1">IFERROR(__xludf.DUMMYFUNCTION("""COMPUTED_VALUE"""),0)</f>
        <v>0</v>
      </c>
      <c r="Y83" s="2">
        <f ca="1">IFERROR(__xludf.DUMMYFUNCTION("""COMPUTED_VALUE"""),0)</f>
        <v>0</v>
      </c>
      <c r="AB83" s="2" t="str">
        <f ca="1">IFERROR(__xludf.DUMMYFUNCTION("""COMPUTED_VALUE"""),"X")</f>
        <v>X</v>
      </c>
      <c r="AC83" s="2" t="str">
        <f ca="1">IFERROR(__xludf.DUMMYFUNCTION("""COMPUTED_VALUE"""),"X")</f>
        <v>X</v>
      </c>
      <c r="AD83" s="2"/>
      <c r="AE83" s="2"/>
      <c r="AF83" s="2"/>
      <c r="AG83" s="2"/>
      <c r="AH83" s="2"/>
      <c r="AI83" s="2"/>
      <c r="AJ83" s="2"/>
      <c r="AK83" s="2"/>
      <c r="AL83" s="2"/>
      <c r="AM83" s="2">
        <f ca="1">IFERROR(__xludf.DUMMYFUNCTION("""COMPUTED_VALUE"""),1.98)</f>
        <v>1.98</v>
      </c>
      <c r="AN83" s="2">
        <f ca="1">IFERROR(__xludf.DUMMYFUNCTION("""COMPUTED_VALUE"""),0.28)</f>
        <v>0.28000000000000003</v>
      </c>
      <c r="AO83" s="2">
        <f ca="1">IFERROR(__xludf.DUMMYFUNCTION("""COMPUTED_VALUE"""),0)</f>
        <v>0</v>
      </c>
      <c r="AP83" s="2">
        <f ca="1">IFERROR(__xludf.DUMMYFUNCTION("""COMPUTED_VALUE"""),0)</f>
        <v>0</v>
      </c>
      <c r="AQ83" s="2">
        <f ca="1">IFERROR(__xludf.DUMMYFUNCTION("""COMPUTED_VALUE"""),0)</f>
        <v>0</v>
      </c>
      <c r="AR83" s="2">
        <f ca="1">IFERROR(__xludf.DUMMYFUNCTION("""COMPUTED_VALUE"""),0)</f>
        <v>0</v>
      </c>
      <c r="AS83" s="2">
        <f ca="1">IFERROR(__xludf.DUMMYFUNCTION("""COMPUTED_VALUE"""),0)</f>
        <v>0</v>
      </c>
      <c r="AT83" s="2">
        <f ca="1">IFERROR(__xludf.DUMMYFUNCTION("""COMPUTED_VALUE"""),0)</f>
        <v>0</v>
      </c>
      <c r="AU83" s="2">
        <f ca="1">IFERROR(__xludf.DUMMYFUNCTION("""COMPUTED_VALUE"""),0)</f>
        <v>0</v>
      </c>
      <c r="AV83" s="2">
        <f ca="1">IFERROR(__xludf.DUMMYFUNCTION("""COMPUTED_VALUE"""),0)</f>
        <v>0</v>
      </c>
      <c r="AW83" s="2">
        <f ca="1">IFERROR(__xludf.DUMMYFUNCTION("""COMPUTED_VALUE"""),0)</f>
        <v>0</v>
      </c>
      <c r="AY83" s="2">
        <f t="shared" ca="1" si="0"/>
        <v>2</v>
      </c>
      <c r="AZ83" s="2" t="e">
        <f ca="1">IF(NOT(COUNTA(D83:J83)), _xludf.IFS(AL83="W", 'Round Bonuses'!$F$14, AL83="X", 'Round Bonuses'!$F$13, AK83="X", 'Round Bonuses'!$F$12, AJ83="X", 'Round Bonuses'!$F$11, AI83="X", 'Round Bonuses'!$F$10, AH83="X", 'Round Bonuses'!$F$9, AG83="X", 'Round Bonuses'!$F$8, AF83="X", 'Round Bonuses'!$F$7, AE83="X", 'Round Bonuses'!$F$6, AD83="X", 'Round Bonuses'!$F$5, AC83="X", 'Round Bonuses'!$F$4, AB83="X", 'Round Bonuses'!$F$3, TRUE, 0), IF(AA83="X", _xludf.IFS(AD83="X", 'Round Bonuses'!$E$4, AF83="X",'Round Bonuses'!$E$6,TRUE, 'Round Bonuses'!$E$7), 0) +IF(AB83="X", 'Round Bonuses'!$E$3, 0)+IF(AC83="X",'Round Bonuses'!$E$4, 0)+IF(AD83="X", 'Round Bonuses'!$E$5, 0)+IF(AE83="X", 'Round Bonuses'!$E$6, 0)+IF(AF83="X", 'Round Bonuses'!$E$7, 0)+IF(AG83="X", 'Round Bonuses'!$E$8, 0)+_xludf.IFS(AL83="W", 'Round Bonuses'!$G$14, AL83="X", 'Round Bonuses'!$G$13, AK83="X", 'Round Bonuses'!$G$12, AJ83="X", 'Round Bonuses'!$G$11, AI83="X", 'Round Bonuses'!$G$10, AH83="X", 'Round Bonuses'!$G$9, TRUE, 0))+_xludf.IFS(N83="W", 'Round Bonuses'!$C$13, N83="X", 'Round Bonuses'!$C$12, M83="X", 'Round Bonuses'!$C$11, L83="X", 'Round Bonuses'!$C$10, K83="X", 'Round Bonuses'!$C$9, J83="X", 'Round Bonuses'!$C$8, I83="X", 'Round Bonuses'!$C$7, H83="X", 'Round Bonuses'!$C$6, G83="X", 'Round Bonuses'!$C$5, F83="X", 'Round Bonuses'!$C$4, E83="X", 'Round Bonuses'!$C$3, D83="X", 'Round Bonuses'!$C$3, TRUE, 0)</f>
        <v>#NAME?</v>
      </c>
      <c r="BA83" s="2">
        <f t="shared" ca="1" si="1"/>
        <v>2.2599999999999998</v>
      </c>
      <c r="BB83" s="10" t="e">
        <f t="shared" ca="1" si="2"/>
        <v>#NAME?</v>
      </c>
      <c r="BD83" s="11" t="str">
        <f t="shared" ca="1" si="3"/>
        <v>Glentoran</v>
      </c>
      <c r="BE83" s="2" t="str">
        <f t="shared" ca="1" si="4"/>
        <v>Northern Ireland</v>
      </c>
      <c r="BF83" s="2" t="e">
        <f t="shared" ca="1" si="5"/>
        <v>#NAME?</v>
      </c>
      <c r="BG83" s="2">
        <f t="shared" ca="1" si="6"/>
        <v>2</v>
      </c>
      <c r="BH83" s="2" t="s">
        <v>125</v>
      </c>
      <c r="BI83" s="2" t="s">
        <v>126</v>
      </c>
      <c r="BJ83" s="7">
        <v>4.4074999999999998</v>
      </c>
      <c r="BK83" s="2">
        <v>4</v>
      </c>
      <c r="BL83" s="2">
        <f t="shared" si="10"/>
        <v>81</v>
      </c>
      <c r="BM83" s="2" t="str">
        <f t="shared" si="7"/>
        <v>Malmö FF</v>
      </c>
      <c r="BN83" s="7">
        <f t="shared" ref="BN83:BO83" si="90">BJ83</f>
        <v>4.4074999999999998</v>
      </c>
      <c r="BO83" s="2">
        <f t="shared" si="90"/>
        <v>4</v>
      </c>
      <c r="BS83" s="2" t="str">
        <f t="shared" si="9"/>
        <v>Sweden</v>
      </c>
    </row>
    <row r="84" spans="1:71" ht="13.8" x14ac:dyDescent="0.45">
      <c r="A84" s="2" t="str">
        <f ca="1">IFERROR(__xludf.DUMMYFUNCTION("""COMPUTED_VALUE"""),"Granada")</f>
        <v>Granada</v>
      </c>
      <c r="B84" s="2">
        <f ca="1">IFERROR(__xludf.DUMMYFUNCTION("""COMPUTED_VALUE"""),0.929999999999999)</f>
        <v>0.92999999999999905</v>
      </c>
      <c r="C84" s="2" t="str">
        <f ca="1">IFERROR(__xludf.DUMMYFUNCTION("""COMPUTED_VALUE"""),"Spain")</f>
        <v>Spain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5">
        <f ca="1">IFERROR(__xludf.DUMMYFUNCTION("""COMPUTED_VALUE"""),0)</f>
        <v>0</v>
      </c>
      <c r="P84" s="2">
        <f ca="1">IFERROR(__xludf.DUMMYFUNCTION("""COMPUTED_VALUE"""),0)</f>
        <v>0</v>
      </c>
      <c r="Q84" s="2">
        <f ca="1">IFERROR(__xludf.DUMMYFUNCTION("""COMPUTED_VALUE"""),0)</f>
        <v>0</v>
      </c>
      <c r="R84" s="2">
        <f ca="1">IFERROR(__xludf.DUMMYFUNCTION("""COMPUTED_VALUE"""),0)</f>
        <v>0</v>
      </c>
      <c r="S84" s="2">
        <f ca="1">IFERROR(__xludf.DUMMYFUNCTION("""COMPUTED_VALUE"""),0)</f>
        <v>0</v>
      </c>
      <c r="T84" s="2">
        <f ca="1">IFERROR(__xludf.DUMMYFUNCTION("""COMPUTED_VALUE"""),0)</f>
        <v>0</v>
      </c>
      <c r="U84" s="2">
        <f ca="1">IFERROR(__xludf.DUMMYFUNCTION("""COMPUTED_VALUE"""),0)</f>
        <v>0</v>
      </c>
      <c r="V84" s="2">
        <f ca="1">IFERROR(__xludf.DUMMYFUNCTION("""COMPUTED_VALUE"""),0)</f>
        <v>0</v>
      </c>
      <c r="W84" s="2">
        <f ca="1">IFERROR(__xludf.DUMMYFUNCTION("""COMPUTED_VALUE"""),0)</f>
        <v>0</v>
      </c>
      <c r="X84" s="2">
        <f ca="1">IFERROR(__xludf.DUMMYFUNCTION("""COMPUTED_VALUE"""),0)</f>
        <v>0</v>
      </c>
      <c r="Y84" s="2">
        <f ca="1">IFERROR(__xludf.DUMMYFUNCTION("""COMPUTED_VALUE"""),0)</f>
        <v>0</v>
      </c>
      <c r="AB84" s="2"/>
      <c r="AC84" s="2"/>
      <c r="AD84" s="2" t="str">
        <f ca="1">IFERROR(__xludf.DUMMYFUNCTION("""COMPUTED_VALUE"""),"X")</f>
        <v>X</v>
      </c>
      <c r="AE84" s="2" t="str">
        <f ca="1">IFERROR(__xludf.DUMMYFUNCTION("""COMPUTED_VALUE"""),"X")</f>
        <v>X</v>
      </c>
      <c r="AF84" s="2" t="str">
        <f ca="1">IFERROR(__xludf.DUMMYFUNCTION("""COMPUTED_VALUE"""),"X")</f>
        <v>X</v>
      </c>
      <c r="AG84" s="2" t="str">
        <f ca="1">IFERROR(__xludf.DUMMYFUNCTION("""COMPUTED_VALUE"""),"X")</f>
        <v>X</v>
      </c>
      <c r="AH84" s="2" t="str">
        <f ca="1">IFERROR(__xludf.DUMMYFUNCTION("""COMPUTED_VALUE"""),"X")</f>
        <v>X</v>
      </c>
      <c r="AI84" s="2" t="str">
        <f ca="1">IFERROR(__xludf.DUMMYFUNCTION("""COMPUTED_VALUE"""),"X")</f>
        <v>X</v>
      </c>
      <c r="AJ84" s="2" t="str">
        <f ca="1">IFERROR(__xludf.DUMMYFUNCTION("""COMPUTED_VALUE"""),"X")</f>
        <v>X</v>
      </c>
      <c r="AK84" s="2"/>
      <c r="AL84" s="2"/>
      <c r="AM84" s="2">
        <f ca="1">IFERROR(__xludf.DUMMYFUNCTION("""COMPUTED_VALUE"""),0)</f>
        <v>0</v>
      </c>
      <c r="AN84" s="2">
        <f ca="1">IFERROR(__xludf.DUMMYFUNCTION("""COMPUTED_VALUE"""),0)</f>
        <v>0</v>
      </c>
      <c r="AO84" s="2">
        <f ca="1">IFERROR(__xludf.DUMMYFUNCTION("""COMPUTED_VALUE"""),2.79)</f>
        <v>2.79</v>
      </c>
      <c r="AP84" s="2">
        <f ca="1">IFERROR(__xludf.DUMMYFUNCTION("""COMPUTED_VALUE"""),2.125)</f>
        <v>2.125</v>
      </c>
      <c r="AQ84" s="2">
        <f ca="1">IFERROR(__xludf.DUMMYFUNCTION("""COMPUTED_VALUE"""),3.2725)</f>
        <v>3.2725</v>
      </c>
      <c r="AR84" s="2">
        <f ca="1">IFERROR(__xludf.DUMMYFUNCTION("""COMPUTED_VALUE"""),14.5499999999999)</f>
        <v>14.549999999999899</v>
      </c>
      <c r="AS84" s="2">
        <f ca="1">IFERROR(__xludf.DUMMYFUNCTION("""COMPUTED_VALUE"""),4.705)</f>
        <v>4.7050000000000001</v>
      </c>
      <c r="AT84" s="2">
        <f ca="1">IFERROR(__xludf.DUMMYFUNCTION("""COMPUTED_VALUE"""),3.9175)</f>
        <v>3.9175</v>
      </c>
      <c r="AU84" s="2">
        <f ca="1">IFERROR(__xludf.DUMMYFUNCTION("""COMPUTED_VALUE"""),1.42)</f>
        <v>1.42</v>
      </c>
      <c r="AV84" s="2">
        <f ca="1">IFERROR(__xludf.DUMMYFUNCTION("""COMPUTED_VALUE"""),0)</f>
        <v>0</v>
      </c>
      <c r="AW84" s="2">
        <f ca="1">IFERROR(__xludf.DUMMYFUNCTION("""COMPUTED_VALUE"""),0)</f>
        <v>0</v>
      </c>
      <c r="AY84" s="2">
        <f t="shared" ca="1" si="0"/>
        <v>15</v>
      </c>
      <c r="AZ84" s="2" t="e">
        <f ca="1">IF(NOT(COUNTA(D84:J84)), _xludf.IFS(AL84="W", 'Round Bonuses'!$F$14, AL84="X", 'Round Bonuses'!$F$13, AK84="X", 'Round Bonuses'!$F$12, AJ84="X", 'Round Bonuses'!$F$11, AI84="X", 'Round Bonuses'!$F$10, AH84="X", 'Round Bonuses'!$F$9, AG84="X", 'Round Bonuses'!$F$8, AF84="X", 'Round Bonuses'!$F$7, AE84="X", 'Round Bonuses'!$F$6, AD84="X", 'Round Bonuses'!$F$5, AC84="X", 'Round Bonuses'!$F$4, AB84="X", 'Round Bonuses'!$F$3, TRUE, 0), IF(AA84="X", _xludf.IFS(AD84="X", 'Round Bonuses'!$E$4, AF84="X",'Round Bonuses'!$E$6,TRUE, 'Round Bonuses'!$E$7), 0) +IF(AB84="X", 'Round Bonuses'!$E$3, 0)+IF(AC84="X",'Round Bonuses'!$E$4, 0)+IF(AD84="X", 'Round Bonuses'!$E$5, 0)+IF(AE84="X", 'Round Bonuses'!$E$6, 0)+IF(AF84="X", 'Round Bonuses'!$E$7, 0)+IF(AG84="X", 'Round Bonuses'!$E$8, 0)+_xludf.IFS(AL84="W", 'Round Bonuses'!$G$14, AL84="X", 'Round Bonuses'!$G$13, AK84="X", 'Round Bonuses'!$G$12, AJ84="X", 'Round Bonuses'!$G$11, AI84="X", 'Round Bonuses'!$G$10, AH84="X", 'Round Bonuses'!$G$9, TRUE, 0))+_xludf.IFS(N84="W", 'Round Bonuses'!$C$13, N84="X", 'Round Bonuses'!$C$12, M84="X", 'Round Bonuses'!$C$11, L84="X", 'Round Bonuses'!$C$10, K84="X", 'Round Bonuses'!$C$9, J84="X", 'Round Bonuses'!$C$8, I84="X", 'Round Bonuses'!$C$7, H84="X", 'Round Bonuses'!$C$6, G84="X", 'Round Bonuses'!$C$5, F84="X", 'Round Bonuses'!$C$4, E84="X", 'Round Bonuses'!$C$3, D84="X", 'Round Bonuses'!$C$3, TRUE, 0)</f>
        <v>#NAME?</v>
      </c>
      <c r="BA84" s="2">
        <f t="shared" ca="1" si="1"/>
        <v>32.779999999999895</v>
      </c>
      <c r="BB84" s="10" t="e">
        <f t="shared" ca="1" si="2"/>
        <v>#NAME?</v>
      </c>
      <c r="BD84" s="11" t="str">
        <f t="shared" ca="1" si="3"/>
        <v>Granada</v>
      </c>
      <c r="BE84" s="2" t="str">
        <f t="shared" ca="1" si="4"/>
        <v>Spain</v>
      </c>
      <c r="BF84" s="2" t="e">
        <f t="shared" ca="1" si="5"/>
        <v>#NAME?</v>
      </c>
      <c r="BG84" s="2">
        <f t="shared" ca="1" si="6"/>
        <v>15</v>
      </c>
      <c r="BH84" s="2" t="s">
        <v>127</v>
      </c>
      <c r="BI84" s="2" t="s">
        <v>21</v>
      </c>
      <c r="BJ84" s="7">
        <v>4.3156249999999998</v>
      </c>
      <c r="BK84" s="2">
        <v>6</v>
      </c>
      <c r="BL84" s="2">
        <f t="shared" si="10"/>
        <v>82</v>
      </c>
      <c r="BM84" s="2" t="str">
        <f t="shared" si="7"/>
        <v>Nice</v>
      </c>
      <c r="BN84" s="7">
        <f t="shared" ref="BN84:BO84" si="91">BJ84</f>
        <v>4.3156249999999998</v>
      </c>
      <c r="BO84" s="2">
        <f t="shared" si="91"/>
        <v>6</v>
      </c>
      <c r="BS84" s="2" t="str">
        <f t="shared" si="9"/>
        <v>France</v>
      </c>
    </row>
    <row r="85" spans="1:71" ht="13.8" x14ac:dyDescent="0.45">
      <c r="A85" s="2" t="str">
        <f ca="1">IFERROR(__xludf.DUMMYFUNCTION("""COMPUTED_VALUE"""),"Hajduk Split")</f>
        <v>Hajduk Split</v>
      </c>
      <c r="B85" s="2">
        <f ca="1">IFERROR(__xludf.DUMMYFUNCTION("""COMPUTED_VALUE"""),0.809999999999999)</f>
        <v>0.80999999999999905</v>
      </c>
      <c r="C85" s="2" t="str">
        <f ca="1">IFERROR(__xludf.DUMMYFUNCTION("""COMPUTED_VALUE"""),"Croatia")</f>
        <v>Croatia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5">
        <f ca="1">IFERROR(__xludf.DUMMYFUNCTION("""COMPUTED_VALUE"""),0)</f>
        <v>0</v>
      </c>
      <c r="P85" s="2">
        <f ca="1">IFERROR(__xludf.DUMMYFUNCTION("""COMPUTED_VALUE"""),0)</f>
        <v>0</v>
      </c>
      <c r="Q85" s="2">
        <f ca="1">IFERROR(__xludf.DUMMYFUNCTION("""COMPUTED_VALUE"""),0)</f>
        <v>0</v>
      </c>
      <c r="R85" s="2">
        <f ca="1">IFERROR(__xludf.DUMMYFUNCTION("""COMPUTED_VALUE"""),0)</f>
        <v>0</v>
      </c>
      <c r="S85" s="2">
        <f ca="1">IFERROR(__xludf.DUMMYFUNCTION("""COMPUTED_VALUE"""),0)</f>
        <v>0</v>
      </c>
      <c r="T85" s="2">
        <f ca="1">IFERROR(__xludf.DUMMYFUNCTION("""COMPUTED_VALUE"""),0)</f>
        <v>0</v>
      </c>
      <c r="U85" s="2">
        <f ca="1">IFERROR(__xludf.DUMMYFUNCTION("""COMPUTED_VALUE"""),0)</f>
        <v>0</v>
      </c>
      <c r="V85" s="2">
        <f ca="1">IFERROR(__xludf.DUMMYFUNCTION("""COMPUTED_VALUE"""),0)</f>
        <v>0</v>
      </c>
      <c r="W85" s="2">
        <f ca="1">IFERROR(__xludf.DUMMYFUNCTION("""COMPUTED_VALUE"""),0)</f>
        <v>0</v>
      </c>
      <c r="X85" s="2">
        <f ca="1">IFERROR(__xludf.DUMMYFUNCTION("""COMPUTED_VALUE"""),0)</f>
        <v>0</v>
      </c>
      <c r="Y85" s="2">
        <f ca="1">IFERROR(__xludf.DUMMYFUNCTION("""COMPUTED_VALUE"""),0)</f>
        <v>0</v>
      </c>
      <c r="AB85" s="2"/>
      <c r="AC85" s="2"/>
      <c r="AD85" s="2" t="str">
        <f ca="1">IFERROR(__xludf.DUMMYFUNCTION("""COMPUTED_VALUE"""),"X")</f>
        <v>X</v>
      </c>
      <c r="AE85" s="2" t="str">
        <f ca="1">IFERROR(__xludf.DUMMYFUNCTION("""COMPUTED_VALUE"""),"X")</f>
        <v>X</v>
      </c>
      <c r="AF85" s="2"/>
      <c r="AG85" s="2"/>
      <c r="AH85" s="2"/>
      <c r="AI85" s="2"/>
      <c r="AJ85" s="2"/>
      <c r="AK85" s="2"/>
      <c r="AL85" s="2"/>
      <c r="AM85" s="2">
        <f ca="1">IFERROR(__xludf.DUMMYFUNCTION("""COMPUTED_VALUE"""),0)</f>
        <v>0</v>
      </c>
      <c r="AN85" s="2">
        <f ca="1">IFERROR(__xludf.DUMMYFUNCTION("""COMPUTED_VALUE"""),0)</f>
        <v>0</v>
      </c>
      <c r="AO85" s="2">
        <f ca="1">IFERROR(__xludf.DUMMYFUNCTION("""COMPUTED_VALUE"""),2.59874999999999)</f>
        <v>2.5987499999999901</v>
      </c>
      <c r="AP85" s="2">
        <f ca="1">IFERROR(__xludf.DUMMYFUNCTION("""COMPUTED_VALUE"""),0.6)</f>
        <v>0.6</v>
      </c>
      <c r="AQ85" s="2">
        <f ca="1">IFERROR(__xludf.DUMMYFUNCTION("""COMPUTED_VALUE"""),0)</f>
        <v>0</v>
      </c>
      <c r="AR85" s="2">
        <f ca="1">IFERROR(__xludf.DUMMYFUNCTION("""COMPUTED_VALUE"""),0)</f>
        <v>0</v>
      </c>
      <c r="AS85" s="2">
        <f ca="1">IFERROR(__xludf.DUMMYFUNCTION("""COMPUTED_VALUE"""),0)</f>
        <v>0</v>
      </c>
      <c r="AT85" s="2">
        <f ca="1">IFERROR(__xludf.DUMMYFUNCTION("""COMPUTED_VALUE"""),0)</f>
        <v>0</v>
      </c>
      <c r="AU85" s="2">
        <f ca="1">IFERROR(__xludf.DUMMYFUNCTION("""COMPUTED_VALUE"""),0)</f>
        <v>0</v>
      </c>
      <c r="AV85" s="2">
        <f ca="1">IFERROR(__xludf.DUMMYFUNCTION("""COMPUTED_VALUE"""),0)</f>
        <v>0</v>
      </c>
      <c r="AW85" s="2">
        <f ca="1">IFERROR(__xludf.DUMMYFUNCTION("""COMPUTED_VALUE"""),0)</f>
        <v>0</v>
      </c>
      <c r="AY85" s="2">
        <f t="shared" ca="1" si="0"/>
        <v>2</v>
      </c>
      <c r="AZ85" s="2" t="e">
        <f ca="1">IF(NOT(COUNTA(D85:J85)), _xludf.IFS(AL85="W", 'Round Bonuses'!$F$14, AL85="X", 'Round Bonuses'!$F$13, AK85="X", 'Round Bonuses'!$F$12, AJ85="X", 'Round Bonuses'!$F$11, AI85="X", 'Round Bonuses'!$F$10, AH85="X", 'Round Bonuses'!$F$9, AG85="X", 'Round Bonuses'!$F$8, AF85="X", 'Round Bonuses'!$F$7, AE85="X", 'Round Bonuses'!$F$6, AD85="X", 'Round Bonuses'!$F$5, AC85="X", 'Round Bonuses'!$F$4, AB85="X", 'Round Bonuses'!$F$3, TRUE, 0), IF(AA85="X", _xludf.IFS(AD85="X", 'Round Bonuses'!$E$4, AF85="X",'Round Bonuses'!$E$6,TRUE, 'Round Bonuses'!$E$7), 0) +IF(AB85="X", 'Round Bonuses'!$E$3, 0)+IF(AC85="X",'Round Bonuses'!$E$4, 0)+IF(AD85="X", 'Round Bonuses'!$E$5, 0)+IF(AE85="X", 'Round Bonuses'!$E$6, 0)+IF(AF85="X", 'Round Bonuses'!$E$7, 0)+IF(AG85="X", 'Round Bonuses'!$E$8, 0)+_xludf.IFS(AL85="W", 'Round Bonuses'!$G$14, AL85="X", 'Round Bonuses'!$G$13, AK85="X", 'Round Bonuses'!$G$12, AJ85="X", 'Round Bonuses'!$G$11, AI85="X", 'Round Bonuses'!$G$10, AH85="X", 'Round Bonuses'!$G$9, TRUE, 0))+_xludf.IFS(N85="W", 'Round Bonuses'!$C$13, N85="X", 'Round Bonuses'!$C$12, M85="X", 'Round Bonuses'!$C$11, L85="X", 'Round Bonuses'!$C$10, K85="X", 'Round Bonuses'!$C$9, J85="X", 'Round Bonuses'!$C$8, I85="X", 'Round Bonuses'!$C$7, H85="X", 'Round Bonuses'!$C$6, G85="X", 'Round Bonuses'!$C$5, F85="X", 'Round Bonuses'!$C$4, E85="X", 'Round Bonuses'!$C$3, D85="X", 'Round Bonuses'!$C$3, TRUE, 0)</f>
        <v>#NAME?</v>
      </c>
      <c r="BA85" s="2">
        <f t="shared" ca="1" si="1"/>
        <v>3.1987499999999902</v>
      </c>
      <c r="BB85" s="10" t="e">
        <f t="shared" ca="1" si="2"/>
        <v>#NAME?</v>
      </c>
      <c r="BD85" s="11" t="str">
        <f t="shared" ca="1" si="3"/>
        <v>Hajduk Split</v>
      </c>
      <c r="BE85" s="2" t="str">
        <f t="shared" ca="1" si="4"/>
        <v>Croatia</v>
      </c>
      <c r="BF85" s="2" t="e">
        <f t="shared" ca="1" si="5"/>
        <v>#NAME?</v>
      </c>
      <c r="BG85" s="2">
        <f t="shared" ca="1" si="6"/>
        <v>2</v>
      </c>
      <c r="BH85" s="2" t="s">
        <v>128</v>
      </c>
      <c r="BI85" s="2" t="s">
        <v>23</v>
      </c>
      <c r="BJ85" s="7">
        <v>4.2299999999999995</v>
      </c>
      <c r="BK85" s="2">
        <v>3</v>
      </c>
      <c r="BL85" s="2">
        <f t="shared" si="10"/>
        <v>83</v>
      </c>
      <c r="BM85" s="2" t="str">
        <f t="shared" si="7"/>
        <v>VfL Wolfsburg</v>
      </c>
      <c r="BN85" s="7">
        <f t="shared" ref="BN85:BO85" si="92">BJ85</f>
        <v>4.2299999999999995</v>
      </c>
      <c r="BO85" s="2">
        <f t="shared" si="92"/>
        <v>3</v>
      </c>
      <c r="BS85" s="2" t="str">
        <f t="shared" si="9"/>
        <v>Germany</v>
      </c>
    </row>
    <row r="86" spans="1:71" ht="13.8" x14ac:dyDescent="0.45">
      <c r="A86" s="2" t="str">
        <f ca="1">IFERROR(__xludf.DUMMYFUNCTION("""COMPUTED_VALUE"""),"Hammarby IF")</f>
        <v>Hammarby IF</v>
      </c>
      <c r="B86" s="2">
        <f ca="1">IFERROR(__xludf.DUMMYFUNCTION("""COMPUTED_VALUE"""),0.76)</f>
        <v>0.76</v>
      </c>
      <c r="C86" s="2" t="str">
        <f ca="1">IFERROR(__xludf.DUMMYFUNCTION("""COMPUTED_VALUE"""),"Sweden")</f>
        <v>Sweden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5">
        <f ca="1">IFERROR(__xludf.DUMMYFUNCTION("""COMPUTED_VALUE"""),0)</f>
        <v>0</v>
      </c>
      <c r="P86" s="2">
        <f ca="1">IFERROR(__xludf.DUMMYFUNCTION("""COMPUTED_VALUE"""),0)</f>
        <v>0</v>
      </c>
      <c r="Q86" s="2">
        <f ca="1">IFERROR(__xludf.DUMMYFUNCTION("""COMPUTED_VALUE"""),0)</f>
        <v>0</v>
      </c>
      <c r="R86" s="2">
        <f ca="1">IFERROR(__xludf.DUMMYFUNCTION("""COMPUTED_VALUE"""),0)</f>
        <v>0</v>
      </c>
      <c r="S86" s="2">
        <f ca="1">IFERROR(__xludf.DUMMYFUNCTION("""COMPUTED_VALUE"""),0)</f>
        <v>0</v>
      </c>
      <c r="T86" s="2">
        <f ca="1">IFERROR(__xludf.DUMMYFUNCTION("""COMPUTED_VALUE"""),0)</f>
        <v>0</v>
      </c>
      <c r="U86" s="2">
        <f ca="1">IFERROR(__xludf.DUMMYFUNCTION("""COMPUTED_VALUE"""),0)</f>
        <v>0</v>
      </c>
      <c r="V86" s="2">
        <f ca="1">IFERROR(__xludf.DUMMYFUNCTION("""COMPUTED_VALUE"""),0)</f>
        <v>0</v>
      </c>
      <c r="W86" s="2">
        <f ca="1">IFERROR(__xludf.DUMMYFUNCTION("""COMPUTED_VALUE"""),0)</f>
        <v>0</v>
      </c>
      <c r="X86" s="2">
        <f ca="1">IFERROR(__xludf.DUMMYFUNCTION("""COMPUTED_VALUE"""),0)</f>
        <v>0</v>
      </c>
      <c r="Y86" s="2">
        <f ca="1">IFERROR(__xludf.DUMMYFUNCTION("""COMPUTED_VALUE"""),0)</f>
        <v>0</v>
      </c>
      <c r="AB86" s="2"/>
      <c r="AC86" s="2" t="str">
        <f ca="1">IFERROR(__xludf.DUMMYFUNCTION("""COMPUTED_VALUE"""),"X")</f>
        <v>X</v>
      </c>
      <c r="AD86" s="2" t="str">
        <f ca="1">IFERROR(__xludf.DUMMYFUNCTION("""COMPUTED_VALUE"""),"X")</f>
        <v>X</v>
      </c>
      <c r="AE86" s="2"/>
      <c r="AF86" s="2"/>
      <c r="AG86" s="2"/>
      <c r="AH86" s="2"/>
      <c r="AI86" s="2"/>
      <c r="AJ86" s="2"/>
      <c r="AK86" s="2"/>
      <c r="AL86" s="2"/>
      <c r="AM86" s="2">
        <f ca="1">IFERROR(__xludf.DUMMYFUNCTION("""COMPUTED_VALUE"""),0)</f>
        <v>0</v>
      </c>
      <c r="AN86" s="2">
        <f ca="1">IFERROR(__xludf.DUMMYFUNCTION("""COMPUTED_VALUE"""),2.84374999999999)</f>
        <v>2.8437499999999898</v>
      </c>
      <c r="AO86" s="2">
        <f ca="1">IFERROR(__xludf.DUMMYFUNCTION("""COMPUTED_VALUE"""),0.365)</f>
        <v>0.36499999999999999</v>
      </c>
      <c r="AP86" s="2">
        <f ca="1">IFERROR(__xludf.DUMMYFUNCTION("""COMPUTED_VALUE"""),0)</f>
        <v>0</v>
      </c>
      <c r="AQ86" s="2">
        <f ca="1">IFERROR(__xludf.DUMMYFUNCTION("""COMPUTED_VALUE"""),0)</f>
        <v>0</v>
      </c>
      <c r="AR86" s="2">
        <f ca="1">IFERROR(__xludf.DUMMYFUNCTION("""COMPUTED_VALUE"""),0)</f>
        <v>0</v>
      </c>
      <c r="AS86" s="2">
        <f ca="1">IFERROR(__xludf.DUMMYFUNCTION("""COMPUTED_VALUE"""),0)</f>
        <v>0</v>
      </c>
      <c r="AT86" s="2">
        <f ca="1">IFERROR(__xludf.DUMMYFUNCTION("""COMPUTED_VALUE"""),0)</f>
        <v>0</v>
      </c>
      <c r="AU86" s="2">
        <f ca="1">IFERROR(__xludf.DUMMYFUNCTION("""COMPUTED_VALUE"""),0)</f>
        <v>0</v>
      </c>
      <c r="AV86" s="2">
        <f ca="1">IFERROR(__xludf.DUMMYFUNCTION("""COMPUTED_VALUE"""),0)</f>
        <v>0</v>
      </c>
      <c r="AW86" s="2">
        <f ca="1">IFERROR(__xludf.DUMMYFUNCTION("""COMPUTED_VALUE"""),0)</f>
        <v>0</v>
      </c>
      <c r="AY86" s="2">
        <f t="shared" ca="1" si="0"/>
        <v>2</v>
      </c>
      <c r="AZ86" s="2" t="e">
        <f ca="1">IF(NOT(COUNTA(D86:J86)), _xludf.IFS(AL86="W", 'Round Bonuses'!$F$14, AL86="X", 'Round Bonuses'!$F$13, AK86="X", 'Round Bonuses'!$F$12, AJ86="X", 'Round Bonuses'!$F$11, AI86="X", 'Round Bonuses'!$F$10, AH86="X", 'Round Bonuses'!$F$9, AG86="X", 'Round Bonuses'!$F$8, AF86="X", 'Round Bonuses'!$F$7, AE86="X", 'Round Bonuses'!$F$6, AD86="X", 'Round Bonuses'!$F$5, AC86="X", 'Round Bonuses'!$F$4, AB86="X", 'Round Bonuses'!$F$3, TRUE, 0), IF(AA86="X", _xludf.IFS(AD86="X", 'Round Bonuses'!$E$4, AF86="X",'Round Bonuses'!$E$6,TRUE, 'Round Bonuses'!$E$7), 0) +IF(AB86="X", 'Round Bonuses'!$E$3, 0)+IF(AC86="X",'Round Bonuses'!$E$4, 0)+IF(AD86="X", 'Round Bonuses'!$E$5, 0)+IF(AE86="X", 'Round Bonuses'!$E$6, 0)+IF(AF86="X", 'Round Bonuses'!$E$7, 0)+IF(AG86="X", 'Round Bonuses'!$E$8, 0)+_xludf.IFS(AL86="W", 'Round Bonuses'!$G$14, AL86="X", 'Round Bonuses'!$G$13, AK86="X", 'Round Bonuses'!$G$12, AJ86="X", 'Round Bonuses'!$G$11, AI86="X", 'Round Bonuses'!$G$10, AH86="X", 'Round Bonuses'!$G$9, TRUE, 0))+_xludf.IFS(N86="W", 'Round Bonuses'!$C$13, N86="X", 'Round Bonuses'!$C$12, M86="X", 'Round Bonuses'!$C$11, L86="X", 'Round Bonuses'!$C$10, K86="X", 'Round Bonuses'!$C$9, J86="X", 'Round Bonuses'!$C$8, I86="X", 'Round Bonuses'!$C$7, H86="X", 'Round Bonuses'!$C$6, G86="X", 'Round Bonuses'!$C$5, F86="X", 'Round Bonuses'!$C$4, E86="X", 'Round Bonuses'!$C$3, D86="X", 'Round Bonuses'!$C$3, TRUE, 0)</f>
        <v>#NAME?</v>
      </c>
      <c r="BA86" s="2">
        <f t="shared" ca="1" si="1"/>
        <v>3.2087499999999896</v>
      </c>
      <c r="BB86" s="10" t="e">
        <f t="shared" ca="1" si="2"/>
        <v>#NAME?</v>
      </c>
      <c r="BD86" s="11" t="str">
        <f t="shared" ca="1" si="3"/>
        <v>Hammarby IF</v>
      </c>
      <c r="BE86" s="2" t="str">
        <f t="shared" ca="1" si="4"/>
        <v>Sweden</v>
      </c>
      <c r="BF86" s="2" t="e">
        <f t="shared" ca="1" si="5"/>
        <v>#NAME?</v>
      </c>
      <c r="BG86" s="2">
        <f t="shared" ca="1" si="6"/>
        <v>2</v>
      </c>
      <c r="BH86" s="2" t="s">
        <v>129</v>
      </c>
      <c r="BI86" s="2" t="s">
        <v>68</v>
      </c>
      <c r="BJ86" s="7">
        <v>4.2046874999999995</v>
      </c>
      <c r="BK86" s="2">
        <v>4</v>
      </c>
      <c r="BL86" s="2">
        <f t="shared" si="10"/>
        <v>84</v>
      </c>
      <c r="BM86" s="2" t="str">
        <f t="shared" si="7"/>
        <v>Maccabi Haifa</v>
      </c>
      <c r="BN86" s="7">
        <f t="shared" ref="BN86:BO86" si="93">BJ86</f>
        <v>4.2046874999999995</v>
      </c>
      <c r="BO86" s="2">
        <f t="shared" si="93"/>
        <v>4</v>
      </c>
      <c r="BS86" s="2" t="str">
        <f t="shared" si="9"/>
        <v>Israel</v>
      </c>
    </row>
    <row r="87" spans="1:71" ht="13.8" x14ac:dyDescent="0.45">
      <c r="A87" s="2" t="str">
        <f ca="1">IFERROR(__xludf.DUMMYFUNCTION("""COMPUTED_VALUE"""),"Hapoel Be'er Sheva")</f>
        <v>Hapoel Be'er Sheva</v>
      </c>
      <c r="B87" s="2">
        <f ca="1">IFERROR(__xludf.DUMMYFUNCTION("""COMPUTED_VALUE"""),0.71)</f>
        <v>0.71</v>
      </c>
      <c r="C87" s="2" t="str">
        <f ca="1">IFERROR(__xludf.DUMMYFUNCTION("""COMPUTED_VALUE"""),"Israel")</f>
        <v>Israel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5">
        <f ca="1">IFERROR(__xludf.DUMMYFUNCTION("""COMPUTED_VALUE"""),0)</f>
        <v>0</v>
      </c>
      <c r="P87" s="2">
        <f ca="1">IFERROR(__xludf.DUMMYFUNCTION("""COMPUTED_VALUE"""),0)</f>
        <v>0</v>
      </c>
      <c r="Q87" s="2">
        <f ca="1">IFERROR(__xludf.DUMMYFUNCTION("""COMPUTED_VALUE"""),0)</f>
        <v>0</v>
      </c>
      <c r="R87" s="2">
        <f ca="1">IFERROR(__xludf.DUMMYFUNCTION("""COMPUTED_VALUE"""),0)</f>
        <v>0</v>
      </c>
      <c r="S87" s="2">
        <f ca="1">IFERROR(__xludf.DUMMYFUNCTION("""COMPUTED_VALUE"""),0)</f>
        <v>0</v>
      </c>
      <c r="T87" s="2">
        <f ca="1">IFERROR(__xludf.DUMMYFUNCTION("""COMPUTED_VALUE"""),0)</f>
        <v>0</v>
      </c>
      <c r="U87" s="2">
        <f ca="1">IFERROR(__xludf.DUMMYFUNCTION("""COMPUTED_VALUE"""),0)</f>
        <v>0</v>
      </c>
      <c r="V87" s="2">
        <f ca="1">IFERROR(__xludf.DUMMYFUNCTION("""COMPUTED_VALUE"""),0)</f>
        <v>0</v>
      </c>
      <c r="W87" s="2">
        <f ca="1">IFERROR(__xludf.DUMMYFUNCTION("""COMPUTED_VALUE"""),0)</f>
        <v>0</v>
      </c>
      <c r="X87" s="2">
        <f ca="1">IFERROR(__xludf.DUMMYFUNCTION("""COMPUTED_VALUE"""),0)</f>
        <v>0</v>
      </c>
      <c r="Y87" s="2">
        <f ca="1">IFERROR(__xludf.DUMMYFUNCTION("""COMPUTED_VALUE"""),0)</f>
        <v>0</v>
      </c>
      <c r="AB87" s="2"/>
      <c r="AC87" s="2" t="str">
        <f ca="1">IFERROR(__xludf.DUMMYFUNCTION("""COMPUTED_VALUE"""),"X")</f>
        <v>X</v>
      </c>
      <c r="AD87" s="2" t="str">
        <f ca="1">IFERROR(__xludf.DUMMYFUNCTION("""COMPUTED_VALUE"""),"X")</f>
        <v>X</v>
      </c>
      <c r="AE87" s="2" t="str">
        <f ca="1">IFERROR(__xludf.DUMMYFUNCTION("""COMPUTED_VALUE"""),"X")</f>
        <v>X</v>
      </c>
      <c r="AF87" s="2" t="str">
        <f ca="1">IFERROR(__xludf.DUMMYFUNCTION("""COMPUTED_VALUE"""),"X")</f>
        <v>X</v>
      </c>
      <c r="AG87" s="2" t="str">
        <f ca="1">IFERROR(__xludf.DUMMYFUNCTION("""COMPUTED_VALUE"""),"X")</f>
        <v>X</v>
      </c>
      <c r="AH87" s="2"/>
      <c r="AI87" s="2"/>
      <c r="AJ87" s="2"/>
      <c r="AK87" s="2"/>
      <c r="AL87" s="2"/>
      <c r="AM87" s="2">
        <f ca="1">IFERROR(__xludf.DUMMYFUNCTION("""COMPUTED_VALUE"""),0)</f>
        <v>0</v>
      </c>
      <c r="AN87" s="2">
        <f ca="1">IFERROR(__xludf.DUMMYFUNCTION("""COMPUTED_VALUE"""),2.275)</f>
        <v>2.2749999999999999</v>
      </c>
      <c r="AO87" s="2">
        <f ca="1">IFERROR(__xludf.DUMMYFUNCTION("""COMPUTED_VALUE"""),2.5575)</f>
        <v>2.5575000000000001</v>
      </c>
      <c r="AP87" s="2">
        <f ca="1">IFERROR(__xludf.DUMMYFUNCTION("""COMPUTED_VALUE"""),3.4125)</f>
        <v>3.4125000000000001</v>
      </c>
      <c r="AQ87" s="2">
        <f ca="1">IFERROR(__xludf.DUMMYFUNCTION("""COMPUTED_VALUE"""),3.5475)</f>
        <v>3.5474999999999999</v>
      </c>
      <c r="AR87" s="2">
        <f ca="1">IFERROR(__xludf.DUMMYFUNCTION("""COMPUTED_VALUE"""),9.94625)</f>
        <v>9.9462499999999991</v>
      </c>
      <c r="AS87" s="2">
        <f ca="1">IFERROR(__xludf.DUMMYFUNCTION("""COMPUTED_VALUE"""),0)</f>
        <v>0</v>
      </c>
      <c r="AT87" s="2">
        <f ca="1">IFERROR(__xludf.DUMMYFUNCTION("""COMPUTED_VALUE"""),0)</f>
        <v>0</v>
      </c>
      <c r="AU87" s="2">
        <f ca="1">IFERROR(__xludf.DUMMYFUNCTION("""COMPUTED_VALUE"""),0)</f>
        <v>0</v>
      </c>
      <c r="AV87" s="2">
        <f ca="1">IFERROR(__xludf.DUMMYFUNCTION("""COMPUTED_VALUE"""),0)</f>
        <v>0</v>
      </c>
      <c r="AW87" s="2">
        <f ca="1">IFERROR(__xludf.DUMMYFUNCTION("""COMPUTED_VALUE"""),0)</f>
        <v>0</v>
      </c>
      <c r="AY87" s="2">
        <f t="shared" ca="1" si="0"/>
        <v>10</v>
      </c>
      <c r="AZ87" s="2" t="e">
        <f ca="1">IF(NOT(COUNTA(D87:J87)), _xludf.IFS(AL87="W", 'Round Bonuses'!$F$14, AL87="X", 'Round Bonuses'!$F$13, AK87="X", 'Round Bonuses'!$F$12, AJ87="X", 'Round Bonuses'!$F$11, AI87="X", 'Round Bonuses'!$F$10, AH87="X", 'Round Bonuses'!$F$9, AG87="X", 'Round Bonuses'!$F$8, AF87="X", 'Round Bonuses'!$F$7, AE87="X", 'Round Bonuses'!$F$6, AD87="X", 'Round Bonuses'!$F$5, AC87="X", 'Round Bonuses'!$F$4, AB87="X", 'Round Bonuses'!$F$3, TRUE, 0), IF(AA87="X", _xludf.IFS(AD87="X", 'Round Bonuses'!$E$4, AF87="X",'Round Bonuses'!$E$6,TRUE, 'Round Bonuses'!$E$7), 0) +IF(AB87="X", 'Round Bonuses'!$E$3, 0)+IF(AC87="X",'Round Bonuses'!$E$4, 0)+IF(AD87="X", 'Round Bonuses'!$E$5, 0)+IF(AE87="X", 'Round Bonuses'!$E$6, 0)+IF(AF87="X", 'Round Bonuses'!$E$7, 0)+IF(AG87="X", 'Round Bonuses'!$E$8, 0)+_xludf.IFS(AL87="W", 'Round Bonuses'!$G$14, AL87="X", 'Round Bonuses'!$G$13, AK87="X", 'Round Bonuses'!$G$12, AJ87="X", 'Round Bonuses'!$G$11, AI87="X", 'Round Bonuses'!$G$10, AH87="X", 'Round Bonuses'!$G$9, TRUE, 0))+_xludf.IFS(N87="W", 'Round Bonuses'!$C$13, N87="X", 'Round Bonuses'!$C$12, M87="X", 'Round Bonuses'!$C$11, L87="X", 'Round Bonuses'!$C$10, K87="X", 'Round Bonuses'!$C$9, J87="X", 'Round Bonuses'!$C$8, I87="X", 'Round Bonuses'!$C$7, H87="X", 'Round Bonuses'!$C$6, G87="X", 'Round Bonuses'!$C$5, F87="X", 'Round Bonuses'!$C$4, E87="X", 'Round Bonuses'!$C$3, D87="X", 'Round Bonuses'!$C$3, TRUE, 0)</f>
        <v>#NAME?</v>
      </c>
      <c r="BA87" s="2">
        <f t="shared" ca="1" si="1"/>
        <v>21.738749999999996</v>
      </c>
      <c r="BB87" s="10" t="e">
        <f t="shared" ca="1" si="2"/>
        <v>#NAME?</v>
      </c>
      <c r="BD87" s="11" t="str">
        <f t="shared" ca="1" si="3"/>
        <v>Hapoel Be'er Sheva</v>
      </c>
      <c r="BE87" s="2" t="str">
        <f t="shared" ca="1" si="4"/>
        <v>Israel</v>
      </c>
      <c r="BF87" s="2" t="e">
        <f t="shared" ca="1" si="5"/>
        <v>#NAME?</v>
      </c>
      <c r="BG87" s="2">
        <f t="shared" ca="1" si="6"/>
        <v>10</v>
      </c>
      <c r="BH87" s="2" t="s">
        <v>130</v>
      </c>
      <c r="BI87" s="2" t="s">
        <v>80</v>
      </c>
      <c r="BJ87" s="7">
        <v>4.2033333333333331</v>
      </c>
      <c r="BK87" s="2">
        <v>3</v>
      </c>
      <c r="BL87" s="2">
        <f t="shared" si="10"/>
        <v>85</v>
      </c>
      <c r="BM87" s="2" t="str">
        <f t="shared" si="7"/>
        <v>Galatasaray</v>
      </c>
      <c r="BN87" s="7">
        <f t="shared" ref="BN87:BO87" si="94">BJ87</f>
        <v>4.2033333333333331</v>
      </c>
      <c r="BO87" s="2">
        <f t="shared" si="94"/>
        <v>3</v>
      </c>
      <c r="BS87" s="2" t="str">
        <f t="shared" si="9"/>
        <v>Turkey</v>
      </c>
    </row>
    <row r="88" spans="1:71" ht="13.8" x14ac:dyDescent="0.45">
      <c r="A88" s="2" t="str">
        <f ca="1">IFERROR(__xludf.DUMMYFUNCTION("""COMPUTED_VALUE"""),"Hartberg")</f>
        <v>Hartberg</v>
      </c>
      <c r="B88" s="2">
        <f ca="1">IFERROR(__xludf.DUMMYFUNCTION("""COMPUTED_VALUE"""),0.84)</f>
        <v>0.84</v>
      </c>
      <c r="C88" s="2" t="str">
        <f ca="1">IFERROR(__xludf.DUMMYFUNCTION("""COMPUTED_VALUE"""),"Austria")</f>
        <v>Austria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5">
        <f ca="1">IFERROR(__xludf.DUMMYFUNCTION("""COMPUTED_VALUE"""),0)</f>
        <v>0</v>
      </c>
      <c r="P88" s="2">
        <f ca="1">IFERROR(__xludf.DUMMYFUNCTION("""COMPUTED_VALUE"""),0)</f>
        <v>0</v>
      </c>
      <c r="Q88" s="2">
        <f ca="1">IFERROR(__xludf.DUMMYFUNCTION("""COMPUTED_VALUE"""),0)</f>
        <v>0</v>
      </c>
      <c r="R88" s="2">
        <f ca="1">IFERROR(__xludf.DUMMYFUNCTION("""COMPUTED_VALUE"""),0)</f>
        <v>0</v>
      </c>
      <c r="S88" s="2">
        <f ca="1">IFERROR(__xludf.DUMMYFUNCTION("""COMPUTED_VALUE"""),0)</f>
        <v>0</v>
      </c>
      <c r="T88" s="2">
        <f ca="1">IFERROR(__xludf.DUMMYFUNCTION("""COMPUTED_VALUE"""),0)</f>
        <v>0</v>
      </c>
      <c r="U88" s="2">
        <f ca="1">IFERROR(__xludf.DUMMYFUNCTION("""COMPUTED_VALUE"""),0)</f>
        <v>0</v>
      </c>
      <c r="V88" s="2">
        <f ca="1">IFERROR(__xludf.DUMMYFUNCTION("""COMPUTED_VALUE"""),0)</f>
        <v>0</v>
      </c>
      <c r="W88" s="2">
        <f ca="1">IFERROR(__xludf.DUMMYFUNCTION("""COMPUTED_VALUE"""),0)</f>
        <v>0</v>
      </c>
      <c r="X88" s="2">
        <f ca="1">IFERROR(__xludf.DUMMYFUNCTION("""COMPUTED_VALUE"""),0)</f>
        <v>0</v>
      </c>
      <c r="Y88" s="2">
        <f ca="1">IFERROR(__xludf.DUMMYFUNCTION("""COMPUTED_VALUE"""),0)</f>
        <v>0</v>
      </c>
      <c r="AB88" s="2"/>
      <c r="AC88" s="2"/>
      <c r="AD88" s="2" t="str">
        <f ca="1">IFERROR(__xludf.DUMMYFUNCTION("""COMPUTED_VALUE"""),"X")</f>
        <v>X</v>
      </c>
      <c r="AE88" s="2"/>
      <c r="AF88" s="2"/>
      <c r="AG88" s="2"/>
      <c r="AH88" s="2"/>
      <c r="AI88" s="2"/>
      <c r="AJ88" s="2"/>
      <c r="AK88" s="2"/>
      <c r="AL88" s="2"/>
      <c r="AM88" s="2">
        <f ca="1">IFERROR(__xludf.DUMMYFUNCTION("""COMPUTED_VALUE"""),0)</f>
        <v>0</v>
      </c>
      <c r="AN88" s="2">
        <f ca="1">IFERROR(__xludf.DUMMYFUNCTION("""COMPUTED_VALUE"""),0)</f>
        <v>0</v>
      </c>
      <c r="AO88" s="2">
        <f ca="1">IFERROR(__xludf.DUMMYFUNCTION("""COMPUTED_VALUE"""),0.605)</f>
        <v>0.60499999999999998</v>
      </c>
      <c r="AP88" s="2">
        <f ca="1">IFERROR(__xludf.DUMMYFUNCTION("""COMPUTED_VALUE"""),0)</f>
        <v>0</v>
      </c>
      <c r="AQ88" s="2">
        <f ca="1">IFERROR(__xludf.DUMMYFUNCTION("""COMPUTED_VALUE"""),0)</f>
        <v>0</v>
      </c>
      <c r="AR88" s="2">
        <f ca="1">IFERROR(__xludf.DUMMYFUNCTION("""COMPUTED_VALUE"""),0)</f>
        <v>0</v>
      </c>
      <c r="AS88" s="2">
        <f ca="1">IFERROR(__xludf.DUMMYFUNCTION("""COMPUTED_VALUE"""),0)</f>
        <v>0</v>
      </c>
      <c r="AT88" s="2">
        <f ca="1">IFERROR(__xludf.DUMMYFUNCTION("""COMPUTED_VALUE"""),0)</f>
        <v>0</v>
      </c>
      <c r="AU88" s="2">
        <f ca="1">IFERROR(__xludf.DUMMYFUNCTION("""COMPUTED_VALUE"""),0)</f>
        <v>0</v>
      </c>
      <c r="AV88" s="2">
        <f ca="1">IFERROR(__xludf.DUMMYFUNCTION("""COMPUTED_VALUE"""),0)</f>
        <v>0</v>
      </c>
      <c r="AW88" s="2">
        <f ca="1">IFERROR(__xludf.DUMMYFUNCTION("""COMPUTED_VALUE"""),0)</f>
        <v>0</v>
      </c>
      <c r="AY88" s="2">
        <f t="shared" ca="1" si="0"/>
        <v>1</v>
      </c>
      <c r="AZ88" s="2" t="e">
        <f ca="1">IF(NOT(COUNTA(D88:J88)), _xludf.IFS(AL88="W", 'Round Bonuses'!$F$14, AL88="X", 'Round Bonuses'!$F$13, AK88="X", 'Round Bonuses'!$F$12, AJ88="X", 'Round Bonuses'!$F$11, AI88="X", 'Round Bonuses'!$F$10, AH88="X", 'Round Bonuses'!$F$9, AG88="X", 'Round Bonuses'!$F$8, AF88="X", 'Round Bonuses'!$F$7, AE88="X", 'Round Bonuses'!$F$6, AD88="X", 'Round Bonuses'!$F$5, AC88="X", 'Round Bonuses'!$F$4, AB88="X", 'Round Bonuses'!$F$3, TRUE, 0), IF(AA88="X", _xludf.IFS(AD88="X", 'Round Bonuses'!$E$4, AF88="X",'Round Bonuses'!$E$6,TRUE, 'Round Bonuses'!$E$7), 0) +IF(AB88="X", 'Round Bonuses'!$E$3, 0)+IF(AC88="X",'Round Bonuses'!$E$4, 0)+IF(AD88="X", 'Round Bonuses'!$E$5, 0)+IF(AE88="X", 'Round Bonuses'!$E$6, 0)+IF(AF88="X", 'Round Bonuses'!$E$7, 0)+IF(AG88="X", 'Round Bonuses'!$E$8, 0)+_xludf.IFS(AL88="W", 'Round Bonuses'!$G$14, AL88="X", 'Round Bonuses'!$G$13, AK88="X", 'Round Bonuses'!$G$12, AJ88="X", 'Round Bonuses'!$G$11, AI88="X", 'Round Bonuses'!$G$10, AH88="X", 'Round Bonuses'!$G$9, TRUE, 0))+_xludf.IFS(N88="W", 'Round Bonuses'!$C$13, N88="X", 'Round Bonuses'!$C$12, M88="X", 'Round Bonuses'!$C$11, L88="X", 'Round Bonuses'!$C$10, K88="X", 'Round Bonuses'!$C$9, J88="X", 'Round Bonuses'!$C$8, I88="X", 'Round Bonuses'!$C$7, H88="X", 'Round Bonuses'!$C$6, G88="X", 'Round Bonuses'!$C$5, F88="X", 'Round Bonuses'!$C$4, E88="X", 'Round Bonuses'!$C$3, D88="X", 'Round Bonuses'!$C$3, TRUE, 0)</f>
        <v>#NAME?</v>
      </c>
      <c r="BA88" s="2">
        <f t="shared" ca="1" si="1"/>
        <v>0.60499999999999998</v>
      </c>
      <c r="BB88" s="10" t="e">
        <f t="shared" ca="1" si="2"/>
        <v>#NAME?</v>
      </c>
      <c r="BD88" s="11" t="str">
        <f t="shared" ca="1" si="3"/>
        <v>Hartberg</v>
      </c>
      <c r="BE88" s="2" t="str">
        <f t="shared" ca="1" si="4"/>
        <v>Austria</v>
      </c>
      <c r="BF88" s="2" t="e">
        <f t="shared" ca="1" si="5"/>
        <v>#NAME?</v>
      </c>
      <c r="BG88" s="2">
        <f t="shared" ca="1" si="6"/>
        <v>1</v>
      </c>
      <c r="BH88" s="2" t="s">
        <v>131</v>
      </c>
      <c r="BI88" s="2" t="s">
        <v>63</v>
      </c>
      <c r="BJ88" s="7">
        <v>4.1945833333333331</v>
      </c>
      <c r="BK88" s="2">
        <v>3</v>
      </c>
      <c r="BL88" s="2">
        <f t="shared" si="10"/>
        <v>86</v>
      </c>
      <c r="BM88" s="2" t="str">
        <f t="shared" si="7"/>
        <v>Basel</v>
      </c>
      <c r="BN88" s="7">
        <f t="shared" ref="BN88:BO88" si="95">BJ88</f>
        <v>4.1945833333333331</v>
      </c>
      <c r="BO88" s="2">
        <f t="shared" si="95"/>
        <v>3</v>
      </c>
      <c r="BS88" s="2" t="str">
        <f t="shared" si="9"/>
        <v>Switzerland</v>
      </c>
    </row>
    <row r="89" spans="1:71" ht="13.8" x14ac:dyDescent="0.45">
      <c r="A89" s="2" t="str">
        <f ca="1">IFERROR(__xludf.DUMMYFUNCTION("""COMPUTED_VALUE"""),"HB Tórshavn")</f>
        <v>HB Tórshavn</v>
      </c>
      <c r="B89" s="2">
        <f ca="1">IFERROR(__xludf.DUMMYFUNCTION("""COMPUTED_VALUE"""),0.48)</f>
        <v>0.48</v>
      </c>
      <c r="C89" s="2" t="str">
        <f ca="1">IFERROR(__xludf.DUMMYFUNCTION("""COMPUTED_VALUE"""),"Faroe Islands")</f>
        <v>Faroe Islands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5">
        <f ca="1">IFERROR(__xludf.DUMMYFUNCTION("""COMPUTED_VALUE"""),0)</f>
        <v>0</v>
      </c>
      <c r="P89" s="2">
        <f ca="1">IFERROR(__xludf.DUMMYFUNCTION("""COMPUTED_VALUE"""),0)</f>
        <v>0</v>
      </c>
      <c r="Q89" s="2">
        <f ca="1">IFERROR(__xludf.DUMMYFUNCTION("""COMPUTED_VALUE"""),0)</f>
        <v>0</v>
      </c>
      <c r="R89" s="2">
        <f ca="1">IFERROR(__xludf.DUMMYFUNCTION("""COMPUTED_VALUE"""),0)</f>
        <v>0</v>
      </c>
      <c r="S89" s="2">
        <f ca="1">IFERROR(__xludf.DUMMYFUNCTION("""COMPUTED_VALUE"""),0)</f>
        <v>0</v>
      </c>
      <c r="T89" s="2">
        <f ca="1">IFERROR(__xludf.DUMMYFUNCTION("""COMPUTED_VALUE"""),0)</f>
        <v>0</v>
      </c>
      <c r="U89" s="2">
        <f ca="1">IFERROR(__xludf.DUMMYFUNCTION("""COMPUTED_VALUE"""),0)</f>
        <v>0</v>
      </c>
      <c r="V89" s="2">
        <f ca="1">IFERROR(__xludf.DUMMYFUNCTION("""COMPUTED_VALUE"""),0)</f>
        <v>0</v>
      </c>
      <c r="W89" s="2">
        <f ca="1">IFERROR(__xludf.DUMMYFUNCTION("""COMPUTED_VALUE"""),0)</f>
        <v>0</v>
      </c>
      <c r="X89" s="2">
        <f ca="1">IFERROR(__xludf.DUMMYFUNCTION("""COMPUTED_VALUE"""),0)</f>
        <v>0</v>
      </c>
      <c r="Y89" s="2">
        <f ca="1">IFERROR(__xludf.DUMMYFUNCTION("""COMPUTED_VALUE"""),0)</f>
        <v>0</v>
      </c>
      <c r="AB89" s="2" t="str">
        <f ca="1">IFERROR(__xludf.DUMMYFUNCTION("""COMPUTED_VALUE"""),"X")</f>
        <v>X</v>
      </c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>
        <f ca="1">IFERROR(__xludf.DUMMYFUNCTION("""COMPUTED_VALUE"""),0.345)</f>
        <v>0.34499999999999997</v>
      </c>
      <c r="AN89" s="2">
        <f ca="1">IFERROR(__xludf.DUMMYFUNCTION("""COMPUTED_VALUE"""),0)</f>
        <v>0</v>
      </c>
      <c r="AO89" s="2">
        <f ca="1">IFERROR(__xludf.DUMMYFUNCTION("""COMPUTED_VALUE"""),0)</f>
        <v>0</v>
      </c>
      <c r="AP89" s="2">
        <f ca="1">IFERROR(__xludf.DUMMYFUNCTION("""COMPUTED_VALUE"""),0)</f>
        <v>0</v>
      </c>
      <c r="AQ89" s="2">
        <f ca="1">IFERROR(__xludf.DUMMYFUNCTION("""COMPUTED_VALUE"""),0)</f>
        <v>0</v>
      </c>
      <c r="AR89" s="2">
        <f ca="1">IFERROR(__xludf.DUMMYFUNCTION("""COMPUTED_VALUE"""),0)</f>
        <v>0</v>
      </c>
      <c r="AS89" s="2">
        <f ca="1">IFERROR(__xludf.DUMMYFUNCTION("""COMPUTED_VALUE"""),0)</f>
        <v>0</v>
      </c>
      <c r="AT89" s="2">
        <f ca="1">IFERROR(__xludf.DUMMYFUNCTION("""COMPUTED_VALUE"""),0)</f>
        <v>0</v>
      </c>
      <c r="AU89" s="2">
        <f ca="1">IFERROR(__xludf.DUMMYFUNCTION("""COMPUTED_VALUE"""),0)</f>
        <v>0</v>
      </c>
      <c r="AV89" s="2">
        <f ca="1">IFERROR(__xludf.DUMMYFUNCTION("""COMPUTED_VALUE"""),0)</f>
        <v>0</v>
      </c>
      <c r="AW89" s="2">
        <f ca="1">IFERROR(__xludf.DUMMYFUNCTION("""COMPUTED_VALUE"""),0)</f>
        <v>0</v>
      </c>
      <c r="AY89" s="2">
        <f t="shared" ca="1" si="0"/>
        <v>1</v>
      </c>
      <c r="AZ89" s="2" t="e">
        <f ca="1">IF(NOT(COUNTA(D89:J89)), _xludf.IFS(AL89="W", 'Round Bonuses'!$F$14, AL89="X", 'Round Bonuses'!$F$13, AK89="X", 'Round Bonuses'!$F$12, AJ89="X", 'Round Bonuses'!$F$11, AI89="X", 'Round Bonuses'!$F$10, AH89="X", 'Round Bonuses'!$F$9, AG89="X", 'Round Bonuses'!$F$8, AF89="X", 'Round Bonuses'!$F$7, AE89="X", 'Round Bonuses'!$F$6, AD89="X", 'Round Bonuses'!$F$5, AC89="X", 'Round Bonuses'!$F$4, AB89="X", 'Round Bonuses'!$F$3, TRUE, 0), IF(AA89="X", _xludf.IFS(AD89="X", 'Round Bonuses'!$E$4, AF89="X",'Round Bonuses'!$E$6,TRUE, 'Round Bonuses'!$E$7), 0) +IF(AB89="X", 'Round Bonuses'!$E$3, 0)+IF(AC89="X",'Round Bonuses'!$E$4, 0)+IF(AD89="X", 'Round Bonuses'!$E$5, 0)+IF(AE89="X", 'Round Bonuses'!$E$6, 0)+IF(AF89="X", 'Round Bonuses'!$E$7, 0)+IF(AG89="X", 'Round Bonuses'!$E$8, 0)+_xludf.IFS(AL89="W", 'Round Bonuses'!$G$14, AL89="X", 'Round Bonuses'!$G$13, AK89="X", 'Round Bonuses'!$G$12, AJ89="X", 'Round Bonuses'!$G$11, AI89="X", 'Round Bonuses'!$G$10, AH89="X", 'Round Bonuses'!$G$9, TRUE, 0))+_xludf.IFS(N89="W", 'Round Bonuses'!$C$13, N89="X", 'Round Bonuses'!$C$12, M89="X", 'Round Bonuses'!$C$11, L89="X", 'Round Bonuses'!$C$10, K89="X", 'Round Bonuses'!$C$9, J89="X", 'Round Bonuses'!$C$8, I89="X", 'Round Bonuses'!$C$7, H89="X", 'Round Bonuses'!$C$6, G89="X", 'Round Bonuses'!$C$5, F89="X", 'Round Bonuses'!$C$4, E89="X", 'Round Bonuses'!$C$3, D89="X", 'Round Bonuses'!$C$3, TRUE, 0)</f>
        <v>#NAME?</v>
      </c>
      <c r="BA89" s="2">
        <f t="shared" ca="1" si="1"/>
        <v>0.34499999999999997</v>
      </c>
      <c r="BB89" s="10" t="e">
        <f t="shared" ca="1" si="2"/>
        <v>#NAME?</v>
      </c>
      <c r="BD89" s="11" t="str">
        <f t="shared" ca="1" si="3"/>
        <v>HB Tórshavn</v>
      </c>
      <c r="BE89" s="2" t="str">
        <f t="shared" ca="1" si="4"/>
        <v>Faroe Islands</v>
      </c>
      <c r="BF89" s="2" t="e">
        <f t="shared" ca="1" si="5"/>
        <v>#NAME?</v>
      </c>
      <c r="BG89" s="2">
        <f t="shared" ca="1" si="6"/>
        <v>1</v>
      </c>
      <c r="BH89" s="2" t="s">
        <v>132</v>
      </c>
      <c r="BI89" s="2" t="s">
        <v>70</v>
      </c>
      <c r="BJ89" s="7">
        <v>4.1412500000000003</v>
      </c>
      <c r="BK89" s="2">
        <v>3</v>
      </c>
      <c r="BL89" s="2">
        <f t="shared" si="10"/>
        <v>87</v>
      </c>
      <c r="BM89" s="2" t="str">
        <f t="shared" si="7"/>
        <v>Copenhagen</v>
      </c>
      <c r="BN89" s="7">
        <f t="shared" ref="BN89:BO89" si="96">BJ89</f>
        <v>4.1412500000000003</v>
      </c>
      <c r="BO89" s="2">
        <f t="shared" si="96"/>
        <v>3</v>
      </c>
      <c r="BS89" s="2" t="str">
        <f t="shared" si="9"/>
        <v>Denmark</v>
      </c>
    </row>
    <row r="90" spans="1:71" ht="13.8" x14ac:dyDescent="0.45">
      <c r="A90" s="2" t="str">
        <f ca="1">IFERROR(__xludf.DUMMYFUNCTION("""COMPUTED_VALUE"""),"Hibernians")</f>
        <v>Hibernians</v>
      </c>
      <c r="B90" s="2">
        <f ca="1">IFERROR(__xludf.DUMMYFUNCTION("""COMPUTED_VALUE"""),0.53)</f>
        <v>0.53</v>
      </c>
      <c r="C90" s="2" t="str">
        <f ca="1">IFERROR(__xludf.DUMMYFUNCTION("""COMPUTED_VALUE"""),"Malta")</f>
        <v>Malta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5">
        <f ca="1">IFERROR(__xludf.DUMMYFUNCTION("""COMPUTED_VALUE"""),0)</f>
        <v>0</v>
      </c>
      <c r="P90" s="2">
        <f ca="1">IFERROR(__xludf.DUMMYFUNCTION("""COMPUTED_VALUE"""),0)</f>
        <v>0</v>
      </c>
      <c r="Q90" s="2">
        <f ca="1">IFERROR(__xludf.DUMMYFUNCTION("""COMPUTED_VALUE"""),0)</f>
        <v>0</v>
      </c>
      <c r="R90" s="2">
        <f ca="1">IFERROR(__xludf.DUMMYFUNCTION("""COMPUTED_VALUE"""),0)</f>
        <v>0</v>
      </c>
      <c r="S90" s="2">
        <f ca="1">IFERROR(__xludf.DUMMYFUNCTION("""COMPUTED_VALUE"""),0)</f>
        <v>0</v>
      </c>
      <c r="T90" s="2">
        <f ca="1">IFERROR(__xludf.DUMMYFUNCTION("""COMPUTED_VALUE"""),0)</f>
        <v>0</v>
      </c>
      <c r="U90" s="2">
        <f ca="1">IFERROR(__xludf.DUMMYFUNCTION("""COMPUTED_VALUE"""),0)</f>
        <v>0</v>
      </c>
      <c r="V90" s="2">
        <f ca="1">IFERROR(__xludf.DUMMYFUNCTION("""COMPUTED_VALUE"""),0)</f>
        <v>0</v>
      </c>
      <c r="W90" s="2">
        <f ca="1">IFERROR(__xludf.DUMMYFUNCTION("""COMPUTED_VALUE"""),0)</f>
        <v>0</v>
      </c>
      <c r="X90" s="2">
        <f ca="1">IFERROR(__xludf.DUMMYFUNCTION("""COMPUTED_VALUE"""),0)</f>
        <v>0</v>
      </c>
      <c r="Y90" s="2">
        <f ca="1">IFERROR(__xludf.DUMMYFUNCTION("""COMPUTED_VALUE"""),0)</f>
        <v>0</v>
      </c>
      <c r="AB90" s="2"/>
      <c r="AC90" s="2" t="str">
        <f ca="1">IFERROR(__xludf.DUMMYFUNCTION("""COMPUTED_VALUE"""),"X")</f>
        <v>X</v>
      </c>
      <c r="AD90" s="2" t="str">
        <f ca="1">IFERROR(__xludf.DUMMYFUNCTION("""COMPUTED_VALUE"""),"X")</f>
        <v>X</v>
      </c>
      <c r="AE90" s="2"/>
      <c r="AF90" s="2"/>
      <c r="AG90" s="2"/>
      <c r="AH90" s="2"/>
      <c r="AI90" s="2"/>
      <c r="AJ90" s="2"/>
      <c r="AK90" s="2"/>
      <c r="AL90" s="2"/>
      <c r="AM90" s="2">
        <f ca="1">IFERROR(__xludf.DUMMYFUNCTION("""COMPUTED_VALUE"""),0)</f>
        <v>0</v>
      </c>
      <c r="AN90" s="2">
        <f ca="1">IFERROR(__xludf.DUMMYFUNCTION("""COMPUTED_VALUE"""),2.465)</f>
        <v>2.4649999999999999</v>
      </c>
      <c r="AO90" s="2">
        <f ca="1">IFERROR(__xludf.DUMMYFUNCTION("""COMPUTED_VALUE"""),0.534999999999999)</f>
        <v>0.53499999999999903</v>
      </c>
      <c r="AP90" s="2">
        <f ca="1">IFERROR(__xludf.DUMMYFUNCTION("""COMPUTED_VALUE"""),0)</f>
        <v>0</v>
      </c>
      <c r="AQ90" s="2">
        <f ca="1">IFERROR(__xludf.DUMMYFUNCTION("""COMPUTED_VALUE"""),0)</f>
        <v>0</v>
      </c>
      <c r="AR90" s="2">
        <f ca="1">IFERROR(__xludf.DUMMYFUNCTION("""COMPUTED_VALUE"""),0)</f>
        <v>0</v>
      </c>
      <c r="AS90" s="2">
        <f ca="1">IFERROR(__xludf.DUMMYFUNCTION("""COMPUTED_VALUE"""),0)</f>
        <v>0</v>
      </c>
      <c r="AT90" s="2">
        <f ca="1">IFERROR(__xludf.DUMMYFUNCTION("""COMPUTED_VALUE"""),0)</f>
        <v>0</v>
      </c>
      <c r="AU90" s="2">
        <f ca="1">IFERROR(__xludf.DUMMYFUNCTION("""COMPUTED_VALUE"""),0)</f>
        <v>0</v>
      </c>
      <c r="AV90" s="2">
        <f ca="1">IFERROR(__xludf.DUMMYFUNCTION("""COMPUTED_VALUE"""),0)</f>
        <v>0</v>
      </c>
      <c r="AW90" s="2">
        <f ca="1">IFERROR(__xludf.DUMMYFUNCTION("""COMPUTED_VALUE"""),0)</f>
        <v>0</v>
      </c>
      <c r="AY90" s="2">
        <f t="shared" ca="1" si="0"/>
        <v>2</v>
      </c>
      <c r="AZ90" s="2" t="e">
        <f ca="1">IF(NOT(COUNTA(D90:J90)), _xludf.IFS(AL90="W", 'Round Bonuses'!$F$14, AL90="X", 'Round Bonuses'!$F$13, AK90="X", 'Round Bonuses'!$F$12, AJ90="X", 'Round Bonuses'!$F$11, AI90="X", 'Round Bonuses'!$F$10, AH90="X", 'Round Bonuses'!$F$9, AG90="X", 'Round Bonuses'!$F$8, AF90="X", 'Round Bonuses'!$F$7, AE90="X", 'Round Bonuses'!$F$6, AD90="X", 'Round Bonuses'!$F$5, AC90="X", 'Round Bonuses'!$F$4, AB90="X", 'Round Bonuses'!$F$3, TRUE, 0), IF(AA90="X", _xludf.IFS(AD90="X", 'Round Bonuses'!$E$4, AF90="X",'Round Bonuses'!$E$6,TRUE, 'Round Bonuses'!$E$7), 0) +IF(AB90="X", 'Round Bonuses'!$E$3, 0)+IF(AC90="X",'Round Bonuses'!$E$4, 0)+IF(AD90="X", 'Round Bonuses'!$E$5, 0)+IF(AE90="X", 'Round Bonuses'!$E$6, 0)+IF(AF90="X", 'Round Bonuses'!$E$7, 0)+IF(AG90="X", 'Round Bonuses'!$E$8, 0)+_xludf.IFS(AL90="W", 'Round Bonuses'!$G$14, AL90="X", 'Round Bonuses'!$G$13, AK90="X", 'Round Bonuses'!$G$12, AJ90="X", 'Round Bonuses'!$G$11, AI90="X", 'Round Bonuses'!$G$10, AH90="X", 'Round Bonuses'!$G$9, TRUE, 0))+_xludf.IFS(N90="W", 'Round Bonuses'!$C$13, N90="X", 'Round Bonuses'!$C$12, M90="X", 'Round Bonuses'!$C$11, L90="X", 'Round Bonuses'!$C$10, K90="X", 'Round Bonuses'!$C$9, J90="X", 'Round Bonuses'!$C$8, I90="X", 'Round Bonuses'!$C$7, H90="X", 'Round Bonuses'!$C$6, G90="X", 'Round Bonuses'!$C$5, F90="X", 'Round Bonuses'!$C$4, E90="X", 'Round Bonuses'!$C$3, D90="X", 'Round Bonuses'!$C$3, TRUE, 0)</f>
        <v>#NAME?</v>
      </c>
      <c r="BA90" s="2">
        <f t="shared" ca="1" si="1"/>
        <v>2.9999999999999991</v>
      </c>
      <c r="BB90" s="10" t="e">
        <f t="shared" ca="1" si="2"/>
        <v>#NAME?</v>
      </c>
      <c r="BD90" s="11" t="str">
        <f t="shared" ca="1" si="3"/>
        <v>Hibernians</v>
      </c>
      <c r="BE90" s="2" t="str">
        <f t="shared" ca="1" si="4"/>
        <v>Malta</v>
      </c>
      <c r="BF90" s="2" t="e">
        <f t="shared" ca="1" si="5"/>
        <v>#NAME?</v>
      </c>
      <c r="BG90" s="2">
        <f t="shared" ca="1" si="6"/>
        <v>2</v>
      </c>
      <c r="BH90" s="2" t="s">
        <v>133</v>
      </c>
      <c r="BI90" s="2" t="s">
        <v>58</v>
      </c>
      <c r="BJ90" s="7">
        <v>4.1068749999999996</v>
      </c>
      <c r="BK90" s="2">
        <v>4</v>
      </c>
      <c r="BL90" s="2">
        <f t="shared" si="10"/>
        <v>88</v>
      </c>
      <c r="BM90" s="2" t="str">
        <f t="shared" si="7"/>
        <v>Rosenborg</v>
      </c>
      <c r="BN90" s="7">
        <f t="shared" ref="BN90:BO90" si="97">BJ90</f>
        <v>4.1068749999999996</v>
      </c>
      <c r="BO90" s="2">
        <f t="shared" si="97"/>
        <v>4</v>
      </c>
      <c r="BS90" s="2" t="str">
        <f t="shared" si="9"/>
        <v>Norway</v>
      </c>
    </row>
    <row r="91" spans="1:71" ht="13.8" x14ac:dyDescent="0.45">
      <c r="A91" s="2" t="str">
        <f ca="1">IFERROR(__xludf.DUMMYFUNCTION("""COMPUTED_VALUE"""),"Honka")</f>
        <v>Honka</v>
      </c>
      <c r="B91" s="2">
        <f ca="1">IFERROR(__xludf.DUMMYFUNCTION("""COMPUTED_VALUE"""),0.59)</f>
        <v>0.59</v>
      </c>
      <c r="C91" s="2" t="str">
        <f ca="1">IFERROR(__xludf.DUMMYFUNCTION("""COMPUTED_VALUE"""),"Finland")</f>
        <v>Finland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5">
        <f ca="1">IFERROR(__xludf.DUMMYFUNCTION("""COMPUTED_VALUE"""),0)</f>
        <v>0</v>
      </c>
      <c r="P91" s="2">
        <f ca="1">IFERROR(__xludf.DUMMYFUNCTION("""COMPUTED_VALUE"""),0)</f>
        <v>0</v>
      </c>
      <c r="Q91" s="2">
        <f ca="1">IFERROR(__xludf.DUMMYFUNCTION("""COMPUTED_VALUE"""),0)</f>
        <v>0</v>
      </c>
      <c r="R91" s="2">
        <f ca="1">IFERROR(__xludf.DUMMYFUNCTION("""COMPUTED_VALUE"""),0)</f>
        <v>0</v>
      </c>
      <c r="S91" s="2">
        <f ca="1">IFERROR(__xludf.DUMMYFUNCTION("""COMPUTED_VALUE"""),0)</f>
        <v>0</v>
      </c>
      <c r="T91" s="2">
        <f ca="1">IFERROR(__xludf.DUMMYFUNCTION("""COMPUTED_VALUE"""),0)</f>
        <v>0</v>
      </c>
      <c r="U91" s="2">
        <f ca="1">IFERROR(__xludf.DUMMYFUNCTION("""COMPUTED_VALUE"""),0)</f>
        <v>0</v>
      </c>
      <c r="V91" s="2">
        <f ca="1">IFERROR(__xludf.DUMMYFUNCTION("""COMPUTED_VALUE"""),0)</f>
        <v>0</v>
      </c>
      <c r="W91" s="2">
        <f ca="1">IFERROR(__xludf.DUMMYFUNCTION("""COMPUTED_VALUE"""),0)</f>
        <v>0</v>
      </c>
      <c r="X91" s="2">
        <f ca="1">IFERROR(__xludf.DUMMYFUNCTION("""COMPUTED_VALUE"""),0)</f>
        <v>0</v>
      </c>
      <c r="Y91" s="2">
        <f ca="1">IFERROR(__xludf.DUMMYFUNCTION("""COMPUTED_VALUE"""),0)</f>
        <v>0</v>
      </c>
      <c r="AB91" s="2"/>
      <c r="AC91" s="2" t="str">
        <f ca="1">IFERROR(__xludf.DUMMYFUNCTION("""COMPUTED_VALUE"""),"X")</f>
        <v>X</v>
      </c>
      <c r="AD91" s="2"/>
      <c r="AE91" s="2"/>
      <c r="AF91" s="2"/>
      <c r="AG91" s="2"/>
      <c r="AH91" s="2"/>
      <c r="AI91" s="2"/>
      <c r="AJ91" s="2"/>
      <c r="AK91" s="2"/>
      <c r="AL91" s="2"/>
      <c r="AM91" s="2">
        <f ca="1">IFERROR(__xludf.DUMMYFUNCTION("""COMPUTED_VALUE"""),0)</f>
        <v>0</v>
      </c>
      <c r="AN91" s="2">
        <f ca="1">IFERROR(__xludf.DUMMYFUNCTION("""COMPUTED_VALUE"""),0.434999999999999)</f>
        <v>0.434999999999999</v>
      </c>
      <c r="AO91" s="2">
        <f ca="1">IFERROR(__xludf.DUMMYFUNCTION("""COMPUTED_VALUE"""),0)</f>
        <v>0</v>
      </c>
      <c r="AP91" s="2">
        <f ca="1">IFERROR(__xludf.DUMMYFUNCTION("""COMPUTED_VALUE"""),0)</f>
        <v>0</v>
      </c>
      <c r="AQ91" s="2">
        <f ca="1">IFERROR(__xludf.DUMMYFUNCTION("""COMPUTED_VALUE"""),0)</f>
        <v>0</v>
      </c>
      <c r="AR91" s="2">
        <f ca="1">IFERROR(__xludf.DUMMYFUNCTION("""COMPUTED_VALUE"""),0)</f>
        <v>0</v>
      </c>
      <c r="AS91" s="2">
        <f ca="1">IFERROR(__xludf.DUMMYFUNCTION("""COMPUTED_VALUE"""),0)</f>
        <v>0</v>
      </c>
      <c r="AT91" s="2">
        <f ca="1">IFERROR(__xludf.DUMMYFUNCTION("""COMPUTED_VALUE"""),0)</f>
        <v>0</v>
      </c>
      <c r="AU91" s="2">
        <f ca="1">IFERROR(__xludf.DUMMYFUNCTION("""COMPUTED_VALUE"""),0)</f>
        <v>0</v>
      </c>
      <c r="AV91" s="2">
        <f ca="1">IFERROR(__xludf.DUMMYFUNCTION("""COMPUTED_VALUE"""),0)</f>
        <v>0</v>
      </c>
      <c r="AW91" s="2">
        <f ca="1">IFERROR(__xludf.DUMMYFUNCTION("""COMPUTED_VALUE"""),0)</f>
        <v>0</v>
      </c>
      <c r="AY91" s="2">
        <f t="shared" ca="1" si="0"/>
        <v>1</v>
      </c>
      <c r="AZ91" s="2" t="e">
        <f ca="1">IF(NOT(COUNTA(D91:J91)), _xludf.IFS(AL91="W", 'Round Bonuses'!$F$14, AL91="X", 'Round Bonuses'!$F$13, AK91="X", 'Round Bonuses'!$F$12, AJ91="X", 'Round Bonuses'!$F$11, AI91="X", 'Round Bonuses'!$F$10, AH91="X", 'Round Bonuses'!$F$9, AG91="X", 'Round Bonuses'!$F$8, AF91="X", 'Round Bonuses'!$F$7, AE91="X", 'Round Bonuses'!$F$6, AD91="X", 'Round Bonuses'!$F$5, AC91="X", 'Round Bonuses'!$F$4, AB91="X", 'Round Bonuses'!$F$3, TRUE, 0), IF(AA91="X", _xludf.IFS(AD91="X", 'Round Bonuses'!$E$4, AF91="X",'Round Bonuses'!$E$6,TRUE, 'Round Bonuses'!$E$7), 0) +IF(AB91="X", 'Round Bonuses'!$E$3, 0)+IF(AC91="X",'Round Bonuses'!$E$4, 0)+IF(AD91="X", 'Round Bonuses'!$E$5, 0)+IF(AE91="X", 'Round Bonuses'!$E$6, 0)+IF(AF91="X", 'Round Bonuses'!$E$7, 0)+IF(AG91="X", 'Round Bonuses'!$E$8, 0)+_xludf.IFS(AL91="W", 'Round Bonuses'!$G$14, AL91="X", 'Round Bonuses'!$G$13, AK91="X", 'Round Bonuses'!$G$12, AJ91="X", 'Round Bonuses'!$G$11, AI91="X", 'Round Bonuses'!$G$10, AH91="X", 'Round Bonuses'!$G$9, TRUE, 0))+_xludf.IFS(N91="W", 'Round Bonuses'!$C$13, N91="X", 'Round Bonuses'!$C$12, M91="X", 'Round Bonuses'!$C$11, L91="X", 'Round Bonuses'!$C$10, K91="X", 'Round Bonuses'!$C$9, J91="X", 'Round Bonuses'!$C$8, I91="X", 'Round Bonuses'!$C$7, H91="X", 'Round Bonuses'!$C$6, G91="X", 'Round Bonuses'!$C$5, F91="X", 'Round Bonuses'!$C$4, E91="X", 'Round Bonuses'!$C$3, D91="X", 'Round Bonuses'!$C$3, TRUE, 0)</f>
        <v>#NAME?</v>
      </c>
      <c r="BA91" s="2">
        <f t="shared" ca="1" si="1"/>
        <v>0.434999999999999</v>
      </c>
      <c r="BB91" s="10" t="e">
        <f t="shared" ca="1" si="2"/>
        <v>#NAME?</v>
      </c>
      <c r="BD91" s="11" t="str">
        <f t="shared" ca="1" si="3"/>
        <v>Honka</v>
      </c>
      <c r="BE91" s="2" t="str">
        <f t="shared" ca="1" si="4"/>
        <v>Finland</v>
      </c>
      <c r="BF91" s="2" t="e">
        <f t="shared" ca="1" si="5"/>
        <v>#NAME?</v>
      </c>
      <c r="BG91" s="2">
        <f t="shared" ca="1" si="6"/>
        <v>1</v>
      </c>
      <c r="BH91" s="2" t="s">
        <v>134</v>
      </c>
      <c r="BI91" s="2" t="s">
        <v>135</v>
      </c>
      <c r="BJ91" s="7">
        <v>4.1059374999999996</v>
      </c>
      <c r="BK91" s="2">
        <v>4</v>
      </c>
      <c r="BL91" s="2">
        <f t="shared" si="10"/>
        <v>89</v>
      </c>
      <c r="BM91" s="2" t="str">
        <f t="shared" si="7"/>
        <v>KÍ</v>
      </c>
      <c r="BN91" s="7">
        <f t="shared" ref="BN91:BO91" si="98">BJ91</f>
        <v>4.1059374999999996</v>
      </c>
      <c r="BO91" s="2">
        <f t="shared" si="98"/>
        <v>4</v>
      </c>
      <c r="BS91" s="2" t="str">
        <f t="shared" si="9"/>
        <v>Faroe Islands</v>
      </c>
    </row>
    <row r="92" spans="1:71" ht="13.8" x14ac:dyDescent="0.45">
      <c r="A92" s="2" t="str">
        <f ca="1">IFERROR(__xludf.DUMMYFUNCTION("""COMPUTED_VALUE"""),"Honvéd")</f>
        <v>Honvéd</v>
      </c>
      <c r="B92" s="2">
        <f ca="1">IFERROR(__xludf.DUMMYFUNCTION("""COMPUTED_VALUE"""),0.649999999999999)</f>
        <v>0.64999999999999902</v>
      </c>
      <c r="C92" s="2" t="str">
        <f ca="1">IFERROR(__xludf.DUMMYFUNCTION("""COMPUTED_VALUE"""),"Hungary")</f>
        <v>Hungary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5">
        <f ca="1">IFERROR(__xludf.DUMMYFUNCTION("""COMPUTED_VALUE"""),0)</f>
        <v>0</v>
      </c>
      <c r="P92" s="2">
        <f ca="1">IFERROR(__xludf.DUMMYFUNCTION("""COMPUTED_VALUE"""),0)</f>
        <v>0</v>
      </c>
      <c r="Q92" s="2">
        <f ca="1">IFERROR(__xludf.DUMMYFUNCTION("""COMPUTED_VALUE"""),0)</f>
        <v>0</v>
      </c>
      <c r="R92" s="2">
        <f ca="1">IFERROR(__xludf.DUMMYFUNCTION("""COMPUTED_VALUE"""),0)</f>
        <v>0</v>
      </c>
      <c r="S92" s="2">
        <f ca="1">IFERROR(__xludf.DUMMYFUNCTION("""COMPUTED_VALUE"""),0)</f>
        <v>0</v>
      </c>
      <c r="T92" s="2">
        <f ca="1">IFERROR(__xludf.DUMMYFUNCTION("""COMPUTED_VALUE"""),0)</f>
        <v>0</v>
      </c>
      <c r="U92" s="2">
        <f ca="1">IFERROR(__xludf.DUMMYFUNCTION("""COMPUTED_VALUE"""),0)</f>
        <v>0</v>
      </c>
      <c r="V92" s="2">
        <f ca="1">IFERROR(__xludf.DUMMYFUNCTION("""COMPUTED_VALUE"""),0)</f>
        <v>0</v>
      </c>
      <c r="W92" s="2">
        <f ca="1">IFERROR(__xludf.DUMMYFUNCTION("""COMPUTED_VALUE"""),0)</f>
        <v>0</v>
      </c>
      <c r="X92" s="2">
        <f ca="1">IFERROR(__xludf.DUMMYFUNCTION("""COMPUTED_VALUE"""),0)</f>
        <v>0</v>
      </c>
      <c r="Y92" s="2">
        <f ca="1">IFERROR(__xludf.DUMMYFUNCTION("""COMPUTED_VALUE"""),0)</f>
        <v>0</v>
      </c>
      <c r="AB92" s="2"/>
      <c r="AC92" s="2" t="str">
        <f ca="1">IFERROR(__xludf.DUMMYFUNCTION("""COMPUTED_VALUE"""),"X")</f>
        <v>X</v>
      </c>
      <c r="AD92" s="2" t="str">
        <f ca="1">IFERROR(__xludf.DUMMYFUNCTION("""COMPUTED_VALUE"""),"X")</f>
        <v>X</v>
      </c>
      <c r="AE92" s="2"/>
      <c r="AF92" s="2"/>
      <c r="AG92" s="2"/>
      <c r="AH92" s="2"/>
      <c r="AI92" s="2"/>
      <c r="AJ92" s="2"/>
      <c r="AK92" s="2"/>
      <c r="AL92" s="2"/>
      <c r="AM92" s="2">
        <f ca="1">IFERROR(__xludf.DUMMYFUNCTION("""COMPUTED_VALUE"""),0)</f>
        <v>0</v>
      </c>
      <c r="AN92" s="2">
        <f ca="1">IFERROR(__xludf.DUMMYFUNCTION("""COMPUTED_VALUE"""),2.51625)</f>
        <v>2.5162499999999999</v>
      </c>
      <c r="AO92" s="2">
        <f ca="1">IFERROR(__xludf.DUMMYFUNCTION("""COMPUTED_VALUE"""),0.52)</f>
        <v>0.52</v>
      </c>
      <c r="AP92" s="2">
        <f ca="1">IFERROR(__xludf.DUMMYFUNCTION("""COMPUTED_VALUE"""),0)</f>
        <v>0</v>
      </c>
      <c r="AQ92" s="2">
        <f ca="1">IFERROR(__xludf.DUMMYFUNCTION("""COMPUTED_VALUE"""),0)</f>
        <v>0</v>
      </c>
      <c r="AR92" s="2">
        <f ca="1">IFERROR(__xludf.DUMMYFUNCTION("""COMPUTED_VALUE"""),0)</f>
        <v>0</v>
      </c>
      <c r="AS92" s="2">
        <f ca="1">IFERROR(__xludf.DUMMYFUNCTION("""COMPUTED_VALUE"""),0)</f>
        <v>0</v>
      </c>
      <c r="AT92" s="2">
        <f ca="1">IFERROR(__xludf.DUMMYFUNCTION("""COMPUTED_VALUE"""),0)</f>
        <v>0</v>
      </c>
      <c r="AU92" s="2">
        <f ca="1">IFERROR(__xludf.DUMMYFUNCTION("""COMPUTED_VALUE"""),0)</f>
        <v>0</v>
      </c>
      <c r="AV92" s="2">
        <f ca="1">IFERROR(__xludf.DUMMYFUNCTION("""COMPUTED_VALUE"""),0)</f>
        <v>0</v>
      </c>
      <c r="AW92" s="2">
        <f ca="1">IFERROR(__xludf.DUMMYFUNCTION("""COMPUTED_VALUE"""),0)</f>
        <v>0</v>
      </c>
      <c r="AY92" s="2">
        <f t="shared" ca="1" si="0"/>
        <v>2</v>
      </c>
      <c r="AZ92" s="2" t="e">
        <f ca="1">IF(NOT(COUNTA(D92:J92)), _xludf.IFS(AL92="W", 'Round Bonuses'!$F$14, AL92="X", 'Round Bonuses'!$F$13, AK92="X", 'Round Bonuses'!$F$12, AJ92="X", 'Round Bonuses'!$F$11, AI92="X", 'Round Bonuses'!$F$10, AH92="X", 'Round Bonuses'!$F$9, AG92="X", 'Round Bonuses'!$F$8, AF92="X", 'Round Bonuses'!$F$7, AE92="X", 'Round Bonuses'!$F$6, AD92="X", 'Round Bonuses'!$F$5, AC92="X", 'Round Bonuses'!$F$4, AB92="X", 'Round Bonuses'!$F$3, TRUE, 0), IF(AA92="X", _xludf.IFS(AD92="X", 'Round Bonuses'!$E$4, AF92="X",'Round Bonuses'!$E$6,TRUE, 'Round Bonuses'!$E$7), 0) +IF(AB92="X", 'Round Bonuses'!$E$3, 0)+IF(AC92="X",'Round Bonuses'!$E$4, 0)+IF(AD92="X", 'Round Bonuses'!$E$5, 0)+IF(AE92="X", 'Round Bonuses'!$E$6, 0)+IF(AF92="X", 'Round Bonuses'!$E$7, 0)+IF(AG92="X", 'Round Bonuses'!$E$8, 0)+_xludf.IFS(AL92="W", 'Round Bonuses'!$G$14, AL92="X", 'Round Bonuses'!$G$13, AK92="X", 'Round Bonuses'!$G$12, AJ92="X", 'Round Bonuses'!$G$11, AI92="X", 'Round Bonuses'!$G$10, AH92="X", 'Round Bonuses'!$G$9, TRUE, 0))+_xludf.IFS(N92="W", 'Round Bonuses'!$C$13, N92="X", 'Round Bonuses'!$C$12, M92="X", 'Round Bonuses'!$C$11, L92="X", 'Round Bonuses'!$C$10, K92="X", 'Round Bonuses'!$C$9, J92="X", 'Round Bonuses'!$C$8, I92="X", 'Round Bonuses'!$C$7, H92="X", 'Round Bonuses'!$C$6, G92="X", 'Round Bonuses'!$C$5, F92="X", 'Round Bonuses'!$C$4, E92="X", 'Round Bonuses'!$C$3, D92="X", 'Round Bonuses'!$C$3, TRUE, 0)</f>
        <v>#NAME?</v>
      </c>
      <c r="BA92" s="2">
        <f t="shared" ca="1" si="1"/>
        <v>3.0362499999999999</v>
      </c>
      <c r="BB92" s="10" t="e">
        <f t="shared" ca="1" si="2"/>
        <v>#NAME?</v>
      </c>
      <c r="BD92" s="11" t="str">
        <f t="shared" ca="1" si="3"/>
        <v>Honvéd</v>
      </c>
      <c r="BE92" s="2" t="str">
        <f t="shared" ca="1" si="4"/>
        <v>Hungary</v>
      </c>
      <c r="BF92" s="2" t="e">
        <f t="shared" ca="1" si="5"/>
        <v>#NAME?</v>
      </c>
      <c r="BG92" s="2">
        <f t="shared" ca="1" si="6"/>
        <v>2</v>
      </c>
      <c r="BH92" s="2" t="s">
        <v>136</v>
      </c>
      <c r="BI92" s="2" t="s">
        <v>94</v>
      </c>
      <c r="BJ92" s="7">
        <v>4.0618749999999997</v>
      </c>
      <c r="BK92" s="2">
        <v>4</v>
      </c>
      <c r="BL92" s="2">
        <f t="shared" si="10"/>
        <v>90</v>
      </c>
      <c r="BM92" s="2" t="str">
        <f t="shared" si="7"/>
        <v>APOEL</v>
      </c>
      <c r="BN92" s="7">
        <f t="shared" ref="BN92:BO92" si="99">BJ92</f>
        <v>4.0618749999999997</v>
      </c>
      <c r="BO92" s="2">
        <f t="shared" si="99"/>
        <v>4</v>
      </c>
      <c r="BS92" s="2" t="str">
        <f t="shared" si="9"/>
        <v>Cyprus</v>
      </c>
    </row>
    <row r="93" spans="1:71" ht="13.8" x14ac:dyDescent="0.45">
      <c r="A93" s="2" t="str">
        <f ca="1">IFERROR(__xludf.DUMMYFUNCTION("""COMPUTED_VALUE"""),"IFK Göteborg")</f>
        <v>IFK Göteborg</v>
      </c>
      <c r="B93" s="2">
        <f ca="1">IFERROR(__xludf.DUMMYFUNCTION("""COMPUTED_VALUE"""),0.76)</f>
        <v>0.76</v>
      </c>
      <c r="C93" s="2" t="str">
        <f ca="1">IFERROR(__xludf.DUMMYFUNCTION("""COMPUTED_VALUE"""),"Sweden")</f>
        <v>Sweden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5">
        <f ca="1">IFERROR(__xludf.DUMMYFUNCTION("""COMPUTED_VALUE"""),0)</f>
        <v>0</v>
      </c>
      <c r="P93" s="2">
        <f ca="1">IFERROR(__xludf.DUMMYFUNCTION("""COMPUTED_VALUE"""),0)</f>
        <v>0</v>
      </c>
      <c r="Q93" s="2">
        <f ca="1">IFERROR(__xludf.DUMMYFUNCTION("""COMPUTED_VALUE"""),0)</f>
        <v>0</v>
      </c>
      <c r="R93" s="2">
        <f ca="1">IFERROR(__xludf.DUMMYFUNCTION("""COMPUTED_VALUE"""),0)</f>
        <v>0</v>
      </c>
      <c r="S93" s="2">
        <f ca="1">IFERROR(__xludf.DUMMYFUNCTION("""COMPUTED_VALUE"""),0)</f>
        <v>0</v>
      </c>
      <c r="T93" s="2">
        <f ca="1">IFERROR(__xludf.DUMMYFUNCTION("""COMPUTED_VALUE"""),0)</f>
        <v>0</v>
      </c>
      <c r="U93" s="2">
        <f ca="1">IFERROR(__xludf.DUMMYFUNCTION("""COMPUTED_VALUE"""),0)</f>
        <v>0</v>
      </c>
      <c r="V93" s="2">
        <f ca="1">IFERROR(__xludf.DUMMYFUNCTION("""COMPUTED_VALUE"""),0)</f>
        <v>0</v>
      </c>
      <c r="W93" s="2">
        <f ca="1">IFERROR(__xludf.DUMMYFUNCTION("""COMPUTED_VALUE"""),0)</f>
        <v>0</v>
      </c>
      <c r="X93" s="2">
        <f ca="1">IFERROR(__xludf.DUMMYFUNCTION("""COMPUTED_VALUE"""),0)</f>
        <v>0</v>
      </c>
      <c r="Y93" s="2">
        <f ca="1">IFERROR(__xludf.DUMMYFUNCTION("""COMPUTED_VALUE"""),0)</f>
        <v>0</v>
      </c>
      <c r="AB93" s="2"/>
      <c r="AC93" s="2"/>
      <c r="AD93" s="2" t="str">
        <f ca="1">IFERROR(__xludf.DUMMYFUNCTION("""COMPUTED_VALUE"""),"X")</f>
        <v>X</v>
      </c>
      <c r="AE93" s="2"/>
      <c r="AF93" s="2"/>
      <c r="AG93" s="2"/>
      <c r="AH93" s="2"/>
      <c r="AI93" s="2"/>
      <c r="AJ93" s="2"/>
      <c r="AK93" s="2"/>
      <c r="AL93" s="2"/>
      <c r="AM93" s="2">
        <f ca="1">IFERROR(__xludf.DUMMYFUNCTION("""COMPUTED_VALUE"""),0)</f>
        <v>0</v>
      </c>
      <c r="AN93" s="2">
        <f ca="1">IFERROR(__xludf.DUMMYFUNCTION("""COMPUTED_VALUE"""),0)</f>
        <v>0</v>
      </c>
      <c r="AO93" s="2">
        <f ca="1">IFERROR(__xludf.DUMMYFUNCTION("""COMPUTED_VALUE"""),0.705)</f>
        <v>0.70499999999999996</v>
      </c>
      <c r="AP93" s="2">
        <f ca="1">IFERROR(__xludf.DUMMYFUNCTION("""COMPUTED_VALUE"""),0)</f>
        <v>0</v>
      </c>
      <c r="AQ93" s="2">
        <f ca="1">IFERROR(__xludf.DUMMYFUNCTION("""COMPUTED_VALUE"""),0)</f>
        <v>0</v>
      </c>
      <c r="AR93" s="2">
        <f ca="1">IFERROR(__xludf.DUMMYFUNCTION("""COMPUTED_VALUE"""),0)</f>
        <v>0</v>
      </c>
      <c r="AS93" s="2">
        <f ca="1">IFERROR(__xludf.DUMMYFUNCTION("""COMPUTED_VALUE"""),0)</f>
        <v>0</v>
      </c>
      <c r="AT93" s="2">
        <f ca="1">IFERROR(__xludf.DUMMYFUNCTION("""COMPUTED_VALUE"""),0)</f>
        <v>0</v>
      </c>
      <c r="AU93" s="2">
        <f ca="1">IFERROR(__xludf.DUMMYFUNCTION("""COMPUTED_VALUE"""),0)</f>
        <v>0</v>
      </c>
      <c r="AV93" s="2">
        <f ca="1">IFERROR(__xludf.DUMMYFUNCTION("""COMPUTED_VALUE"""),0)</f>
        <v>0</v>
      </c>
      <c r="AW93" s="2">
        <f ca="1">IFERROR(__xludf.DUMMYFUNCTION("""COMPUTED_VALUE"""),0)</f>
        <v>0</v>
      </c>
      <c r="AY93" s="2">
        <f t="shared" ca="1" si="0"/>
        <v>1</v>
      </c>
      <c r="AZ93" s="2" t="e">
        <f ca="1">IF(NOT(COUNTA(D93:J93)), _xludf.IFS(AL93="W", 'Round Bonuses'!$F$14, AL93="X", 'Round Bonuses'!$F$13, AK93="X", 'Round Bonuses'!$F$12, AJ93="X", 'Round Bonuses'!$F$11, AI93="X", 'Round Bonuses'!$F$10, AH93="X", 'Round Bonuses'!$F$9, AG93="X", 'Round Bonuses'!$F$8, AF93="X", 'Round Bonuses'!$F$7, AE93="X", 'Round Bonuses'!$F$6, AD93="X", 'Round Bonuses'!$F$5, AC93="X", 'Round Bonuses'!$F$4, AB93="X", 'Round Bonuses'!$F$3, TRUE, 0), IF(AA93="X", _xludf.IFS(AD93="X", 'Round Bonuses'!$E$4, AF93="X",'Round Bonuses'!$E$6,TRUE, 'Round Bonuses'!$E$7), 0) +IF(AB93="X", 'Round Bonuses'!$E$3, 0)+IF(AC93="X",'Round Bonuses'!$E$4, 0)+IF(AD93="X", 'Round Bonuses'!$E$5, 0)+IF(AE93="X", 'Round Bonuses'!$E$6, 0)+IF(AF93="X", 'Round Bonuses'!$E$7, 0)+IF(AG93="X", 'Round Bonuses'!$E$8, 0)+_xludf.IFS(AL93="W", 'Round Bonuses'!$G$14, AL93="X", 'Round Bonuses'!$G$13, AK93="X", 'Round Bonuses'!$G$12, AJ93="X", 'Round Bonuses'!$G$11, AI93="X", 'Round Bonuses'!$G$10, AH93="X", 'Round Bonuses'!$G$9, TRUE, 0))+_xludf.IFS(N93="W", 'Round Bonuses'!$C$13, N93="X", 'Round Bonuses'!$C$12, M93="X", 'Round Bonuses'!$C$11, L93="X", 'Round Bonuses'!$C$10, K93="X", 'Round Bonuses'!$C$9, J93="X", 'Round Bonuses'!$C$8, I93="X", 'Round Bonuses'!$C$7, H93="X", 'Round Bonuses'!$C$6, G93="X", 'Round Bonuses'!$C$5, F93="X", 'Round Bonuses'!$C$4, E93="X", 'Round Bonuses'!$C$3, D93="X", 'Round Bonuses'!$C$3, TRUE, 0)</f>
        <v>#NAME?</v>
      </c>
      <c r="BA93" s="2">
        <f t="shared" ca="1" si="1"/>
        <v>0.70499999999999996</v>
      </c>
      <c r="BB93" s="10" t="e">
        <f t="shared" ca="1" si="2"/>
        <v>#NAME?</v>
      </c>
      <c r="BD93" s="11" t="str">
        <f t="shared" ca="1" si="3"/>
        <v>IFK Göteborg</v>
      </c>
      <c r="BE93" s="2" t="str">
        <f t="shared" ca="1" si="4"/>
        <v>Sweden</v>
      </c>
      <c r="BF93" s="2" t="e">
        <f t="shared" ca="1" si="5"/>
        <v>#NAME?</v>
      </c>
      <c r="BG93" s="2">
        <f t="shared" ca="1" si="6"/>
        <v>1</v>
      </c>
      <c r="BH93" s="2" t="s">
        <v>137</v>
      </c>
      <c r="BI93" s="2" t="s">
        <v>48</v>
      </c>
      <c r="BJ93" s="7">
        <v>4.0008333333333326</v>
      </c>
      <c r="BK93" s="2">
        <v>3</v>
      </c>
      <c r="BL93" s="2">
        <f t="shared" si="10"/>
        <v>91</v>
      </c>
      <c r="BM93" s="2" t="str">
        <f t="shared" si="7"/>
        <v>Viktoria Plzeň</v>
      </c>
      <c r="BN93" s="7">
        <f t="shared" ref="BN93:BO93" si="100">BJ93</f>
        <v>4.0008333333333326</v>
      </c>
      <c r="BO93" s="2">
        <f t="shared" si="100"/>
        <v>3</v>
      </c>
      <c r="BS93" s="2" t="str">
        <f t="shared" si="9"/>
        <v>Czech Republic</v>
      </c>
    </row>
    <row r="94" spans="1:71" ht="13.8" x14ac:dyDescent="0.45">
      <c r="A94" s="2" t="str">
        <f ca="1">IFERROR(__xludf.DUMMYFUNCTION("""COMPUTED_VALUE"""),"Ilves")</f>
        <v>Ilves</v>
      </c>
      <c r="B94" s="2">
        <f ca="1">IFERROR(__xludf.DUMMYFUNCTION("""COMPUTED_VALUE"""),0.6)</f>
        <v>0.6</v>
      </c>
      <c r="C94" s="2" t="str">
        <f ca="1">IFERROR(__xludf.DUMMYFUNCTION("""COMPUTED_VALUE"""),"Finland")</f>
        <v>Finland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5">
        <f ca="1">IFERROR(__xludf.DUMMYFUNCTION("""COMPUTED_VALUE"""),0)</f>
        <v>0</v>
      </c>
      <c r="P94" s="2">
        <f ca="1">IFERROR(__xludf.DUMMYFUNCTION("""COMPUTED_VALUE"""),0)</f>
        <v>0</v>
      </c>
      <c r="Q94" s="2">
        <f ca="1">IFERROR(__xludf.DUMMYFUNCTION("""COMPUTED_VALUE"""),0)</f>
        <v>0</v>
      </c>
      <c r="R94" s="2">
        <f ca="1">IFERROR(__xludf.DUMMYFUNCTION("""COMPUTED_VALUE"""),0)</f>
        <v>0</v>
      </c>
      <c r="S94" s="2">
        <f ca="1">IFERROR(__xludf.DUMMYFUNCTION("""COMPUTED_VALUE"""),0)</f>
        <v>0</v>
      </c>
      <c r="T94" s="2">
        <f ca="1">IFERROR(__xludf.DUMMYFUNCTION("""COMPUTED_VALUE"""),0)</f>
        <v>0</v>
      </c>
      <c r="U94" s="2">
        <f ca="1">IFERROR(__xludf.DUMMYFUNCTION("""COMPUTED_VALUE"""),0)</f>
        <v>0</v>
      </c>
      <c r="V94" s="2">
        <f ca="1">IFERROR(__xludf.DUMMYFUNCTION("""COMPUTED_VALUE"""),0)</f>
        <v>0</v>
      </c>
      <c r="W94" s="2">
        <f ca="1">IFERROR(__xludf.DUMMYFUNCTION("""COMPUTED_VALUE"""),0)</f>
        <v>0</v>
      </c>
      <c r="X94" s="2">
        <f ca="1">IFERROR(__xludf.DUMMYFUNCTION("""COMPUTED_VALUE"""),0)</f>
        <v>0</v>
      </c>
      <c r="Y94" s="2">
        <f ca="1">IFERROR(__xludf.DUMMYFUNCTION("""COMPUTED_VALUE"""),0)</f>
        <v>0</v>
      </c>
      <c r="AB94" s="2"/>
      <c r="AC94" s="2" t="str">
        <f ca="1">IFERROR(__xludf.DUMMYFUNCTION("""COMPUTED_VALUE"""),"X")</f>
        <v>X</v>
      </c>
      <c r="AD94" s="2"/>
      <c r="AE94" s="2"/>
      <c r="AF94" s="2"/>
      <c r="AG94" s="2"/>
      <c r="AH94" s="2"/>
      <c r="AI94" s="2"/>
      <c r="AJ94" s="2"/>
      <c r="AK94" s="2"/>
      <c r="AL94" s="2"/>
      <c r="AM94" s="2">
        <f ca="1">IFERROR(__xludf.DUMMYFUNCTION("""COMPUTED_VALUE"""),0)</f>
        <v>0</v>
      </c>
      <c r="AN94" s="2">
        <f ca="1">IFERROR(__xludf.DUMMYFUNCTION("""COMPUTED_VALUE"""),0.61)</f>
        <v>0.61</v>
      </c>
      <c r="AO94" s="2">
        <f ca="1">IFERROR(__xludf.DUMMYFUNCTION("""COMPUTED_VALUE"""),0)</f>
        <v>0</v>
      </c>
      <c r="AP94" s="2">
        <f ca="1">IFERROR(__xludf.DUMMYFUNCTION("""COMPUTED_VALUE"""),0)</f>
        <v>0</v>
      </c>
      <c r="AQ94" s="2">
        <f ca="1">IFERROR(__xludf.DUMMYFUNCTION("""COMPUTED_VALUE"""),0)</f>
        <v>0</v>
      </c>
      <c r="AR94" s="2">
        <f ca="1">IFERROR(__xludf.DUMMYFUNCTION("""COMPUTED_VALUE"""),0)</f>
        <v>0</v>
      </c>
      <c r="AS94" s="2">
        <f ca="1">IFERROR(__xludf.DUMMYFUNCTION("""COMPUTED_VALUE"""),0)</f>
        <v>0</v>
      </c>
      <c r="AT94" s="2">
        <f ca="1">IFERROR(__xludf.DUMMYFUNCTION("""COMPUTED_VALUE"""),0)</f>
        <v>0</v>
      </c>
      <c r="AU94" s="2">
        <f ca="1">IFERROR(__xludf.DUMMYFUNCTION("""COMPUTED_VALUE"""),0)</f>
        <v>0</v>
      </c>
      <c r="AV94" s="2">
        <f ca="1">IFERROR(__xludf.DUMMYFUNCTION("""COMPUTED_VALUE"""),0)</f>
        <v>0</v>
      </c>
      <c r="AW94" s="2">
        <f ca="1">IFERROR(__xludf.DUMMYFUNCTION("""COMPUTED_VALUE"""),0)</f>
        <v>0</v>
      </c>
      <c r="AY94" s="2">
        <f t="shared" ca="1" si="0"/>
        <v>1</v>
      </c>
      <c r="AZ94" s="2" t="e">
        <f ca="1">IF(NOT(COUNTA(D94:J94)), _xludf.IFS(AL94="W", 'Round Bonuses'!$F$14, AL94="X", 'Round Bonuses'!$F$13, AK94="X", 'Round Bonuses'!$F$12, AJ94="X", 'Round Bonuses'!$F$11, AI94="X", 'Round Bonuses'!$F$10, AH94="X", 'Round Bonuses'!$F$9, AG94="X", 'Round Bonuses'!$F$8, AF94="X", 'Round Bonuses'!$F$7, AE94="X", 'Round Bonuses'!$F$6, AD94="X", 'Round Bonuses'!$F$5, AC94="X", 'Round Bonuses'!$F$4, AB94="X", 'Round Bonuses'!$F$3, TRUE, 0), IF(AA94="X", _xludf.IFS(AD94="X", 'Round Bonuses'!$E$4, AF94="X",'Round Bonuses'!$E$6,TRUE, 'Round Bonuses'!$E$7), 0) +IF(AB94="X", 'Round Bonuses'!$E$3, 0)+IF(AC94="X",'Round Bonuses'!$E$4, 0)+IF(AD94="X", 'Round Bonuses'!$E$5, 0)+IF(AE94="X", 'Round Bonuses'!$E$6, 0)+IF(AF94="X", 'Round Bonuses'!$E$7, 0)+IF(AG94="X", 'Round Bonuses'!$E$8, 0)+_xludf.IFS(AL94="W", 'Round Bonuses'!$G$14, AL94="X", 'Round Bonuses'!$G$13, AK94="X", 'Round Bonuses'!$G$12, AJ94="X", 'Round Bonuses'!$G$11, AI94="X", 'Round Bonuses'!$G$10, AH94="X", 'Round Bonuses'!$G$9, TRUE, 0))+_xludf.IFS(N94="W", 'Round Bonuses'!$C$13, N94="X", 'Round Bonuses'!$C$12, M94="X", 'Round Bonuses'!$C$11, L94="X", 'Round Bonuses'!$C$10, K94="X", 'Round Bonuses'!$C$9, J94="X", 'Round Bonuses'!$C$8, I94="X", 'Round Bonuses'!$C$7, H94="X", 'Round Bonuses'!$C$6, G94="X", 'Round Bonuses'!$C$5, F94="X", 'Round Bonuses'!$C$4, E94="X", 'Round Bonuses'!$C$3, D94="X", 'Round Bonuses'!$C$3, TRUE, 0)</f>
        <v>#NAME?</v>
      </c>
      <c r="BA94" s="2">
        <f t="shared" ca="1" si="1"/>
        <v>0.61</v>
      </c>
      <c r="BB94" s="10" t="e">
        <f t="shared" ca="1" si="2"/>
        <v>#NAME?</v>
      </c>
      <c r="BD94" s="11" t="str">
        <f t="shared" ca="1" si="3"/>
        <v>Ilves</v>
      </c>
      <c r="BE94" s="2" t="str">
        <f t="shared" ca="1" si="4"/>
        <v>Finland</v>
      </c>
      <c r="BF94" s="2" t="e">
        <f t="shared" ca="1" si="5"/>
        <v>#NAME?</v>
      </c>
      <c r="BG94" s="2">
        <f t="shared" ca="1" si="6"/>
        <v>1</v>
      </c>
      <c r="BH94" s="2" t="s">
        <v>138</v>
      </c>
      <c r="BI94" s="2" t="s">
        <v>27</v>
      </c>
      <c r="BJ94" s="7">
        <v>3.940833333333333</v>
      </c>
      <c r="BK94" s="2">
        <v>3</v>
      </c>
      <c r="BL94" s="2">
        <f t="shared" si="10"/>
        <v>92</v>
      </c>
      <c r="BM94" s="2" t="str">
        <f t="shared" si="7"/>
        <v>Rio Ave</v>
      </c>
      <c r="BN94" s="7">
        <f t="shared" ref="BN94:BO94" si="101">BJ94</f>
        <v>3.940833333333333</v>
      </c>
      <c r="BO94" s="2">
        <f t="shared" si="101"/>
        <v>3</v>
      </c>
      <c r="BS94" s="2" t="str">
        <f t="shared" si="9"/>
        <v>Portugal</v>
      </c>
    </row>
    <row r="95" spans="1:71" ht="13.8" x14ac:dyDescent="0.45">
      <c r="A95" s="2" t="str">
        <f ca="1">IFERROR(__xludf.DUMMYFUNCTION("""COMPUTED_VALUE"""),"Inter Club d'Escaldes")</f>
        <v>Inter Club d'Escaldes</v>
      </c>
      <c r="B95" s="2">
        <f ca="1">IFERROR(__xludf.DUMMYFUNCTION("""COMPUTED_VALUE"""),0.459999999999999)</f>
        <v>0.45999999999999902</v>
      </c>
      <c r="C95" s="2" t="str">
        <f ca="1">IFERROR(__xludf.DUMMYFUNCTION("""COMPUTED_VALUE"""),"Andorra")</f>
        <v>Andorra</v>
      </c>
      <c r="D95" s="2" t="str">
        <f ca="1">IFERROR(__xludf.DUMMYFUNCTION("""COMPUTED_VALUE"""),"X")</f>
        <v>X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5">
        <f ca="1">IFERROR(__xludf.DUMMYFUNCTION("""COMPUTED_VALUE"""),0.345)</f>
        <v>0.34499999999999997</v>
      </c>
      <c r="P95" s="2">
        <f ca="1">IFERROR(__xludf.DUMMYFUNCTION("""COMPUTED_VALUE"""),0)</f>
        <v>0</v>
      </c>
      <c r="Q95" s="2">
        <f ca="1">IFERROR(__xludf.DUMMYFUNCTION("""COMPUTED_VALUE"""),0)</f>
        <v>0</v>
      </c>
      <c r="R95" s="2">
        <f ca="1">IFERROR(__xludf.DUMMYFUNCTION("""COMPUTED_VALUE"""),0)</f>
        <v>0</v>
      </c>
      <c r="S95" s="2">
        <f ca="1">IFERROR(__xludf.DUMMYFUNCTION("""COMPUTED_VALUE"""),0)</f>
        <v>0</v>
      </c>
      <c r="T95" s="2">
        <f ca="1">IFERROR(__xludf.DUMMYFUNCTION("""COMPUTED_VALUE"""),0)</f>
        <v>0</v>
      </c>
      <c r="U95" s="2">
        <f ca="1">IFERROR(__xludf.DUMMYFUNCTION("""COMPUTED_VALUE"""),0)</f>
        <v>0</v>
      </c>
      <c r="V95" s="2">
        <f ca="1">IFERROR(__xludf.DUMMYFUNCTION("""COMPUTED_VALUE"""),0)</f>
        <v>0</v>
      </c>
      <c r="W95" s="2">
        <f ca="1">IFERROR(__xludf.DUMMYFUNCTION("""COMPUTED_VALUE"""),0)</f>
        <v>0</v>
      </c>
      <c r="X95" s="2">
        <f ca="1">IFERROR(__xludf.DUMMYFUNCTION("""COMPUTED_VALUE"""),0)</f>
        <v>0</v>
      </c>
      <c r="Y95" s="2">
        <f ca="1">IFERROR(__xludf.DUMMYFUNCTION("""COMPUTED_VALUE"""),0)</f>
        <v>0</v>
      </c>
      <c r="AA95" s="3" t="s">
        <v>39</v>
      </c>
      <c r="AB95" s="2"/>
      <c r="AC95" s="2"/>
      <c r="AD95" s="2" t="str">
        <f ca="1">IFERROR(__xludf.DUMMYFUNCTION("""COMPUTED_VALUE"""),"X")</f>
        <v>X</v>
      </c>
      <c r="AE95" s="2"/>
      <c r="AF95" s="2"/>
      <c r="AG95" s="2"/>
      <c r="AH95" s="2"/>
      <c r="AI95" s="2"/>
      <c r="AJ95" s="2"/>
      <c r="AK95" s="2"/>
      <c r="AL95" s="2"/>
      <c r="AM95" s="2">
        <f ca="1">IFERROR(__xludf.DUMMYFUNCTION("""COMPUTED_VALUE"""),0)</f>
        <v>0</v>
      </c>
      <c r="AN95" s="2">
        <f ca="1">IFERROR(__xludf.DUMMYFUNCTION("""COMPUTED_VALUE"""),0)</f>
        <v>0</v>
      </c>
      <c r="AO95" s="2">
        <f ca="1">IFERROR(__xludf.DUMMYFUNCTION("""COMPUTED_VALUE"""),0.505)</f>
        <v>0.505</v>
      </c>
      <c r="AP95" s="2">
        <f ca="1">IFERROR(__xludf.DUMMYFUNCTION("""COMPUTED_VALUE"""),0)</f>
        <v>0</v>
      </c>
      <c r="AQ95" s="2">
        <f ca="1">IFERROR(__xludf.DUMMYFUNCTION("""COMPUTED_VALUE"""),0)</f>
        <v>0</v>
      </c>
      <c r="AR95" s="2">
        <f ca="1">IFERROR(__xludf.DUMMYFUNCTION("""COMPUTED_VALUE"""),0)</f>
        <v>0</v>
      </c>
      <c r="AS95" s="2">
        <f ca="1">IFERROR(__xludf.DUMMYFUNCTION("""COMPUTED_VALUE"""),0)</f>
        <v>0</v>
      </c>
      <c r="AT95" s="2">
        <f ca="1">IFERROR(__xludf.DUMMYFUNCTION("""COMPUTED_VALUE"""),0)</f>
        <v>0</v>
      </c>
      <c r="AU95" s="2">
        <f ca="1">IFERROR(__xludf.DUMMYFUNCTION("""COMPUTED_VALUE"""),0)</f>
        <v>0</v>
      </c>
      <c r="AV95" s="2">
        <f ca="1">IFERROR(__xludf.DUMMYFUNCTION("""COMPUTED_VALUE"""),0)</f>
        <v>0</v>
      </c>
      <c r="AW95" s="2">
        <f ca="1">IFERROR(__xludf.DUMMYFUNCTION("""COMPUTED_VALUE"""),0)</f>
        <v>0</v>
      </c>
      <c r="AY95" s="2">
        <f t="shared" ca="1" si="0"/>
        <v>2</v>
      </c>
      <c r="AZ95" s="2" t="e">
        <f ca="1">IF(NOT(COUNTA(D95:J95)), _xludf.IFS(AL95="W", 'Round Bonuses'!$F$14, AL95="X", 'Round Bonuses'!$F$13, AK95="X", 'Round Bonuses'!$F$12, AJ95="X", 'Round Bonuses'!$F$11, AI95="X", 'Round Bonuses'!$F$10, AH95="X", 'Round Bonuses'!$F$9, AG95="X", 'Round Bonuses'!$F$8, AF95="X", 'Round Bonuses'!$F$7, AE95="X", 'Round Bonuses'!$F$6, AD95="X", 'Round Bonuses'!$F$5, AC95="X", 'Round Bonuses'!$F$4, AB95="X", 'Round Bonuses'!$F$3, TRUE, 0), IF(AA95="X", _xludf.IFS(AD95="X", 'Round Bonuses'!$E$4, AF95="X",'Round Bonuses'!$E$6,TRUE, 'Round Bonuses'!$E$7), 0) +IF(AB95="X", 'Round Bonuses'!$E$3, 0)+IF(AC95="X",'Round Bonuses'!$E$4, 0)+IF(AD95="X", 'Round Bonuses'!$E$5, 0)+IF(AE95="X", 'Round Bonuses'!$E$6, 0)+IF(AF95="X", 'Round Bonuses'!$E$7, 0)+IF(AG95="X", 'Round Bonuses'!$E$8, 0)+_xludf.IFS(AL95="W", 'Round Bonuses'!$G$14, AL95="X", 'Round Bonuses'!$G$13, AK95="X", 'Round Bonuses'!$G$12, AJ95="X", 'Round Bonuses'!$G$11, AI95="X", 'Round Bonuses'!$G$10, AH95="X", 'Round Bonuses'!$G$9, TRUE, 0))+_xludf.IFS(N95="W", 'Round Bonuses'!$C$13, N95="X", 'Round Bonuses'!$C$12, M95="X", 'Round Bonuses'!$C$11, L95="X", 'Round Bonuses'!$C$10, K95="X", 'Round Bonuses'!$C$9, J95="X", 'Round Bonuses'!$C$8, I95="X", 'Round Bonuses'!$C$7, H95="X", 'Round Bonuses'!$C$6, G95="X", 'Round Bonuses'!$C$5, F95="X", 'Round Bonuses'!$C$4, E95="X", 'Round Bonuses'!$C$3, D95="X", 'Round Bonuses'!$C$3, TRUE, 0)</f>
        <v>#NAME?</v>
      </c>
      <c r="BA95" s="2">
        <f t="shared" ca="1" si="1"/>
        <v>0.85</v>
      </c>
      <c r="BB95" s="10" t="e">
        <f t="shared" ca="1" si="2"/>
        <v>#NAME?</v>
      </c>
      <c r="BD95" s="11" t="str">
        <f t="shared" ca="1" si="3"/>
        <v>Inter Club d'Escaldes</v>
      </c>
      <c r="BE95" s="2" t="str">
        <f t="shared" ca="1" si="4"/>
        <v>Andorra</v>
      </c>
      <c r="BF95" s="2" t="e">
        <f t="shared" ca="1" si="5"/>
        <v>#NAME?</v>
      </c>
      <c r="BG95" s="2">
        <f t="shared" ca="1" si="6"/>
        <v>2</v>
      </c>
      <c r="BH95" s="2" t="s">
        <v>139</v>
      </c>
      <c r="BI95" s="2" t="s">
        <v>73</v>
      </c>
      <c r="BJ95" s="7">
        <v>3.8253124999999999</v>
      </c>
      <c r="BK95" s="2">
        <v>4</v>
      </c>
      <c r="BL95" s="2">
        <f t="shared" si="10"/>
        <v>93</v>
      </c>
      <c r="BM95" s="2" t="str">
        <f t="shared" si="7"/>
        <v>Fehérvár</v>
      </c>
      <c r="BN95" s="7">
        <f t="shared" ref="BN95:BO95" si="102">BJ95</f>
        <v>3.8253124999999999</v>
      </c>
      <c r="BO95" s="2">
        <f t="shared" si="102"/>
        <v>4</v>
      </c>
      <c r="BS95" s="2" t="str">
        <f t="shared" si="9"/>
        <v>Hungary</v>
      </c>
    </row>
    <row r="96" spans="1:71" ht="13.8" x14ac:dyDescent="0.45">
      <c r="A96" s="2" t="str">
        <f ca="1">IFERROR(__xludf.DUMMYFUNCTION("""COMPUTED_VALUE"""),"Inter Milan")</f>
        <v>Inter Milan</v>
      </c>
      <c r="B96" s="2">
        <f ca="1">IFERROR(__xludf.DUMMYFUNCTION("""COMPUTED_VALUE"""),0.96)</f>
        <v>0.96</v>
      </c>
      <c r="C96" s="2" t="str">
        <f ca="1">IFERROR(__xludf.DUMMYFUNCTION("""COMPUTED_VALUE"""),"Italy")</f>
        <v>Italy</v>
      </c>
      <c r="D96" s="2"/>
      <c r="E96" s="2"/>
      <c r="F96" s="2"/>
      <c r="G96" s="2"/>
      <c r="H96" s="2"/>
      <c r="I96" s="2"/>
      <c r="J96" s="2" t="str">
        <f ca="1">IFERROR(__xludf.DUMMYFUNCTION("""COMPUTED_VALUE"""),"X")</f>
        <v>X</v>
      </c>
      <c r="K96" s="2"/>
      <c r="L96" s="2"/>
      <c r="M96" s="2"/>
      <c r="N96" s="2"/>
      <c r="O96" s="5">
        <f ca="1">IFERROR(__xludf.DUMMYFUNCTION("""COMPUTED_VALUE"""),0)</f>
        <v>0</v>
      </c>
      <c r="P96" s="2">
        <f ca="1">IFERROR(__xludf.DUMMYFUNCTION("""COMPUTED_VALUE"""),0)</f>
        <v>0</v>
      </c>
      <c r="Q96" s="2">
        <f ca="1">IFERROR(__xludf.DUMMYFUNCTION("""COMPUTED_VALUE"""),0)</f>
        <v>0</v>
      </c>
      <c r="R96" s="2">
        <f ca="1">IFERROR(__xludf.DUMMYFUNCTION("""COMPUTED_VALUE"""),0)</f>
        <v>0</v>
      </c>
      <c r="S96" s="2">
        <f ca="1">IFERROR(__xludf.DUMMYFUNCTION("""COMPUTED_VALUE"""),0)</f>
        <v>0</v>
      </c>
      <c r="T96" s="2">
        <f ca="1">IFERROR(__xludf.DUMMYFUNCTION("""COMPUTED_VALUE"""),0)</f>
        <v>0</v>
      </c>
      <c r="U96" s="2">
        <f ca="1">IFERROR(__xludf.DUMMYFUNCTION("""COMPUTED_VALUE"""),10.94125)</f>
        <v>10.94125</v>
      </c>
      <c r="V96" s="2">
        <f ca="1">IFERROR(__xludf.DUMMYFUNCTION("""COMPUTED_VALUE"""),0)</f>
        <v>0</v>
      </c>
      <c r="W96" s="2">
        <f ca="1">IFERROR(__xludf.DUMMYFUNCTION("""COMPUTED_VALUE"""),0)</f>
        <v>0</v>
      </c>
      <c r="X96" s="2">
        <f ca="1">IFERROR(__xludf.DUMMYFUNCTION("""COMPUTED_VALUE"""),0)</f>
        <v>0</v>
      </c>
      <c r="Y96" s="2">
        <f ca="1">IFERROR(__xludf.DUMMYFUNCTION("""COMPUTED_VALUE"""),0)</f>
        <v>0</v>
      </c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>
        <f ca="1">IFERROR(__xludf.DUMMYFUNCTION("""COMPUTED_VALUE"""),0)</f>
        <v>0</v>
      </c>
      <c r="AN96" s="2">
        <f ca="1">IFERROR(__xludf.DUMMYFUNCTION("""COMPUTED_VALUE"""),0)</f>
        <v>0</v>
      </c>
      <c r="AO96" s="2">
        <f ca="1">IFERROR(__xludf.DUMMYFUNCTION("""COMPUTED_VALUE"""),0)</f>
        <v>0</v>
      </c>
      <c r="AP96" s="2">
        <f ca="1">IFERROR(__xludf.DUMMYFUNCTION("""COMPUTED_VALUE"""),0)</f>
        <v>0</v>
      </c>
      <c r="AQ96" s="2">
        <f ca="1">IFERROR(__xludf.DUMMYFUNCTION("""COMPUTED_VALUE"""),0)</f>
        <v>0</v>
      </c>
      <c r="AR96" s="2">
        <f ca="1">IFERROR(__xludf.DUMMYFUNCTION("""COMPUTED_VALUE"""),0)</f>
        <v>0</v>
      </c>
      <c r="AS96" s="2">
        <f ca="1">IFERROR(__xludf.DUMMYFUNCTION("""COMPUTED_VALUE"""),0)</f>
        <v>0</v>
      </c>
      <c r="AT96" s="2">
        <f ca="1">IFERROR(__xludf.DUMMYFUNCTION("""COMPUTED_VALUE"""),0)</f>
        <v>0</v>
      </c>
      <c r="AU96" s="2">
        <f ca="1">IFERROR(__xludf.DUMMYFUNCTION("""COMPUTED_VALUE"""),0)</f>
        <v>0</v>
      </c>
      <c r="AV96" s="2">
        <f ca="1">IFERROR(__xludf.DUMMYFUNCTION("""COMPUTED_VALUE"""),0)</f>
        <v>0</v>
      </c>
      <c r="AW96" s="2">
        <f ca="1">IFERROR(__xludf.DUMMYFUNCTION("""COMPUTED_VALUE"""),0)</f>
        <v>0</v>
      </c>
      <c r="AY96" s="2">
        <f t="shared" ca="1" si="0"/>
        <v>6</v>
      </c>
      <c r="AZ96" s="2" t="e">
        <f ca="1">IF(NOT(COUNTA(D96:J96)), _xludf.IFS(AL96="W", 'Round Bonuses'!$F$14, AL96="X", 'Round Bonuses'!$F$13, AK96="X", 'Round Bonuses'!$F$12, AJ96="X", 'Round Bonuses'!$F$11, AI96="X", 'Round Bonuses'!$F$10, AH96="X", 'Round Bonuses'!$F$9, AG96="X", 'Round Bonuses'!$F$8, AF96="X", 'Round Bonuses'!$F$7, AE96="X", 'Round Bonuses'!$F$6, AD96="X", 'Round Bonuses'!$F$5, AC96="X", 'Round Bonuses'!$F$4, AB96="X", 'Round Bonuses'!$F$3, TRUE, 0), IF(AA96="X", _xludf.IFS(AD96="X", 'Round Bonuses'!$E$4, AF96="X",'Round Bonuses'!$E$6,TRUE, 'Round Bonuses'!$E$7), 0) +IF(AB96="X", 'Round Bonuses'!$E$3, 0)+IF(AC96="X",'Round Bonuses'!$E$4, 0)+IF(AD96="X", 'Round Bonuses'!$E$5, 0)+IF(AE96="X", 'Round Bonuses'!$E$6, 0)+IF(AF96="X", 'Round Bonuses'!$E$7, 0)+IF(AG96="X", 'Round Bonuses'!$E$8, 0)+_xludf.IFS(AL96="W", 'Round Bonuses'!$G$14, AL96="X", 'Round Bonuses'!$G$13, AK96="X", 'Round Bonuses'!$G$12, AJ96="X", 'Round Bonuses'!$G$11, AI96="X", 'Round Bonuses'!$G$10, AH96="X", 'Round Bonuses'!$G$9, TRUE, 0))+_xludf.IFS(N96="W", 'Round Bonuses'!$C$13, N96="X", 'Round Bonuses'!$C$12, M96="X", 'Round Bonuses'!$C$11, L96="X", 'Round Bonuses'!$C$10, K96="X", 'Round Bonuses'!$C$9, J96="X", 'Round Bonuses'!$C$8, I96="X", 'Round Bonuses'!$C$7, H96="X", 'Round Bonuses'!$C$6, G96="X", 'Round Bonuses'!$C$5, F96="X", 'Round Bonuses'!$C$4, E96="X", 'Round Bonuses'!$C$3, D96="X", 'Round Bonuses'!$C$3, TRUE, 0)</f>
        <v>#NAME?</v>
      </c>
      <c r="BA96" s="2">
        <f t="shared" ca="1" si="1"/>
        <v>10.94125</v>
      </c>
      <c r="BB96" s="10" t="e">
        <f t="shared" ca="1" si="2"/>
        <v>#NAME?</v>
      </c>
      <c r="BD96" s="11" t="str">
        <f t="shared" ca="1" si="3"/>
        <v>Inter Milan</v>
      </c>
      <c r="BE96" s="2" t="str">
        <f t="shared" ca="1" si="4"/>
        <v>Italy</v>
      </c>
      <c r="BF96" s="2" t="e">
        <f t="shared" ca="1" si="5"/>
        <v>#NAME?</v>
      </c>
      <c r="BG96" s="2">
        <f t="shared" ca="1" si="6"/>
        <v>6</v>
      </c>
      <c r="BH96" s="2" t="s">
        <v>140</v>
      </c>
      <c r="BI96" s="2" t="s">
        <v>141</v>
      </c>
      <c r="BJ96" s="7">
        <v>3.8134375</v>
      </c>
      <c r="BK96" s="2">
        <v>4</v>
      </c>
      <c r="BL96" s="2">
        <f t="shared" si="10"/>
        <v>94</v>
      </c>
      <c r="BM96" s="2" t="str">
        <f t="shared" si="7"/>
        <v>Sarajevo</v>
      </c>
      <c r="BN96" s="7">
        <f t="shared" ref="BN96:BO96" si="103">BJ96</f>
        <v>3.8134375</v>
      </c>
      <c r="BO96" s="2">
        <f t="shared" si="103"/>
        <v>4</v>
      </c>
      <c r="BS96" s="2" t="str">
        <f t="shared" si="9"/>
        <v>Bosnia and Herzegovina</v>
      </c>
    </row>
    <row r="97" spans="1:71" ht="13.8" x14ac:dyDescent="0.45">
      <c r="A97" s="2" t="str">
        <f ca="1">IFERROR(__xludf.DUMMYFUNCTION("""COMPUTED_VALUE"""),"Inter Turku")</f>
        <v>Inter Turku</v>
      </c>
      <c r="B97" s="2">
        <f ca="1">IFERROR(__xludf.DUMMYFUNCTION("""COMPUTED_VALUE"""),0.61)</f>
        <v>0.61</v>
      </c>
      <c r="C97" s="2" t="str">
        <f ca="1">IFERROR(__xludf.DUMMYFUNCTION("""COMPUTED_VALUE"""),"Finland")</f>
        <v>Finland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5">
        <f ca="1">IFERROR(__xludf.DUMMYFUNCTION("""COMPUTED_VALUE"""),0)</f>
        <v>0</v>
      </c>
      <c r="P97" s="2">
        <f ca="1">IFERROR(__xludf.DUMMYFUNCTION("""COMPUTED_VALUE"""),0)</f>
        <v>0</v>
      </c>
      <c r="Q97" s="2">
        <f ca="1">IFERROR(__xludf.DUMMYFUNCTION("""COMPUTED_VALUE"""),0)</f>
        <v>0</v>
      </c>
      <c r="R97" s="2">
        <f ca="1">IFERROR(__xludf.DUMMYFUNCTION("""COMPUTED_VALUE"""),0)</f>
        <v>0</v>
      </c>
      <c r="S97" s="2">
        <f ca="1">IFERROR(__xludf.DUMMYFUNCTION("""COMPUTED_VALUE"""),0)</f>
        <v>0</v>
      </c>
      <c r="T97" s="2">
        <f ca="1">IFERROR(__xludf.DUMMYFUNCTION("""COMPUTED_VALUE"""),0)</f>
        <v>0</v>
      </c>
      <c r="U97" s="2">
        <f ca="1">IFERROR(__xludf.DUMMYFUNCTION("""COMPUTED_VALUE"""),0)</f>
        <v>0</v>
      </c>
      <c r="V97" s="2">
        <f ca="1">IFERROR(__xludf.DUMMYFUNCTION("""COMPUTED_VALUE"""),0)</f>
        <v>0</v>
      </c>
      <c r="W97" s="2">
        <f ca="1">IFERROR(__xludf.DUMMYFUNCTION("""COMPUTED_VALUE"""),0)</f>
        <v>0</v>
      </c>
      <c r="X97" s="2">
        <f ca="1">IFERROR(__xludf.DUMMYFUNCTION("""COMPUTED_VALUE"""),0)</f>
        <v>0</v>
      </c>
      <c r="Y97" s="2">
        <f ca="1">IFERROR(__xludf.DUMMYFUNCTION("""COMPUTED_VALUE"""),0)</f>
        <v>0</v>
      </c>
      <c r="AB97" s="2"/>
      <c r="AC97" s="2" t="str">
        <f ca="1">IFERROR(__xludf.DUMMYFUNCTION("""COMPUTED_VALUE"""),"X")</f>
        <v>X</v>
      </c>
      <c r="AD97" s="2"/>
      <c r="AE97" s="2"/>
      <c r="AF97" s="2"/>
      <c r="AG97" s="2"/>
      <c r="AH97" s="2"/>
      <c r="AI97" s="2"/>
      <c r="AJ97" s="2"/>
      <c r="AK97" s="2"/>
      <c r="AL97" s="2"/>
      <c r="AM97" s="2">
        <f ca="1">IFERROR(__xludf.DUMMYFUNCTION("""COMPUTED_VALUE"""),0)</f>
        <v>0</v>
      </c>
      <c r="AN97" s="2">
        <f ca="1">IFERROR(__xludf.DUMMYFUNCTION("""COMPUTED_VALUE"""),0.524999999999999)</f>
        <v>0.52499999999999902</v>
      </c>
      <c r="AO97" s="2">
        <f ca="1">IFERROR(__xludf.DUMMYFUNCTION("""COMPUTED_VALUE"""),0)</f>
        <v>0</v>
      </c>
      <c r="AP97" s="2">
        <f ca="1">IFERROR(__xludf.DUMMYFUNCTION("""COMPUTED_VALUE"""),0)</f>
        <v>0</v>
      </c>
      <c r="AQ97" s="2">
        <f ca="1">IFERROR(__xludf.DUMMYFUNCTION("""COMPUTED_VALUE"""),0)</f>
        <v>0</v>
      </c>
      <c r="AR97" s="2">
        <f ca="1">IFERROR(__xludf.DUMMYFUNCTION("""COMPUTED_VALUE"""),0)</f>
        <v>0</v>
      </c>
      <c r="AS97" s="2">
        <f ca="1">IFERROR(__xludf.DUMMYFUNCTION("""COMPUTED_VALUE"""),0)</f>
        <v>0</v>
      </c>
      <c r="AT97" s="2">
        <f ca="1">IFERROR(__xludf.DUMMYFUNCTION("""COMPUTED_VALUE"""),0)</f>
        <v>0</v>
      </c>
      <c r="AU97" s="2">
        <f ca="1">IFERROR(__xludf.DUMMYFUNCTION("""COMPUTED_VALUE"""),0)</f>
        <v>0</v>
      </c>
      <c r="AV97" s="2">
        <f ca="1">IFERROR(__xludf.DUMMYFUNCTION("""COMPUTED_VALUE"""),0)</f>
        <v>0</v>
      </c>
      <c r="AW97" s="2">
        <f ca="1">IFERROR(__xludf.DUMMYFUNCTION("""COMPUTED_VALUE"""),0)</f>
        <v>0</v>
      </c>
      <c r="AY97" s="2">
        <f t="shared" ca="1" si="0"/>
        <v>1</v>
      </c>
      <c r="AZ97" s="2" t="e">
        <f ca="1">IF(NOT(COUNTA(D97:J97)), _xludf.IFS(AL97="W", 'Round Bonuses'!$F$14, AL97="X", 'Round Bonuses'!$F$13, AK97="X", 'Round Bonuses'!$F$12, AJ97="X", 'Round Bonuses'!$F$11, AI97="X", 'Round Bonuses'!$F$10, AH97="X", 'Round Bonuses'!$F$9, AG97="X", 'Round Bonuses'!$F$8, AF97="X", 'Round Bonuses'!$F$7, AE97="X", 'Round Bonuses'!$F$6, AD97="X", 'Round Bonuses'!$F$5, AC97="X", 'Round Bonuses'!$F$4, AB97="X", 'Round Bonuses'!$F$3, TRUE, 0), IF(AA97="X", _xludf.IFS(AD97="X", 'Round Bonuses'!$E$4, AF97="X",'Round Bonuses'!$E$6,TRUE, 'Round Bonuses'!$E$7), 0) +IF(AB97="X", 'Round Bonuses'!$E$3, 0)+IF(AC97="X",'Round Bonuses'!$E$4, 0)+IF(AD97="X", 'Round Bonuses'!$E$5, 0)+IF(AE97="X", 'Round Bonuses'!$E$6, 0)+IF(AF97="X", 'Round Bonuses'!$E$7, 0)+IF(AG97="X", 'Round Bonuses'!$E$8, 0)+_xludf.IFS(AL97="W", 'Round Bonuses'!$G$14, AL97="X", 'Round Bonuses'!$G$13, AK97="X", 'Round Bonuses'!$G$12, AJ97="X", 'Round Bonuses'!$G$11, AI97="X", 'Round Bonuses'!$G$10, AH97="X", 'Round Bonuses'!$G$9, TRUE, 0))+_xludf.IFS(N97="W", 'Round Bonuses'!$C$13, N97="X", 'Round Bonuses'!$C$12, M97="X", 'Round Bonuses'!$C$11, L97="X", 'Round Bonuses'!$C$10, K97="X", 'Round Bonuses'!$C$9, J97="X", 'Round Bonuses'!$C$8, I97="X", 'Round Bonuses'!$C$7, H97="X", 'Round Bonuses'!$C$6, G97="X", 'Round Bonuses'!$C$5, F97="X", 'Round Bonuses'!$C$4, E97="X", 'Round Bonuses'!$C$3, D97="X", 'Round Bonuses'!$C$3, TRUE, 0)</f>
        <v>#NAME?</v>
      </c>
      <c r="BA97" s="2">
        <f t="shared" ca="1" si="1"/>
        <v>0.52499999999999902</v>
      </c>
      <c r="BB97" s="10" t="e">
        <f t="shared" ca="1" si="2"/>
        <v>#NAME?</v>
      </c>
      <c r="BD97" s="11" t="str">
        <f t="shared" ca="1" si="3"/>
        <v>Inter Turku</v>
      </c>
      <c r="BE97" s="2" t="str">
        <f t="shared" ca="1" si="4"/>
        <v>Finland</v>
      </c>
      <c r="BF97" s="2" t="e">
        <f t="shared" ca="1" si="5"/>
        <v>#NAME?</v>
      </c>
      <c r="BG97" s="2">
        <f t="shared" ca="1" si="6"/>
        <v>1</v>
      </c>
      <c r="BH97" s="2" t="s">
        <v>142</v>
      </c>
      <c r="BI97" s="2" t="s">
        <v>54</v>
      </c>
      <c r="BJ97" s="7">
        <v>3.7575000000000003</v>
      </c>
      <c r="BK97" s="2">
        <v>2</v>
      </c>
      <c r="BL97" s="2">
        <f t="shared" si="10"/>
        <v>95</v>
      </c>
      <c r="BM97" s="2" t="str">
        <f t="shared" si="7"/>
        <v>Charleroi</v>
      </c>
      <c r="BN97" s="7">
        <f t="shared" ref="BN97:BO97" si="104">BJ97</f>
        <v>3.7575000000000003</v>
      </c>
      <c r="BO97" s="2">
        <f t="shared" si="104"/>
        <v>2</v>
      </c>
      <c r="BS97" s="2" t="str">
        <f t="shared" si="9"/>
        <v>Belgium</v>
      </c>
    </row>
    <row r="98" spans="1:71" ht="13.8" x14ac:dyDescent="0.45">
      <c r="A98" s="2" t="str">
        <f ca="1">IFERROR(__xludf.DUMMYFUNCTION("""COMPUTED_VALUE"""),"Iskra Danilovgrad")</f>
        <v>Iskra Danilovgrad</v>
      </c>
      <c r="B98" s="2">
        <f ca="1">IFERROR(__xludf.DUMMYFUNCTION("""COMPUTED_VALUE"""),0.49)</f>
        <v>0.49</v>
      </c>
      <c r="C98" s="2" t="str">
        <f ca="1">IFERROR(__xludf.DUMMYFUNCTION("""COMPUTED_VALUE"""),"Montenegro")</f>
        <v>Montenegro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5">
        <f ca="1">IFERROR(__xludf.DUMMYFUNCTION("""COMPUTED_VALUE"""),0)</f>
        <v>0</v>
      </c>
      <c r="P98" s="2">
        <f ca="1">IFERROR(__xludf.DUMMYFUNCTION("""COMPUTED_VALUE"""),0)</f>
        <v>0</v>
      </c>
      <c r="Q98" s="2">
        <f ca="1">IFERROR(__xludf.DUMMYFUNCTION("""COMPUTED_VALUE"""),0)</f>
        <v>0</v>
      </c>
      <c r="R98" s="2">
        <f ca="1">IFERROR(__xludf.DUMMYFUNCTION("""COMPUTED_VALUE"""),0)</f>
        <v>0</v>
      </c>
      <c r="S98" s="2">
        <f ca="1">IFERROR(__xludf.DUMMYFUNCTION("""COMPUTED_VALUE"""),0)</f>
        <v>0</v>
      </c>
      <c r="T98" s="2">
        <f ca="1">IFERROR(__xludf.DUMMYFUNCTION("""COMPUTED_VALUE"""),0)</f>
        <v>0</v>
      </c>
      <c r="U98" s="2">
        <f ca="1">IFERROR(__xludf.DUMMYFUNCTION("""COMPUTED_VALUE"""),0)</f>
        <v>0</v>
      </c>
      <c r="V98" s="2">
        <f ca="1">IFERROR(__xludf.DUMMYFUNCTION("""COMPUTED_VALUE"""),0)</f>
        <v>0</v>
      </c>
      <c r="W98" s="2">
        <f ca="1">IFERROR(__xludf.DUMMYFUNCTION("""COMPUTED_VALUE"""),0)</f>
        <v>0</v>
      </c>
      <c r="X98" s="2">
        <f ca="1">IFERROR(__xludf.DUMMYFUNCTION("""COMPUTED_VALUE"""),0)</f>
        <v>0</v>
      </c>
      <c r="Y98" s="2">
        <f ca="1">IFERROR(__xludf.DUMMYFUNCTION("""COMPUTED_VALUE"""),0)</f>
        <v>0</v>
      </c>
      <c r="AB98" s="2" t="str">
        <f ca="1">IFERROR(__xludf.DUMMYFUNCTION("""COMPUTED_VALUE"""),"X")</f>
        <v>X</v>
      </c>
      <c r="AC98" s="2" t="str">
        <f ca="1">IFERROR(__xludf.DUMMYFUNCTION("""COMPUTED_VALUE"""),"X")</f>
        <v>X</v>
      </c>
      <c r="AD98" s="2"/>
      <c r="AE98" s="2"/>
      <c r="AF98" s="2"/>
      <c r="AG98" s="2"/>
      <c r="AH98" s="2"/>
      <c r="AI98" s="2"/>
      <c r="AJ98" s="2"/>
      <c r="AK98" s="2"/>
      <c r="AL98" s="2"/>
      <c r="AM98" s="2">
        <f ca="1">IFERROR(__xludf.DUMMYFUNCTION("""COMPUTED_VALUE"""),1.575)</f>
        <v>1.575</v>
      </c>
      <c r="AN98" s="2">
        <f ca="1">IFERROR(__xludf.DUMMYFUNCTION("""COMPUTED_VALUE"""),0.575)</f>
        <v>0.57499999999999996</v>
      </c>
      <c r="AO98" s="2">
        <f ca="1">IFERROR(__xludf.DUMMYFUNCTION("""COMPUTED_VALUE"""),0)</f>
        <v>0</v>
      </c>
      <c r="AP98" s="2">
        <f ca="1">IFERROR(__xludf.DUMMYFUNCTION("""COMPUTED_VALUE"""),0)</f>
        <v>0</v>
      </c>
      <c r="AQ98" s="2">
        <f ca="1">IFERROR(__xludf.DUMMYFUNCTION("""COMPUTED_VALUE"""),0)</f>
        <v>0</v>
      </c>
      <c r="AR98" s="2">
        <f ca="1">IFERROR(__xludf.DUMMYFUNCTION("""COMPUTED_VALUE"""),0)</f>
        <v>0</v>
      </c>
      <c r="AS98" s="2">
        <f ca="1">IFERROR(__xludf.DUMMYFUNCTION("""COMPUTED_VALUE"""),0)</f>
        <v>0</v>
      </c>
      <c r="AT98" s="2">
        <f ca="1">IFERROR(__xludf.DUMMYFUNCTION("""COMPUTED_VALUE"""),0)</f>
        <v>0</v>
      </c>
      <c r="AU98" s="2">
        <f ca="1">IFERROR(__xludf.DUMMYFUNCTION("""COMPUTED_VALUE"""),0)</f>
        <v>0</v>
      </c>
      <c r="AV98" s="2">
        <f ca="1">IFERROR(__xludf.DUMMYFUNCTION("""COMPUTED_VALUE"""),0)</f>
        <v>0</v>
      </c>
      <c r="AW98" s="2">
        <f ca="1">IFERROR(__xludf.DUMMYFUNCTION("""COMPUTED_VALUE"""),0)</f>
        <v>0</v>
      </c>
      <c r="AY98" s="2">
        <f t="shared" ca="1" si="0"/>
        <v>2</v>
      </c>
      <c r="AZ98" s="2" t="e">
        <f ca="1">IF(NOT(COUNTA(D98:J98)), _xludf.IFS(AL98="W", 'Round Bonuses'!$F$14, AL98="X", 'Round Bonuses'!$F$13, AK98="X", 'Round Bonuses'!$F$12, AJ98="X", 'Round Bonuses'!$F$11, AI98="X", 'Round Bonuses'!$F$10, AH98="X", 'Round Bonuses'!$F$9, AG98="X", 'Round Bonuses'!$F$8, AF98="X", 'Round Bonuses'!$F$7, AE98="X", 'Round Bonuses'!$F$6, AD98="X", 'Round Bonuses'!$F$5, AC98="X", 'Round Bonuses'!$F$4, AB98="X", 'Round Bonuses'!$F$3, TRUE, 0), IF(AA98="X", _xludf.IFS(AD98="X", 'Round Bonuses'!$E$4, AF98="X",'Round Bonuses'!$E$6,TRUE, 'Round Bonuses'!$E$7), 0) +IF(AB98="X", 'Round Bonuses'!$E$3, 0)+IF(AC98="X",'Round Bonuses'!$E$4, 0)+IF(AD98="X", 'Round Bonuses'!$E$5, 0)+IF(AE98="X", 'Round Bonuses'!$E$6, 0)+IF(AF98="X", 'Round Bonuses'!$E$7, 0)+IF(AG98="X", 'Round Bonuses'!$E$8, 0)+_xludf.IFS(AL98="W", 'Round Bonuses'!$G$14, AL98="X", 'Round Bonuses'!$G$13, AK98="X", 'Round Bonuses'!$G$12, AJ98="X", 'Round Bonuses'!$G$11, AI98="X", 'Round Bonuses'!$G$10, AH98="X", 'Round Bonuses'!$G$9, TRUE, 0))+_xludf.IFS(N98="W", 'Round Bonuses'!$C$13, N98="X", 'Round Bonuses'!$C$12, M98="X", 'Round Bonuses'!$C$11, L98="X", 'Round Bonuses'!$C$10, K98="X", 'Round Bonuses'!$C$9, J98="X", 'Round Bonuses'!$C$8, I98="X", 'Round Bonuses'!$C$7, H98="X", 'Round Bonuses'!$C$6, G98="X", 'Round Bonuses'!$C$5, F98="X", 'Round Bonuses'!$C$4, E98="X", 'Round Bonuses'!$C$3, D98="X", 'Round Bonuses'!$C$3, TRUE, 0)</f>
        <v>#NAME?</v>
      </c>
      <c r="BA98" s="2">
        <f t="shared" ca="1" si="1"/>
        <v>2.15</v>
      </c>
      <c r="BB98" s="10" t="e">
        <f t="shared" ca="1" si="2"/>
        <v>#NAME?</v>
      </c>
      <c r="BD98" s="11" t="str">
        <f t="shared" ca="1" si="3"/>
        <v>Iskra Danilovgrad</v>
      </c>
      <c r="BE98" s="2" t="str">
        <f t="shared" ca="1" si="4"/>
        <v>Montenegro</v>
      </c>
      <c r="BF98" s="2" t="e">
        <f t="shared" ca="1" si="5"/>
        <v>#NAME?</v>
      </c>
      <c r="BG98" s="2">
        <f t="shared" ca="1" si="6"/>
        <v>2</v>
      </c>
      <c r="BH98" s="2" t="s">
        <v>143</v>
      </c>
      <c r="BI98" s="2" t="s">
        <v>144</v>
      </c>
      <c r="BJ98" s="7">
        <v>3.7443750000000002</v>
      </c>
      <c r="BK98" s="2">
        <v>4</v>
      </c>
      <c r="BL98" s="2">
        <f t="shared" si="10"/>
        <v>96</v>
      </c>
      <c r="BM98" s="2" t="str">
        <f t="shared" si="7"/>
        <v>Ararat-Armenia</v>
      </c>
      <c r="BN98" s="7">
        <f t="shared" ref="BN98:BO98" si="105">BJ98</f>
        <v>3.7443750000000002</v>
      </c>
      <c r="BO98" s="2">
        <f t="shared" si="105"/>
        <v>4</v>
      </c>
      <c r="BS98" s="2" t="str">
        <f t="shared" si="9"/>
        <v>Armenia</v>
      </c>
    </row>
    <row r="99" spans="1:71" ht="13.8" x14ac:dyDescent="0.45">
      <c r="A99" s="2" t="str">
        <f ca="1">IFERROR(__xludf.DUMMYFUNCTION("""COMPUTED_VALUE"""),"İstanbul Başakşehir")</f>
        <v>İstanbul Başakşehir</v>
      </c>
      <c r="B99" s="2">
        <f ca="1">IFERROR(__xludf.DUMMYFUNCTION("""COMPUTED_VALUE"""),0.9)</f>
        <v>0.9</v>
      </c>
      <c r="C99" s="2" t="str">
        <f ca="1">IFERROR(__xludf.DUMMYFUNCTION("""COMPUTED_VALUE"""),"Turkey")</f>
        <v>Turkey</v>
      </c>
      <c r="D99" s="2"/>
      <c r="E99" s="2"/>
      <c r="F99" s="2"/>
      <c r="G99" s="2"/>
      <c r="H99" s="2"/>
      <c r="I99" s="2"/>
      <c r="J99" s="2" t="str">
        <f ca="1">IFERROR(__xludf.DUMMYFUNCTION("""COMPUTED_VALUE"""),"X")</f>
        <v>X</v>
      </c>
      <c r="K99" s="2"/>
      <c r="L99" s="2"/>
      <c r="M99" s="2"/>
      <c r="N99" s="2"/>
      <c r="O99" s="5">
        <f ca="1">IFERROR(__xludf.DUMMYFUNCTION("""COMPUTED_VALUE"""),0)</f>
        <v>0</v>
      </c>
      <c r="P99" s="2">
        <f ca="1">IFERROR(__xludf.DUMMYFUNCTION("""COMPUTED_VALUE"""),0)</f>
        <v>0</v>
      </c>
      <c r="Q99" s="2">
        <f ca="1">IFERROR(__xludf.DUMMYFUNCTION("""COMPUTED_VALUE"""),0)</f>
        <v>0</v>
      </c>
      <c r="R99" s="2">
        <f ca="1">IFERROR(__xludf.DUMMYFUNCTION("""COMPUTED_VALUE"""),0)</f>
        <v>0</v>
      </c>
      <c r="S99" s="2">
        <f ca="1">IFERROR(__xludf.DUMMYFUNCTION("""COMPUTED_VALUE"""),0)</f>
        <v>0</v>
      </c>
      <c r="T99" s="2">
        <f ca="1">IFERROR(__xludf.DUMMYFUNCTION("""COMPUTED_VALUE"""),0)</f>
        <v>0</v>
      </c>
      <c r="U99" s="2">
        <f ca="1">IFERROR(__xludf.DUMMYFUNCTION("""COMPUTED_VALUE"""),7.19999999999999)</f>
        <v>7.1999999999999904</v>
      </c>
      <c r="V99" s="2">
        <f ca="1">IFERROR(__xludf.DUMMYFUNCTION("""COMPUTED_VALUE"""),0)</f>
        <v>0</v>
      </c>
      <c r="W99" s="2">
        <f ca="1">IFERROR(__xludf.DUMMYFUNCTION("""COMPUTED_VALUE"""),0)</f>
        <v>0</v>
      </c>
      <c r="X99" s="2">
        <f ca="1">IFERROR(__xludf.DUMMYFUNCTION("""COMPUTED_VALUE"""),0)</f>
        <v>0</v>
      </c>
      <c r="Y99" s="2">
        <f ca="1">IFERROR(__xludf.DUMMYFUNCTION("""COMPUTED_VALUE"""),0)</f>
        <v>0</v>
      </c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>
        <f ca="1">IFERROR(__xludf.DUMMYFUNCTION("""COMPUTED_VALUE"""),0)</f>
        <v>0</v>
      </c>
      <c r="AN99" s="2">
        <f ca="1">IFERROR(__xludf.DUMMYFUNCTION("""COMPUTED_VALUE"""),0)</f>
        <v>0</v>
      </c>
      <c r="AO99" s="2">
        <f ca="1">IFERROR(__xludf.DUMMYFUNCTION("""COMPUTED_VALUE"""),0)</f>
        <v>0</v>
      </c>
      <c r="AP99" s="2">
        <f ca="1">IFERROR(__xludf.DUMMYFUNCTION("""COMPUTED_VALUE"""),0)</f>
        <v>0</v>
      </c>
      <c r="AQ99" s="2">
        <f ca="1">IFERROR(__xludf.DUMMYFUNCTION("""COMPUTED_VALUE"""),0)</f>
        <v>0</v>
      </c>
      <c r="AR99" s="2">
        <f ca="1">IFERROR(__xludf.DUMMYFUNCTION("""COMPUTED_VALUE"""),0)</f>
        <v>0</v>
      </c>
      <c r="AS99" s="2">
        <f ca="1">IFERROR(__xludf.DUMMYFUNCTION("""COMPUTED_VALUE"""),0)</f>
        <v>0</v>
      </c>
      <c r="AT99" s="2">
        <f ca="1">IFERROR(__xludf.DUMMYFUNCTION("""COMPUTED_VALUE"""),0)</f>
        <v>0</v>
      </c>
      <c r="AU99" s="2">
        <f ca="1">IFERROR(__xludf.DUMMYFUNCTION("""COMPUTED_VALUE"""),0)</f>
        <v>0</v>
      </c>
      <c r="AV99" s="2">
        <f ca="1">IFERROR(__xludf.DUMMYFUNCTION("""COMPUTED_VALUE"""),0)</f>
        <v>0</v>
      </c>
      <c r="AW99" s="2">
        <f ca="1">IFERROR(__xludf.DUMMYFUNCTION("""COMPUTED_VALUE"""),0)</f>
        <v>0</v>
      </c>
      <c r="AY99" s="2">
        <f t="shared" ca="1" si="0"/>
        <v>6</v>
      </c>
      <c r="AZ99" s="2" t="e">
        <f ca="1">IF(NOT(COUNTA(D99:J99)), _xludf.IFS(AL99="W", 'Round Bonuses'!$F$14, AL99="X", 'Round Bonuses'!$F$13, AK99="X", 'Round Bonuses'!$F$12, AJ99="X", 'Round Bonuses'!$F$11, AI99="X", 'Round Bonuses'!$F$10, AH99="X", 'Round Bonuses'!$F$9, AG99="X", 'Round Bonuses'!$F$8, AF99="X", 'Round Bonuses'!$F$7, AE99="X", 'Round Bonuses'!$F$6, AD99="X", 'Round Bonuses'!$F$5, AC99="X", 'Round Bonuses'!$F$4, AB99="X", 'Round Bonuses'!$F$3, TRUE, 0), IF(AA99="X", _xludf.IFS(AD99="X", 'Round Bonuses'!$E$4, AF99="X",'Round Bonuses'!$E$6,TRUE, 'Round Bonuses'!$E$7), 0) +IF(AB99="X", 'Round Bonuses'!$E$3, 0)+IF(AC99="X",'Round Bonuses'!$E$4, 0)+IF(AD99="X", 'Round Bonuses'!$E$5, 0)+IF(AE99="X", 'Round Bonuses'!$E$6, 0)+IF(AF99="X", 'Round Bonuses'!$E$7, 0)+IF(AG99="X", 'Round Bonuses'!$E$8, 0)+_xludf.IFS(AL99="W", 'Round Bonuses'!$G$14, AL99="X", 'Round Bonuses'!$G$13, AK99="X", 'Round Bonuses'!$G$12, AJ99="X", 'Round Bonuses'!$G$11, AI99="X", 'Round Bonuses'!$G$10, AH99="X", 'Round Bonuses'!$G$9, TRUE, 0))+_xludf.IFS(N99="W", 'Round Bonuses'!$C$13, N99="X", 'Round Bonuses'!$C$12, M99="X", 'Round Bonuses'!$C$11, L99="X", 'Round Bonuses'!$C$10, K99="X", 'Round Bonuses'!$C$9, J99="X", 'Round Bonuses'!$C$8, I99="X", 'Round Bonuses'!$C$7, H99="X", 'Round Bonuses'!$C$6, G99="X", 'Round Bonuses'!$C$5, F99="X", 'Round Bonuses'!$C$4, E99="X", 'Round Bonuses'!$C$3, D99="X", 'Round Bonuses'!$C$3, TRUE, 0)</f>
        <v>#NAME?</v>
      </c>
      <c r="BA99" s="2">
        <f t="shared" ca="1" si="1"/>
        <v>7.1999999999999904</v>
      </c>
      <c r="BB99" s="10" t="e">
        <f t="shared" ca="1" si="2"/>
        <v>#NAME?</v>
      </c>
      <c r="BD99" s="11" t="str">
        <f t="shared" ca="1" si="3"/>
        <v>İstanbul Başakşehir</v>
      </c>
      <c r="BE99" s="2" t="str">
        <f t="shared" ca="1" si="4"/>
        <v>Turkey</v>
      </c>
      <c r="BF99" s="2" t="e">
        <f t="shared" ca="1" si="5"/>
        <v>#NAME?</v>
      </c>
      <c r="BG99" s="2">
        <f t="shared" ca="1" si="6"/>
        <v>6</v>
      </c>
      <c r="BH99" s="2" t="s">
        <v>145</v>
      </c>
      <c r="BI99" s="2" t="s">
        <v>109</v>
      </c>
      <c r="BJ99" s="7">
        <v>3.6281249999999998</v>
      </c>
      <c r="BK99" s="2">
        <v>4</v>
      </c>
      <c r="BL99" s="2">
        <f t="shared" si="10"/>
        <v>97</v>
      </c>
      <c r="BM99" s="2" t="str">
        <f t="shared" si="7"/>
        <v>Legia Warsaw</v>
      </c>
      <c r="BN99" s="7">
        <f t="shared" ref="BN99:BO99" si="106">BJ99</f>
        <v>3.6281249999999998</v>
      </c>
      <c r="BO99" s="2">
        <f t="shared" si="106"/>
        <v>4</v>
      </c>
      <c r="BS99" s="2" t="str">
        <f t="shared" si="9"/>
        <v>Poland</v>
      </c>
    </row>
    <row r="100" spans="1:71" ht="13.8" x14ac:dyDescent="0.45">
      <c r="A100" s="2" t="str">
        <f ca="1">IFERROR(__xludf.DUMMYFUNCTION("""COMPUTED_VALUE"""),"Jablonec")</f>
        <v>Jablonec</v>
      </c>
      <c r="B100" s="2">
        <f ca="1">IFERROR(__xludf.DUMMYFUNCTION("""COMPUTED_VALUE"""),0.84)</f>
        <v>0.84</v>
      </c>
      <c r="C100" s="2" t="str">
        <f ca="1">IFERROR(__xludf.DUMMYFUNCTION("""COMPUTED_VALUE"""),"Czech Republic")</f>
        <v>Czech Republic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5">
        <f ca="1">IFERROR(__xludf.DUMMYFUNCTION("""COMPUTED_VALUE"""),0)</f>
        <v>0</v>
      </c>
      <c r="P100" s="2">
        <f ca="1">IFERROR(__xludf.DUMMYFUNCTION("""COMPUTED_VALUE"""),0)</f>
        <v>0</v>
      </c>
      <c r="Q100" s="2">
        <f ca="1">IFERROR(__xludf.DUMMYFUNCTION("""COMPUTED_VALUE"""),0)</f>
        <v>0</v>
      </c>
      <c r="R100" s="2">
        <f ca="1">IFERROR(__xludf.DUMMYFUNCTION("""COMPUTED_VALUE"""),0)</f>
        <v>0</v>
      </c>
      <c r="S100" s="2">
        <f ca="1">IFERROR(__xludf.DUMMYFUNCTION("""COMPUTED_VALUE"""),0)</f>
        <v>0</v>
      </c>
      <c r="T100" s="2">
        <f ca="1">IFERROR(__xludf.DUMMYFUNCTION("""COMPUTED_VALUE"""),0)</f>
        <v>0</v>
      </c>
      <c r="U100" s="2">
        <f ca="1">IFERROR(__xludf.DUMMYFUNCTION("""COMPUTED_VALUE"""),0)</f>
        <v>0</v>
      </c>
      <c r="V100" s="2">
        <f ca="1">IFERROR(__xludf.DUMMYFUNCTION("""COMPUTED_VALUE"""),0)</f>
        <v>0</v>
      </c>
      <c r="W100" s="2">
        <f ca="1">IFERROR(__xludf.DUMMYFUNCTION("""COMPUTED_VALUE"""),0)</f>
        <v>0</v>
      </c>
      <c r="X100" s="2">
        <f ca="1">IFERROR(__xludf.DUMMYFUNCTION("""COMPUTED_VALUE"""),0)</f>
        <v>0</v>
      </c>
      <c r="Y100" s="2">
        <f ca="1">IFERROR(__xludf.DUMMYFUNCTION("""COMPUTED_VALUE"""),0)</f>
        <v>0</v>
      </c>
      <c r="AB100" s="2"/>
      <c r="AC100" s="2"/>
      <c r="AD100" s="2" t="str">
        <f ca="1">IFERROR(__xludf.DUMMYFUNCTION("""COMPUTED_VALUE"""),"X")</f>
        <v>X</v>
      </c>
      <c r="AE100" s="2"/>
      <c r="AF100" s="2"/>
      <c r="AG100" s="2"/>
      <c r="AH100" s="2"/>
      <c r="AI100" s="2"/>
      <c r="AJ100" s="2"/>
      <c r="AK100" s="2"/>
      <c r="AL100" s="2"/>
      <c r="AM100" s="2">
        <f ca="1">IFERROR(__xludf.DUMMYFUNCTION("""COMPUTED_VALUE"""),0)</f>
        <v>0</v>
      </c>
      <c r="AN100" s="2">
        <f ca="1">IFERROR(__xludf.DUMMYFUNCTION("""COMPUTED_VALUE"""),0)</f>
        <v>0</v>
      </c>
      <c r="AO100" s="2">
        <f ca="1">IFERROR(__xludf.DUMMYFUNCTION("""COMPUTED_VALUE"""),0.429999999999999)</f>
        <v>0.42999999999999899</v>
      </c>
      <c r="AP100" s="2">
        <f ca="1">IFERROR(__xludf.DUMMYFUNCTION("""COMPUTED_VALUE"""),0)</f>
        <v>0</v>
      </c>
      <c r="AQ100" s="2">
        <f ca="1">IFERROR(__xludf.DUMMYFUNCTION("""COMPUTED_VALUE"""),0)</f>
        <v>0</v>
      </c>
      <c r="AR100" s="2">
        <f ca="1">IFERROR(__xludf.DUMMYFUNCTION("""COMPUTED_VALUE"""),0)</f>
        <v>0</v>
      </c>
      <c r="AS100" s="2">
        <f ca="1">IFERROR(__xludf.DUMMYFUNCTION("""COMPUTED_VALUE"""),0)</f>
        <v>0</v>
      </c>
      <c r="AT100" s="2">
        <f ca="1">IFERROR(__xludf.DUMMYFUNCTION("""COMPUTED_VALUE"""),0)</f>
        <v>0</v>
      </c>
      <c r="AU100" s="2">
        <f ca="1">IFERROR(__xludf.DUMMYFUNCTION("""COMPUTED_VALUE"""),0)</f>
        <v>0</v>
      </c>
      <c r="AV100" s="2">
        <f ca="1">IFERROR(__xludf.DUMMYFUNCTION("""COMPUTED_VALUE"""),0)</f>
        <v>0</v>
      </c>
      <c r="AW100" s="2">
        <f ca="1">IFERROR(__xludf.DUMMYFUNCTION("""COMPUTED_VALUE"""),0)</f>
        <v>0</v>
      </c>
      <c r="AY100" s="2">
        <f t="shared" ca="1" si="0"/>
        <v>1</v>
      </c>
      <c r="AZ100" s="2" t="e">
        <f ca="1">IF(NOT(COUNTA(D100:J100)), _xludf.IFS(AL100="W", 'Round Bonuses'!$F$14, AL100="X", 'Round Bonuses'!$F$13, AK100="X", 'Round Bonuses'!$F$12, AJ100="X", 'Round Bonuses'!$F$11, AI100="X", 'Round Bonuses'!$F$10, AH100="X", 'Round Bonuses'!$F$9, AG100="X", 'Round Bonuses'!$F$8, AF100="X", 'Round Bonuses'!$F$7, AE100="X", 'Round Bonuses'!$F$6, AD100="X", 'Round Bonuses'!$F$5, AC100="X", 'Round Bonuses'!$F$4, AB100="X", 'Round Bonuses'!$F$3, TRUE, 0), IF(AA100="X", _xludf.IFS(AD100="X", 'Round Bonuses'!$E$4, AF100="X",'Round Bonuses'!$E$6,TRUE, 'Round Bonuses'!$E$7), 0) +IF(AB100="X", 'Round Bonuses'!$E$3, 0)+IF(AC100="X",'Round Bonuses'!$E$4, 0)+IF(AD100="X", 'Round Bonuses'!$E$5, 0)+IF(AE100="X", 'Round Bonuses'!$E$6, 0)+IF(AF100="X", 'Round Bonuses'!$E$7, 0)+IF(AG100="X", 'Round Bonuses'!$E$8, 0)+_xludf.IFS(AL100="W", 'Round Bonuses'!$G$14, AL100="X", 'Round Bonuses'!$G$13, AK100="X", 'Round Bonuses'!$G$12, AJ100="X", 'Round Bonuses'!$G$11, AI100="X", 'Round Bonuses'!$G$10, AH100="X", 'Round Bonuses'!$G$9, TRUE, 0))+_xludf.IFS(N100="W", 'Round Bonuses'!$C$13, N100="X", 'Round Bonuses'!$C$12, M100="X", 'Round Bonuses'!$C$11, L100="X", 'Round Bonuses'!$C$10, K100="X", 'Round Bonuses'!$C$9, J100="X", 'Round Bonuses'!$C$8, I100="X", 'Round Bonuses'!$C$7, H100="X", 'Round Bonuses'!$C$6, G100="X", 'Round Bonuses'!$C$5, F100="X", 'Round Bonuses'!$C$4, E100="X", 'Round Bonuses'!$C$3, D100="X", 'Round Bonuses'!$C$3, TRUE, 0)</f>
        <v>#NAME?</v>
      </c>
      <c r="BA100" s="2">
        <f t="shared" ca="1" si="1"/>
        <v>0.42999999999999899</v>
      </c>
      <c r="BB100" s="10" t="e">
        <f t="shared" ca="1" si="2"/>
        <v>#NAME?</v>
      </c>
      <c r="BD100" s="11" t="str">
        <f t="shared" ca="1" si="3"/>
        <v>Jablonec</v>
      </c>
      <c r="BE100" s="2" t="str">
        <f t="shared" ca="1" si="4"/>
        <v>Czech Republic</v>
      </c>
      <c r="BF100" s="2" t="e">
        <f t="shared" ca="1" si="5"/>
        <v>#NAME?</v>
      </c>
      <c r="BG100" s="2">
        <f t="shared" ca="1" si="6"/>
        <v>1</v>
      </c>
      <c r="BH100" s="2" t="s">
        <v>146</v>
      </c>
      <c r="BI100" s="2" t="s">
        <v>27</v>
      </c>
      <c r="BJ100" s="7">
        <v>3.6256250000000003</v>
      </c>
      <c r="BK100" s="2">
        <v>2</v>
      </c>
      <c r="BL100" s="2">
        <f t="shared" si="10"/>
        <v>98</v>
      </c>
      <c r="BM100" s="2" t="str">
        <f t="shared" si="7"/>
        <v>Sporting CP</v>
      </c>
      <c r="BN100" s="7">
        <f t="shared" ref="BN100:BO100" si="107">BJ100</f>
        <v>3.6256250000000003</v>
      </c>
      <c r="BO100" s="2">
        <f t="shared" si="107"/>
        <v>2</v>
      </c>
      <c r="BS100" s="2" t="str">
        <f t="shared" si="9"/>
        <v>Portugal</v>
      </c>
    </row>
    <row r="101" spans="1:71" ht="13.8" x14ac:dyDescent="0.45">
      <c r="A101" s="2" t="str">
        <f ca="1">IFERROR(__xludf.DUMMYFUNCTION("""COMPUTED_VALUE"""),"Juventus")</f>
        <v>Juventus</v>
      </c>
      <c r="B101" s="2">
        <f ca="1">IFERROR(__xludf.DUMMYFUNCTION("""COMPUTED_VALUE"""),0.97)</f>
        <v>0.97</v>
      </c>
      <c r="C101" s="2" t="str">
        <f ca="1">IFERROR(__xludf.DUMMYFUNCTION("""COMPUTED_VALUE"""),"Italy")</f>
        <v>Italy</v>
      </c>
      <c r="D101" s="2"/>
      <c r="E101" s="2"/>
      <c r="F101" s="2"/>
      <c r="G101" s="2"/>
      <c r="H101" s="2"/>
      <c r="I101" s="2"/>
      <c r="J101" s="2" t="str">
        <f ca="1">IFERROR(__xludf.DUMMYFUNCTION("""COMPUTED_VALUE"""),"X")</f>
        <v>X</v>
      </c>
      <c r="K101" s="2" t="str">
        <f ca="1">IFERROR(__xludf.DUMMYFUNCTION("""COMPUTED_VALUE"""),"X")</f>
        <v>X</v>
      </c>
      <c r="L101" s="2"/>
      <c r="M101" s="2"/>
      <c r="N101" s="2"/>
      <c r="O101" s="5">
        <f ca="1">IFERROR(__xludf.DUMMYFUNCTION("""COMPUTED_VALUE"""),0)</f>
        <v>0</v>
      </c>
      <c r="P101" s="2">
        <f ca="1">IFERROR(__xludf.DUMMYFUNCTION("""COMPUTED_VALUE"""),0)</f>
        <v>0</v>
      </c>
      <c r="Q101" s="2">
        <f ca="1">IFERROR(__xludf.DUMMYFUNCTION("""COMPUTED_VALUE"""),0)</f>
        <v>0</v>
      </c>
      <c r="R101" s="2">
        <f ca="1">IFERROR(__xludf.DUMMYFUNCTION("""COMPUTED_VALUE"""),0)</f>
        <v>0</v>
      </c>
      <c r="S101" s="2">
        <f ca="1">IFERROR(__xludf.DUMMYFUNCTION("""COMPUTED_VALUE"""),0)</f>
        <v>0</v>
      </c>
      <c r="T101" s="2">
        <f ca="1">IFERROR(__xludf.DUMMYFUNCTION("""COMPUTED_VALUE"""),0)</f>
        <v>0</v>
      </c>
      <c r="U101" s="2">
        <f ca="1">IFERROR(__xludf.DUMMYFUNCTION("""COMPUTED_VALUE"""),18.475)</f>
        <v>18.475000000000001</v>
      </c>
      <c r="V101" s="2">
        <f ca="1">IFERROR(__xludf.DUMMYFUNCTION("""COMPUTED_VALUE"""),4.64124999999999)</f>
        <v>4.6412499999999897</v>
      </c>
      <c r="W101" s="2">
        <f ca="1">IFERROR(__xludf.DUMMYFUNCTION("""COMPUTED_VALUE"""),0)</f>
        <v>0</v>
      </c>
      <c r="X101" s="2">
        <f ca="1">IFERROR(__xludf.DUMMYFUNCTION("""COMPUTED_VALUE"""),0)</f>
        <v>0</v>
      </c>
      <c r="Y101" s="2">
        <f ca="1">IFERROR(__xludf.DUMMYFUNCTION("""COMPUTED_VALUE"""),0)</f>
        <v>0</v>
      </c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>
        <f ca="1">IFERROR(__xludf.DUMMYFUNCTION("""COMPUTED_VALUE"""),0)</f>
        <v>0</v>
      </c>
      <c r="AN101" s="2">
        <f ca="1">IFERROR(__xludf.DUMMYFUNCTION("""COMPUTED_VALUE"""),0)</f>
        <v>0</v>
      </c>
      <c r="AO101" s="2">
        <f ca="1">IFERROR(__xludf.DUMMYFUNCTION("""COMPUTED_VALUE"""),0)</f>
        <v>0</v>
      </c>
      <c r="AP101" s="2">
        <f ca="1">IFERROR(__xludf.DUMMYFUNCTION("""COMPUTED_VALUE"""),0)</f>
        <v>0</v>
      </c>
      <c r="AQ101" s="2">
        <f ca="1">IFERROR(__xludf.DUMMYFUNCTION("""COMPUTED_VALUE"""),0)</f>
        <v>0</v>
      </c>
      <c r="AR101" s="2">
        <f ca="1">IFERROR(__xludf.DUMMYFUNCTION("""COMPUTED_VALUE"""),0)</f>
        <v>0</v>
      </c>
      <c r="AS101" s="2">
        <f ca="1">IFERROR(__xludf.DUMMYFUNCTION("""COMPUTED_VALUE"""),0)</f>
        <v>0</v>
      </c>
      <c r="AT101" s="2">
        <f ca="1">IFERROR(__xludf.DUMMYFUNCTION("""COMPUTED_VALUE"""),0)</f>
        <v>0</v>
      </c>
      <c r="AU101" s="2">
        <f ca="1">IFERROR(__xludf.DUMMYFUNCTION("""COMPUTED_VALUE"""),0)</f>
        <v>0</v>
      </c>
      <c r="AV101" s="2">
        <f ca="1">IFERROR(__xludf.DUMMYFUNCTION("""COMPUTED_VALUE"""),0)</f>
        <v>0</v>
      </c>
      <c r="AW101" s="2">
        <f ca="1">IFERROR(__xludf.DUMMYFUNCTION("""COMPUTED_VALUE"""),0)</f>
        <v>0</v>
      </c>
      <c r="AY101" s="2">
        <f t="shared" ca="1" si="0"/>
        <v>8</v>
      </c>
      <c r="AZ101" s="2" t="e">
        <f ca="1">IF(NOT(COUNTA(D101:J101)), _xludf.IFS(AL101="W", 'Round Bonuses'!$F$14, AL101="X", 'Round Bonuses'!$F$13, AK101="X", 'Round Bonuses'!$F$12, AJ101="X", 'Round Bonuses'!$F$11, AI101="X", 'Round Bonuses'!$F$10, AH101="X", 'Round Bonuses'!$F$9, AG101="X", 'Round Bonuses'!$F$8, AF101="X", 'Round Bonuses'!$F$7, AE101="X", 'Round Bonuses'!$F$6, AD101="X", 'Round Bonuses'!$F$5, AC101="X", 'Round Bonuses'!$F$4, AB101="X", 'Round Bonuses'!$F$3, TRUE, 0), IF(AA101="X", _xludf.IFS(AD101="X", 'Round Bonuses'!$E$4, AF101="X",'Round Bonuses'!$E$6,TRUE, 'Round Bonuses'!$E$7), 0) +IF(AB101="X", 'Round Bonuses'!$E$3, 0)+IF(AC101="X",'Round Bonuses'!$E$4, 0)+IF(AD101="X", 'Round Bonuses'!$E$5, 0)+IF(AE101="X", 'Round Bonuses'!$E$6, 0)+IF(AF101="X", 'Round Bonuses'!$E$7, 0)+IF(AG101="X", 'Round Bonuses'!$E$8, 0)+_xludf.IFS(AL101="W", 'Round Bonuses'!$G$14, AL101="X", 'Round Bonuses'!$G$13, AK101="X", 'Round Bonuses'!$G$12, AJ101="X", 'Round Bonuses'!$G$11, AI101="X", 'Round Bonuses'!$G$10, AH101="X", 'Round Bonuses'!$G$9, TRUE, 0))+_xludf.IFS(N101="W", 'Round Bonuses'!$C$13, N101="X", 'Round Bonuses'!$C$12, M101="X", 'Round Bonuses'!$C$11, L101="X", 'Round Bonuses'!$C$10, K101="X", 'Round Bonuses'!$C$9, J101="X", 'Round Bonuses'!$C$8, I101="X", 'Round Bonuses'!$C$7, H101="X", 'Round Bonuses'!$C$6, G101="X", 'Round Bonuses'!$C$5, F101="X", 'Round Bonuses'!$C$4, E101="X", 'Round Bonuses'!$C$3, D101="X", 'Round Bonuses'!$C$3, TRUE, 0)</f>
        <v>#NAME?</v>
      </c>
      <c r="BA101" s="2">
        <f t="shared" ca="1" si="1"/>
        <v>23.11624999999999</v>
      </c>
      <c r="BB101" s="10" t="e">
        <f t="shared" ca="1" si="2"/>
        <v>#NAME?</v>
      </c>
      <c r="BD101" s="11" t="str">
        <f t="shared" ca="1" si="3"/>
        <v>Juventus</v>
      </c>
      <c r="BE101" s="2" t="str">
        <f t="shared" ca="1" si="4"/>
        <v>Italy</v>
      </c>
      <c r="BF101" s="2" t="e">
        <f t="shared" ca="1" si="5"/>
        <v>#NAME?</v>
      </c>
      <c r="BG101" s="2">
        <f t="shared" ca="1" si="6"/>
        <v>8</v>
      </c>
      <c r="BH101" s="2" t="s">
        <v>147</v>
      </c>
      <c r="BI101" s="2" t="s">
        <v>148</v>
      </c>
      <c r="BJ101" s="7">
        <v>3.5308333333333337</v>
      </c>
      <c r="BK101" s="2">
        <v>3</v>
      </c>
      <c r="BL101" s="2">
        <f t="shared" si="10"/>
        <v>99</v>
      </c>
      <c r="BM101" s="2" t="str">
        <f t="shared" si="7"/>
        <v>Tirana</v>
      </c>
      <c r="BN101" s="7">
        <f t="shared" ref="BN101:BO101" si="108">BJ101</f>
        <v>3.5308333333333337</v>
      </c>
      <c r="BO101" s="2">
        <f t="shared" si="108"/>
        <v>3</v>
      </c>
      <c r="BS101" s="2" t="str">
        <f t="shared" si="9"/>
        <v>Albania</v>
      </c>
    </row>
    <row r="102" spans="1:71" ht="13.8" x14ac:dyDescent="0.45">
      <c r="A102" s="2" t="str">
        <f ca="1">IFERROR(__xludf.DUMMYFUNCTION("""COMPUTED_VALUE"""),"Kairat")</f>
        <v>Kairat</v>
      </c>
      <c r="B102" s="2">
        <f ca="1">IFERROR(__xludf.DUMMYFUNCTION("""COMPUTED_VALUE"""),0.75)</f>
        <v>0.75</v>
      </c>
      <c r="C102" s="2" t="str">
        <f ca="1">IFERROR(__xludf.DUMMYFUNCTION("""COMPUTED_VALUE"""),"Kazakhstan")</f>
        <v>Kazakhstan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5">
        <f ca="1">IFERROR(__xludf.DUMMYFUNCTION("""COMPUTED_VALUE"""),0)</f>
        <v>0</v>
      </c>
      <c r="P102" s="2">
        <f ca="1">IFERROR(__xludf.DUMMYFUNCTION("""COMPUTED_VALUE"""),0)</f>
        <v>0</v>
      </c>
      <c r="Q102" s="2">
        <f ca="1">IFERROR(__xludf.DUMMYFUNCTION("""COMPUTED_VALUE"""),0)</f>
        <v>0</v>
      </c>
      <c r="R102" s="2">
        <f ca="1">IFERROR(__xludf.DUMMYFUNCTION("""COMPUTED_VALUE"""),0)</f>
        <v>0</v>
      </c>
      <c r="S102" s="2">
        <f ca="1">IFERROR(__xludf.DUMMYFUNCTION("""COMPUTED_VALUE"""),0)</f>
        <v>0</v>
      </c>
      <c r="T102" s="2">
        <f ca="1">IFERROR(__xludf.DUMMYFUNCTION("""COMPUTED_VALUE"""),0)</f>
        <v>0</v>
      </c>
      <c r="U102" s="2">
        <f ca="1">IFERROR(__xludf.DUMMYFUNCTION("""COMPUTED_VALUE"""),0)</f>
        <v>0</v>
      </c>
      <c r="V102" s="2">
        <f ca="1">IFERROR(__xludf.DUMMYFUNCTION("""COMPUTED_VALUE"""),0)</f>
        <v>0</v>
      </c>
      <c r="W102" s="2">
        <f ca="1">IFERROR(__xludf.DUMMYFUNCTION("""COMPUTED_VALUE"""),0)</f>
        <v>0</v>
      </c>
      <c r="X102" s="2">
        <f ca="1">IFERROR(__xludf.DUMMYFUNCTION("""COMPUTED_VALUE"""),0)</f>
        <v>0</v>
      </c>
      <c r="Y102" s="2">
        <f ca="1">IFERROR(__xludf.DUMMYFUNCTION("""COMPUTED_VALUE"""),0)</f>
        <v>0</v>
      </c>
      <c r="AB102" s="2"/>
      <c r="AC102" s="2" t="str">
        <f ca="1">IFERROR(__xludf.DUMMYFUNCTION("""COMPUTED_VALUE"""),"X")</f>
        <v>X</v>
      </c>
      <c r="AD102" s="2" t="str">
        <f ca="1">IFERROR(__xludf.DUMMYFUNCTION("""COMPUTED_VALUE"""),"X")</f>
        <v>X</v>
      </c>
      <c r="AE102" s="2"/>
      <c r="AF102" s="2"/>
      <c r="AG102" s="2"/>
      <c r="AH102" s="2"/>
      <c r="AI102" s="2"/>
      <c r="AJ102" s="2"/>
      <c r="AK102" s="2"/>
      <c r="AL102" s="2"/>
      <c r="AM102" s="2">
        <f ca="1">IFERROR(__xludf.DUMMYFUNCTION("""COMPUTED_VALUE"""),0)</f>
        <v>0</v>
      </c>
      <c r="AN102" s="2">
        <f ca="1">IFERROR(__xludf.DUMMYFUNCTION("""COMPUTED_VALUE"""),2.3625)</f>
        <v>2.3624999999999998</v>
      </c>
      <c r="AO102" s="2">
        <f ca="1">IFERROR(__xludf.DUMMYFUNCTION("""COMPUTED_VALUE"""),0.595)</f>
        <v>0.59499999999999997</v>
      </c>
      <c r="AP102" s="2">
        <f ca="1">IFERROR(__xludf.DUMMYFUNCTION("""COMPUTED_VALUE"""),0)</f>
        <v>0</v>
      </c>
      <c r="AQ102" s="2">
        <f ca="1">IFERROR(__xludf.DUMMYFUNCTION("""COMPUTED_VALUE"""),0)</f>
        <v>0</v>
      </c>
      <c r="AR102" s="2">
        <f ca="1">IFERROR(__xludf.DUMMYFUNCTION("""COMPUTED_VALUE"""),0)</f>
        <v>0</v>
      </c>
      <c r="AS102" s="2">
        <f ca="1">IFERROR(__xludf.DUMMYFUNCTION("""COMPUTED_VALUE"""),0)</f>
        <v>0</v>
      </c>
      <c r="AT102" s="2">
        <f ca="1">IFERROR(__xludf.DUMMYFUNCTION("""COMPUTED_VALUE"""),0)</f>
        <v>0</v>
      </c>
      <c r="AU102" s="2">
        <f ca="1">IFERROR(__xludf.DUMMYFUNCTION("""COMPUTED_VALUE"""),0)</f>
        <v>0</v>
      </c>
      <c r="AV102" s="2">
        <f ca="1">IFERROR(__xludf.DUMMYFUNCTION("""COMPUTED_VALUE"""),0)</f>
        <v>0</v>
      </c>
      <c r="AW102" s="2">
        <f ca="1">IFERROR(__xludf.DUMMYFUNCTION("""COMPUTED_VALUE"""),0)</f>
        <v>0</v>
      </c>
      <c r="AY102" s="2">
        <f t="shared" ca="1" si="0"/>
        <v>2</v>
      </c>
      <c r="AZ102" s="2" t="e">
        <f ca="1">IF(NOT(COUNTA(D102:J102)), _xludf.IFS(AL102="W", 'Round Bonuses'!$F$14, AL102="X", 'Round Bonuses'!$F$13, AK102="X", 'Round Bonuses'!$F$12, AJ102="X", 'Round Bonuses'!$F$11, AI102="X", 'Round Bonuses'!$F$10, AH102="X", 'Round Bonuses'!$F$9, AG102="X", 'Round Bonuses'!$F$8, AF102="X", 'Round Bonuses'!$F$7, AE102="X", 'Round Bonuses'!$F$6, AD102="X", 'Round Bonuses'!$F$5, AC102="X", 'Round Bonuses'!$F$4, AB102="X", 'Round Bonuses'!$F$3, TRUE, 0), IF(AA102="X", _xludf.IFS(AD102="X", 'Round Bonuses'!$E$4, AF102="X",'Round Bonuses'!$E$6,TRUE, 'Round Bonuses'!$E$7), 0) +IF(AB102="X", 'Round Bonuses'!$E$3, 0)+IF(AC102="X",'Round Bonuses'!$E$4, 0)+IF(AD102="X", 'Round Bonuses'!$E$5, 0)+IF(AE102="X", 'Round Bonuses'!$E$6, 0)+IF(AF102="X", 'Round Bonuses'!$E$7, 0)+IF(AG102="X", 'Round Bonuses'!$E$8, 0)+_xludf.IFS(AL102="W", 'Round Bonuses'!$G$14, AL102="X", 'Round Bonuses'!$G$13, AK102="X", 'Round Bonuses'!$G$12, AJ102="X", 'Round Bonuses'!$G$11, AI102="X", 'Round Bonuses'!$G$10, AH102="X", 'Round Bonuses'!$G$9, TRUE, 0))+_xludf.IFS(N102="W", 'Round Bonuses'!$C$13, N102="X", 'Round Bonuses'!$C$12, M102="X", 'Round Bonuses'!$C$11, L102="X", 'Round Bonuses'!$C$10, K102="X", 'Round Bonuses'!$C$9, J102="X", 'Round Bonuses'!$C$8, I102="X", 'Round Bonuses'!$C$7, H102="X", 'Round Bonuses'!$C$6, G102="X", 'Round Bonuses'!$C$5, F102="X", 'Round Bonuses'!$C$4, E102="X", 'Round Bonuses'!$C$3, D102="X", 'Round Bonuses'!$C$3, TRUE, 0)</f>
        <v>#NAME?</v>
      </c>
      <c r="BA102" s="2">
        <f t="shared" ca="1" si="1"/>
        <v>2.9574999999999996</v>
      </c>
      <c r="BB102" s="10" t="e">
        <f t="shared" ca="1" si="2"/>
        <v>#NAME?</v>
      </c>
      <c r="BD102" s="11" t="str">
        <f t="shared" ca="1" si="3"/>
        <v>Kairat</v>
      </c>
      <c r="BE102" s="2" t="str">
        <f t="shared" ca="1" si="4"/>
        <v>Kazakhstan</v>
      </c>
      <c r="BF102" s="2" t="e">
        <f t="shared" ca="1" si="5"/>
        <v>#NAME?</v>
      </c>
      <c r="BG102" s="2">
        <f t="shared" ca="1" si="6"/>
        <v>2</v>
      </c>
      <c r="BH102" s="2" t="s">
        <v>149</v>
      </c>
      <c r="BI102" s="2" t="s">
        <v>150</v>
      </c>
      <c r="BJ102" s="7">
        <v>3.5078125</v>
      </c>
      <c r="BK102" s="2">
        <v>4</v>
      </c>
      <c r="BL102" s="2">
        <f t="shared" si="10"/>
        <v>100</v>
      </c>
      <c r="BM102" s="2" t="str">
        <f t="shared" si="7"/>
        <v>Flora</v>
      </c>
      <c r="BN102" s="7">
        <f t="shared" ref="BN102:BO102" si="109">BJ102</f>
        <v>3.5078125</v>
      </c>
      <c r="BO102" s="2">
        <f t="shared" si="109"/>
        <v>4</v>
      </c>
      <c r="BS102" s="2" t="str">
        <f t="shared" si="9"/>
        <v>Estonia</v>
      </c>
    </row>
    <row r="103" spans="1:71" ht="13.8" x14ac:dyDescent="0.45">
      <c r="A103" s="2" t="str">
        <f ca="1">IFERROR(__xludf.DUMMYFUNCTION("""COMPUTED_VALUE"""),"Kaisar")</f>
        <v>Kaisar</v>
      </c>
      <c r="B103" s="2">
        <f ca="1">IFERROR(__xludf.DUMMYFUNCTION("""COMPUTED_VALUE"""),0.74)</f>
        <v>0.74</v>
      </c>
      <c r="C103" s="2" t="str">
        <f ca="1">IFERROR(__xludf.DUMMYFUNCTION("""COMPUTED_VALUE"""),"Kazakhstan")</f>
        <v>Kazakhstan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5">
        <f ca="1">IFERROR(__xludf.DUMMYFUNCTION("""COMPUTED_VALUE"""),0)</f>
        <v>0</v>
      </c>
      <c r="P103" s="2">
        <f ca="1">IFERROR(__xludf.DUMMYFUNCTION("""COMPUTED_VALUE"""),0)</f>
        <v>0</v>
      </c>
      <c r="Q103" s="2">
        <f ca="1">IFERROR(__xludf.DUMMYFUNCTION("""COMPUTED_VALUE"""),0)</f>
        <v>0</v>
      </c>
      <c r="R103" s="2">
        <f ca="1">IFERROR(__xludf.DUMMYFUNCTION("""COMPUTED_VALUE"""),0)</f>
        <v>0</v>
      </c>
      <c r="S103" s="2">
        <f ca="1">IFERROR(__xludf.DUMMYFUNCTION("""COMPUTED_VALUE"""),0)</f>
        <v>0</v>
      </c>
      <c r="T103" s="2">
        <f ca="1">IFERROR(__xludf.DUMMYFUNCTION("""COMPUTED_VALUE"""),0)</f>
        <v>0</v>
      </c>
      <c r="U103" s="2">
        <f ca="1">IFERROR(__xludf.DUMMYFUNCTION("""COMPUTED_VALUE"""),0)</f>
        <v>0</v>
      </c>
      <c r="V103" s="2">
        <f ca="1">IFERROR(__xludf.DUMMYFUNCTION("""COMPUTED_VALUE"""),0)</f>
        <v>0</v>
      </c>
      <c r="W103" s="2">
        <f ca="1">IFERROR(__xludf.DUMMYFUNCTION("""COMPUTED_VALUE"""),0)</f>
        <v>0</v>
      </c>
      <c r="X103" s="2">
        <f ca="1">IFERROR(__xludf.DUMMYFUNCTION("""COMPUTED_VALUE"""),0)</f>
        <v>0</v>
      </c>
      <c r="Y103" s="2">
        <f ca="1">IFERROR(__xludf.DUMMYFUNCTION("""COMPUTED_VALUE"""),0)</f>
        <v>0</v>
      </c>
      <c r="AB103" s="2"/>
      <c r="AC103" s="2"/>
      <c r="AD103" s="2" t="str">
        <f ca="1">IFERROR(__xludf.DUMMYFUNCTION("""COMPUTED_VALUE"""),"X")</f>
        <v>X</v>
      </c>
      <c r="AE103" s="2"/>
      <c r="AF103" s="2"/>
      <c r="AG103" s="2"/>
      <c r="AH103" s="2"/>
      <c r="AI103" s="2"/>
      <c r="AJ103" s="2"/>
      <c r="AK103" s="2"/>
      <c r="AL103" s="2"/>
      <c r="AM103" s="2">
        <f ca="1">IFERROR(__xludf.DUMMYFUNCTION("""COMPUTED_VALUE"""),0)</f>
        <v>0</v>
      </c>
      <c r="AN103" s="2">
        <f ca="1">IFERROR(__xludf.DUMMYFUNCTION("""COMPUTED_VALUE"""),0)</f>
        <v>0</v>
      </c>
      <c r="AO103" s="2">
        <f ca="1">IFERROR(__xludf.DUMMYFUNCTION("""COMPUTED_VALUE"""),0.425)</f>
        <v>0.42499999999999999</v>
      </c>
      <c r="AP103" s="2">
        <f ca="1">IFERROR(__xludf.DUMMYFUNCTION("""COMPUTED_VALUE"""),0)</f>
        <v>0</v>
      </c>
      <c r="AQ103" s="2">
        <f ca="1">IFERROR(__xludf.DUMMYFUNCTION("""COMPUTED_VALUE"""),0)</f>
        <v>0</v>
      </c>
      <c r="AR103" s="2">
        <f ca="1">IFERROR(__xludf.DUMMYFUNCTION("""COMPUTED_VALUE"""),0)</f>
        <v>0</v>
      </c>
      <c r="AS103" s="2">
        <f ca="1">IFERROR(__xludf.DUMMYFUNCTION("""COMPUTED_VALUE"""),0)</f>
        <v>0</v>
      </c>
      <c r="AT103" s="2">
        <f ca="1">IFERROR(__xludf.DUMMYFUNCTION("""COMPUTED_VALUE"""),0)</f>
        <v>0</v>
      </c>
      <c r="AU103" s="2">
        <f ca="1">IFERROR(__xludf.DUMMYFUNCTION("""COMPUTED_VALUE"""),0)</f>
        <v>0</v>
      </c>
      <c r="AV103" s="2">
        <f ca="1">IFERROR(__xludf.DUMMYFUNCTION("""COMPUTED_VALUE"""),0)</f>
        <v>0</v>
      </c>
      <c r="AW103" s="2">
        <f ca="1">IFERROR(__xludf.DUMMYFUNCTION("""COMPUTED_VALUE"""),0)</f>
        <v>0</v>
      </c>
      <c r="AY103" s="2">
        <f t="shared" ca="1" si="0"/>
        <v>1</v>
      </c>
      <c r="AZ103" s="2" t="e">
        <f ca="1">IF(NOT(COUNTA(D103:J103)), _xludf.IFS(AL103="W", 'Round Bonuses'!$F$14, AL103="X", 'Round Bonuses'!$F$13, AK103="X", 'Round Bonuses'!$F$12, AJ103="X", 'Round Bonuses'!$F$11, AI103="X", 'Round Bonuses'!$F$10, AH103="X", 'Round Bonuses'!$F$9, AG103="X", 'Round Bonuses'!$F$8, AF103="X", 'Round Bonuses'!$F$7, AE103="X", 'Round Bonuses'!$F$6, AD103="X", 'Round Bonuses'!$F$5, AC103="X", 'Round Bonuses'!$F$4, AB103="X", 'Round Bonuses'!$F$3, TRUE, 0), IF(AA103="X", _xludf.IFS(AD103="X", 'Round Bonuses'!$E$4, AF103="X",'Round Bonuses'!$E$6,TRUE, 'Round Bonuses'!$E$7), 0) +IF(AB103="X", 'Round Bonuses'!$E$3, 0)+IF(AC103="X",'Round Bonuses'!$E$4, 0)+IF(AD103="X", 'Round Bonuses'!$E$5, 0)+IF(AE103="X", 'Round Bonuses'!$E$6, 0)+IF(AF103="X", 'Round Bonuses'!$E$7, 0)+IF(AG103="X", 'Round Bonuses'!$E$8, 0)+_xludf.IFS(AL103="W", 'Round Bonuses'!$G$14, AL103="X", 'Round Bonuses'!$G$13, AK103="X", 'Round Bonuses'!$G$12, AJ103="X", 'Round Bonuses'!$G$11, AI103="X", 'Round Bonuses'!$G$10, AH103="X", 'Round Bonuses'!$G$9, TRUE, 0))+_xludf.IFS(N103="W", 'Round Bonuses'!$C$13, N103="X", 'Round Bonuses'!$C$12, M103="X", 'Round Bonuses'!$C$11, L103="X", 'Round Bonuses'!$C$10, K103="X", 'Round Bonuses'!$C$9, J103="X", 'Round Bonuses'!$C$8, I103="X", 'Round Bonuses'!$C$7, H103="X", 'Round Bonuses'!$C$6, G103="X", 'Round Bonuses'!$C$5, F103="X", 'Round Bonuses'!$C$4, E103="X", 'Round Bonuses'!$C$3, D103="X", 'Round Bonuses'!$C$3, TRUE, 0)</f>
        <v>#NAME?</v>
      </c>
      <c r="BA103" s="2">
        <f t="shared" ca="1" si="1"/>
        <v>0.42499999999999999</v>
      </c>
      <c r="BB103" s="10" t="e">
        <f t="shared" ca="1" si="2"/>
        <v>#NAME?</v>
      </c>
      <c r="BD103" s="11" t="str">
        <f t="shared" ca="1" si="3"/>
        <v>Kaisar</v>
      </c>
      <c r="BE103" s="2" t="str">
        <f t="shared" ca="1" si="4"/>
        <v>Kazakhstan</v>
      </c>
      <c r="BF103" s="2" t="e">
        <f t="shared" ca="1" si="5"/>
        <v>#NAME?</v>
      </c>
      <c r="BG103" s="2">
        <f t="shared" ca="1" si="6"/>
        <v>1</v>
      </c>
      <c r="BH103" s="2" t="s">
        <v>151</v>
      </c>
      <c r="BI103" s="2" t="s">
        <v>152</v>
      </c>
      <c r="BJ103" s="7">
        <v>3.4906250000000001</v>
      </c>
      <c r="BK103" s="2">
        <v>4</v>
      </c>
      <c r="BL103" s="2">
        <f t="shared" si="10"/>
        <v>101</v>
      </c>
      <c r="BM103" s="2" t="str">
        <f t="shared" si="7"/>
        <v>KuPS</v>
      </c>
      <c r="BN103" s="7">
        <f t="shared" ref="BN103:BO103" si="110">BJ103</f>
        <v>3.4906250000000001</v>
      </c>
      <c r="BO103" s="2">
        <f t="shared" si="110"/>
        <v>4</v>
      </c>
      <c r="BS103" s="2" t="str">
        <f t="shared" si="9"/>
        <v>Finland</v>
      </c>
    </row>
    <row r="104" spans="1:71" ht="13.8" x14ac:dyDescent="0.45">
      <c r="A104" s="2" t="str">
        <f ca="1">IFERROR(__xludf.DUMMYFUNCTION("""COMPUTED_VALUE"""),"Kauno Žalgiris")</f>
        <v>Kauno Žalgiris</v>
      </c>
      <c r="B104" s="2">
        <f ca="1">IFERROR(__xludf.DUMMYFUNCTION("""COMPUTED_VALUE"""),0.559999999999999)</f>
        <v>0.55999999999999905</v>
      </c>
      <c r="C104" s="2" t="str">
        <f ca="1">IFERROR(__xludf.DUMMYFUNCTION("""COMPUTED_VALUE"""),"Lithuania")</f>
        <v>Lithuania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5">
        <f ca="1">IFERROR(__xludf.DUMMYFUNCTION("""COMPUTED_VALUE"""),0)</f>
        <v>0</v>
      </c>
      <c r="P104" s="2">
        <f ca="1">IFERROR(__xludf.DUMMYFUNCTION("""COMPUTED_VALUE"""),0)</f>
        <v>0</v>
      </c>
      <c r="Q104" s="2">
        <f ca="1">IFERROR(__xludf.DUMMYFUNCTION("""COMPUTED_VALUE"""),0)</f>
        <v>0</v>
      </c>
      <c r="R104" s="2">
        <f ca="1">IFERROR(__xludf.DUMMYFUNCTION("""COMPUTED_VALUE"""),0)</f>
        <v>0</v>
      </c>
      <c r="S104" s="2">
        <f ca="1">IFERROR(__xludf.DUMMYFUNCTION("""COMPUTED_VALUE"""),0)</f>
        <v>0</v>
      </c>
      <c r="T104" s="2">
        <f ca="1">IFERROR(__xludf.DUMMYFUNCTION("""COMPUTED_VALUE"""),0)</f>
        <v>0</v>
      </c>
      <c r="U104" s="2">
        <f ca="1">IFERROR(__xludf.DUMMYFUNCTION("""COMPUTED_VALUE"""),0)</f>
        <v>0</v>
      </c>
      <c r="V104" s="2">
        <f ca="1">IFERROR(__xludf.DUMMYFUNCTION("""COMPUTED_VALUE"""),0)</f>
        <v>0</v>
      </c>
      <c r="W104" s="2">
        <f ca="1">IFERROR(__xludf.DUMMYFUNCTION("""COMPUTED_VALUE"""),0)</f>
        <v>0</v>
      </c>
      <c r="X104" s="2">
        <f ca="1">IFERROR(__xludf.DUMMYFUNCTION("""COMPUTED_VALUE"""),0)</f>
        <v>0</v>
      </c>
      <c r="Y104" s="2">
        <f ca="1">IFERROR(__xludf.DUMMYFUNCTION("""COMPUTED_VALUE"""),0)</f>
        <v>0</v>
      </c>
      <c r="AB104" s="2"/>
      <c r="AC104" s="2" t="str">
        <f ca="1">IFERROR(__xludf.DUMMYFUNCTION("""COMPUTED_VALUE"""),"X")</f>
        <v>X</v>
      </c>
      <c r="AD104" s="2"/>
      <c r="AE104" s="2"/>
      <c r="AF104" s="2"/>
      <c r="AG104" s="2"/>
      <c r="AH104" s="2"/>
      <c r="AI104" s="2"/>
      <c r="AJ104" s="2"/>
      <c r="AK104" s="2"/>
      <c r="AL104" s="2"/>
      <c r="AM104" s="2">
        <f ca="1">IFERROR(__xludf.DUMMYFUNCTION("""COMPUTED_VALUE"""),0)</f>
        <v>0</v>
      </c>
      <c r="AN104" s="2">
        <f ca="1">IFERROR(__xludf.DUMMYFUNCTION("""COMPUTED_VALUE"""),0.135)</f>
        <v>0.13500000000000001</v>
      </c>
      <c r="AO104" s="2">
        <f ca="1">IFERROR(__xludf.DUMMYFUNCTION("""COMPUTED_VALUE"""),0)</f>
        <v>0</v>
      </c>
      <c r="AP104" s="2">
        <f ca="1">IFERROR(__xludf.DUMMYFUNCTION("""COMPUTED_VALUE"""),0)</f>
        <v>0</v>
      </c>
      <c r="AQ104" s="2">
        <f ca="1">IFERROR(__xludf.DUMMYFUNCTION("""COMPUTED_VALUE"""),0)</f>
        <v>0</v>
      </c>
      <c r="AR104" s="2">
        <f ca="1">IFERROR(__xludf.DUMMYFUNCTION("""COMPUTED_VALUE"""),0)</f>
        <v>0</v>
      </c>
      <c r="AS104" s="2">
        <f ca="1">IFERROR(__xludf.DUMMYFUNCTION("""COMPUTED_VALUE"""),0)</f>
        <v>0</v>
      </c>
      <c r="AT104" s="2">
        <f ca="1">IFERROR(__xludf.DUMMYFUNCTION("""COMPUTED_VALUE"""),0)</f>
        <v>0</v>
      </c>
      <c r="AU104" s="2">
        <f ca="1">IFERROR(__xludf.DUMMYFUNCTION("""COMPUTED_VALUE"""),0)</f>
        <v>0</v>
      </c>
      <c r="AV104" s="2">
        <f ca="1">IFERROR(__xludf.DUMMYFUNCTION("""COMPUTED_VALUE"""),0)</f>
        <v>0</v>
      </c>
      <c r="AW104" s="2">
        <f ca="1">IFERROR(__xludf.DUMMYFUNCTION("""COMPUTED_VALUE"""),0)</f>
        <v>0</v>
      </c>
      <c r="AY104" s="2">
        <f t="shared" ca="1" si="0"/>
        <v>1</v>
      </c>
      <c r="AZ104" s="2" t="e">
        <f ca="1">IF(NOT(COUNTA(D104:J104)), _xludf.IFS(AL104="W", 'Round Bonuses'!$F$14, AL104="X", 'Round Bonuses'!$F$13, AK104="X", 'Round Bonuses'!$F$12, AJ104="X", 'Round Bonuses'!$F$11, AI104="X", 'Round Bonuses'!$F$10, AH104="X", 'Round Bonuses'!$F$9, AG104="X", 'Round Bonuses'!$F$8, AF104="X", 'Round Bonuses'!$F$7, AE104="X", 'Round Bonuses'!$F$6, AD104="X", 'Round Bonuses'!$F$5, AC104="X", 'Round Bonuses'!$F$4, AB104="X", 'Round Bonuses'!$F$3, TRUE, 0), IF(AA104="X", _xludf.IFS(AD104="X", 'Round Bonuses'!$E$4, AF104="X",'Round Bonuses'!$E$6,TRUE, 'Round Bonuses'!$E$7), 0) +IF(AB104="X", 'Round Bonuses'!$E$3, 0)+IF(AC104="X",'Round Bonuses'!$E$4, 0)+IF(AD104="X", 'Round Bonuses'!$E$5, 0)+IF(AE104="X", 'Round Bonuses'!$E$6, 0)+IF(AF104="X", 'Round Bonuses'!$E$7, 0)+IF(AG104="X", 'Round Bonuses'!$E$8, 0)+_xludf.IFS(AL104="W", 'Round Bonuses'!$G$14, AL104="X", 'Round Bonuses'!$G$13, AK104="X", 'Round Bonuses'!$G$12, AJ104="X", 'Round Bonuses'!$G$11, AI104="X", 'Round Bonuses'!$G$10, AH104="X", 'Round Bonuses'!$G$9, TRUE, 0))+_xludf.IFS(N104="W", 'Round Bonuses'!$C$13, N104="X", 'Round Bonuses'!$C$12, M104="X", 'Round Bonuses'!$C$11, L104="X", 'Round Bonuses'!$C$10, K104="X", 'Round Bonuses'!$C$9, J104="X", 'Round Bonuses'!$C$8, I104="X", 'Round Bonuses'!$C$7, H104="X", 'Round Bonuses'!$C$6, G104="X", 'Round Bonuses'!$C$5, F104="X", 'Round Bonuses'!$C$4, E104="X", 'Round Bonuses'!$C$3, D104="X", 'Round Bonuses'!$C$3, TRUE, 0)</f>
        <v>#NAME?</v>
      </c>
      <c r="BA104" s="2">
        <f t="shared" ca="1" si="1"/>
        <v>0.13500000000000001</v>
      </c>
      <c r="BB104" s="10" t="e">
        <f t="shared" ca="1" si="2"/>
        <v>#NAME?</v>
      </c>
      <c r="BD104" s="11" t="str">
        <f t="shared" ca="1" si="3"/>
        <v>Kauno Žalgiris</v>
      </c>
      <c r="BE104" s="2" t="str">
        <f t="shared" ca="1" si="4"/>
        <v>Lithuania</v>
      </c>
      <c r="BF104" s="2" t="e">
        <f t="shared" ca="1" si="5"/>
        <v>#NAME?</v>
      </c>
      <c r="BG104" s="2">
        <f t="shared" ca="1" si="6"/>
        <v>1</v>
      </c>
      <c r="BH104" s="2" t="s">
        <v>153</v>
      </c>
      <c r="BI104" s="2" t="s">
        <v>154</v>
      </c>
      <c r="BJ104" s="7">
        <v>3.4629166666666666</v>
      </c>
      <c r="BK104" s="2">
        <v>3</v>
      </c>
      <c r="BL104" s="2">
        <f t="shared" si="10"/>
        <v>102</v>
      </c>
      <c r="BM104" s="2" t="str">
        <f t="shared" si="7"/>
        <v>Locomotive Tbilisi</v>
      </c>
      <c r="BN104" s="7">
        <f t="shared" ref="BN104:BO104" si="111">BJ104</f>
        <v>3.4629166666666666</v>
      </c>
      <c r="BO104" s="2">
        <f t="shared" si="111"/>
        <v>3</v>
      </c>
      <c r="BS104" s="2" t="str">
        <f t="shared" si="9"/>
        <v>Georgia</v>
      </c>
    </row>
    <row r="105" spans="1:71" ht="13.8" x14ac:dyDescent="0.45">
      <c r="A105" s="2" t="str">
        <f ca="1">IFERROR(__xludf.DUMMYFUNCTION("""COMPUTED_VALUE"""),"Keşla")</f>
        <v>Keşla</v>
      </c>
      <c r="B105" s="2">
        <f ca="1">IFERROR(__xludf.DUMMYFUNCTION("""COMPUTED_VALUE"""),0.72)</f>
        <v>0.72</v>
      </c>
      <c r="C105" s="2" t="str">
        <f ca="1">IFERROR(__xludf.DUMMYFUNCTION("""COMPUTED_VALUE"""),"Azerbaijan")</f>
        <v>Azerbaijan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5">
        <f ca="1">IFERROR(__xludf.DUMMYFUNCTION("""COMPUTED_VALUE"""),0)</f>
        <v>0</v>
      </c>
      <c r="P105" s="2">
        <f ca="1">IFERROR(__xludf.DUMMYFUNCTION("""COMPUTED_VALUE"""),0)</f>
        <v>0</v>
      </c>
      <c r="Q105" s="2">
        <f ca="1">IFERROR(__xludf.DUMMYFUNCTION("""COMPUTED_VALUE"""),0)</f>
        <v>0</v>
      </c>
      <c r="R105" s="2">
        <f ca="1">IFERROR(__xludf.DUMMYFUNCTION("""COMPUTED_VALUE"""),0)</f>
        <v>0</v>
      </c>
      <c r="S105" s="2">
        <f ca="1">IFERROR(__xludf.DUMMYFUNCTION("""COMPUTED_VALUE"""),0)</f>
        <v>0</v>
      </c>
      <c r="T105" s="2">
        <f ca="1">IFERROR(__xludf.DUMMYFUNCTION("""COMPUTED_VALUE"""),0)</f>
        <v>0</v>
      </c>
      <c r="U105" s="2">
        <f ca="1">IFERROR(__xludf.DUMMYFUNCTION("""COMPUTED_VALUE"""),0)</f>
        <v>0</v>
      </c>
      <c r="V105" s="2">
        <f ca="1">IFERROR(__xludf.DUMMYFUNCTION("""COMPUTED_VALUE"""),0)</f>
        <v>0</v>
      </c>
      <c r="W105" s="2">
        <f ca="1">IFERROR(__xludf.DUMMYFUNCTION("""COMPUTED_VALUE"""),0)</f>
        <v>0</v>
      </c>
      <c r="X105" s="2">
        <f ca="1">IFERROR(__xludf.DUMMYFUNCTION("""COMPUTED_VALUE"""),0)</f>
        <v>0</v>
      </c>
      <c r="Y105" s="2">
        <f ca="1">IFERROR(__xludf.DUMMYFUNCTION("""COMPUTED_VALUE"""),0)</f>
        <v>0</v>
      </c>
      <c r="AB105" s="2"/>
      <c r="AC105" s="2" t="str">
        <f ca="1">IFERROR(__xludf.DUMMYFUNCTION("""COMPUTED_VALUE"""),"X")</f>
        <v>X</v>
      </c>
      <c r="AD105" s="2"/>
      <c r="AE105" s="2"/>
      <c r="AF105" s="2"/>
      <c r="AG105" s="2"/>
      <c r="AH105" s="2"/>
      <c r="AI105" s="2"/>
      <c r="AJ105" s="2"/>
      <c r="AK105" s="2"/>
      <c r="AL105" s="2"/>
      <c r="AM105" s="2">
        <f ca="1">IFERROR(__xludf.DUMMYFUNCTION("""COMPUTED_VALUE"""),0)</f>
        <v>0</v>
      </c>
      <c r="AN105" s="2">
        <f ca="1">IFERROR(__xludf.DUMMYFUNCTION("""COMPUTED_VALUE"""),0.62)</f>
        <v>0.62</v>
      </c>
      <c r="AO105" s="2">
        <f ca="1">IFERROR(__xludf.DUMMYFUNCTION("""COMPUTED_VALUE"""),0)</f>
        <v>0</v>
      </c>
      <c r="AP105" s="2">
        <f ca="1">IFERROR(__xludf.DUMMYFUNCTION("""COMPUTED_VALUE"""),0)</f>
        <v>0</v>
      </c>
      <c r="AQ105" s="2">
        <f ca="1">IFERROR(__xludf.DUMMYFUNCTION("""COMPUTED_VALUE"""),0)</f>
        <v>0</v>
      </c>
      <c r="AR105" s="2">
        <f ca="1">IFERROR(__xludf.DUMMYFUNCTION("""COMPUTED_VALUE"""),0)</f>
        <v>0</v>
      </c>
      <c r="AS105" s="2">
        <f ca="1">IFERROR(__xludf.DUMMYFUNCTION("""COMPUTED_VALUE"""),0)</f>
        <v>0</v>
      </c>
      <c r="AT105" s="2">
        <f ca="1">IFERROR(__xludf.DUMMYFUNCTION("""COMPUTED_VALUE"""),0)</f>
        <v>0</v>
      </c>
      <c r="AU105" s="2">
        <f ca="1">IFERROR(__xludf.DUMMYFUNCTION("""COMPUTED_VALUE"""),0)</f>
        <v>0</v>
      </c>
      <c r="AV105" s="2">
        <f ca="1">IFERROR(__xludf.DUMMYFUNCTION("""COMPUTED_VALUE"""),0)</f>
        <v>0</v>
      </c>
      <c r="AW105" s="2">
        <f ca="1">IFERROR(__xludf.DUMMYFUNCTION("""COMPUTED_VALUE"""),0)</f>
        <v>0</v>
      </c>
      <c r="AY105" s="2">
        <f t="shared" ca="1" si="0"/>
        <v>1</v>
      </c>
      <c r="AZ105" s="2" t="e">
        <f ca="1">IF(NOT(COUNTA(D105:J105)), _xludf.IFS(AL105="W", 'Round Bonuses'!$F$14, AL105="X", 'Round Bonuses'!$F$13, AK105="X", 'Round Bonuses'!$F$12, AJ105="X", 'Round Bonuses'!$F$11, AI105="X", 'Round Bonuses'!$F$10, AH105="X", 'Round Bonuses'!$F$9, AG105="X", 'Round Bonuses'!$F$8, AF105="X", 'Round Bonuses'!$F$7, AE105="X", 'Round Bonuses'!$F$6, AD105="X", 'Round Bonuses'!$F$5, AC105="X", 'Round Bonuses'!$F$4, AB105="X", 'Round Bonuses'!$F$3, TRUE, 0), IF(AA105="X", _xludf.IFS(AD105="X", 'Round Bonuses'!$E$4, AF105="X",'Round Bonuses'!$E$6,TRUE, 'Round Bonuses'!$E$7), 0) +IF(AB105="X", 'Round Bonuses'!$E$3, 0)+IF(AC105="X",'Round Bonuses'!$E$4, 0)+IF(AD105="X", 'Round Bonuses'!$E$5, 0)+IF(AE105="X", 'Round Bonuses'!$E$6, 0)+IF(AF105="X", 'Round Bonuses'!$E$7, 0)+IF(AG105="X", 'Round Bonuses'!$E$8, 0)+_xludf.IFS(AL105="W", 'Round Bonuses'!$G$14, AL105="X", 'Round Bonuses'!$G$13, AK105="X", 'Round Bonuses'!$G$12, AJ105="X", 'Round Bonuses'!$G$11, AI105="X", 'Round Bonuses'!$G$10, AH105="X", 'Round Bonuses'!$G$9, TRUE, 0))+_xludf.IFS(N105="W", 'Round Bonuses'!$C$13, N105="X", 'Round Bonuses'!$C$12, M105="X", 'Round Bonuses'!$C$11, L105="X", 'Round Bonuses'!$C$10, K105="X", 'Round Bonuses'!$C$9, J105="X", 'Round Bonuses'!$C$8, I105="X", 'Round Bonuses'!$C$7, H105="X", 'Round Bonuses'!$C$6, G105="X", 'Round Bonuses'!$C$5, F105="X", 'Round Bonuses'!$C$4, E105="X", 'Round Bonuses'!$C$3, D105="X", 'Round Bonuses'!$C$3, TRUE, 0)</f>
        <v>#NAME?</v>
      </c>
      <c r="BA105" s="2">
        <f t="shared" ca="1" si="1"/>
        <v>0.62</v>
      </c>
      <c r="BB105" s="10" t="e">
        <f t="shared" ca="1" si="2"/>
        <v>#NAME?</v>
      </c>
      <c r="BD105" s="11" t="str">
        <f t="shared" ca="1" si="3"/>
        <v>Keşla</v>
      </c>
      <c r="BE105" s="2" t="str">
        <f t="shared" ca="1" si="4"/>
        <v>Azerbaijan</v>
      </c>
      <c r="BF105" s="2" t="e">
        <f t="shared" ca="1" si="5"/>
        <v>#NAME?</v>
      </c>
      <c r="BG105" s="2">
        <f t="shared" ca="1" si="6"/>
        <v>1</v>
      </c>
      <c r="BH105" s="2" t="s">
        <v>155</v>
      </c>
      <c r="BI105" s="2" t="s">
        <v>109</v>
      </c>
      <c r="BJ105" s="7">
        <v>3.4333333333333336</v>
      </c>
      <c r="BK105" s="2">
        <v>3</v>
      </c>
      <c r="BL105" s="2">
        <f t="shared" si="10"/>
        <v>103</v>
      </c>
      <c r="BM105" s="2" t="str">
        <f t="shared" si="7"/>
        <v>Piast Gliwice</v>
      </c>
      <c r="BN105" s="7">
        <f t="shared" ref="BN105:BO105" si="112">BJ105</f>
        <v>3.4333333333333336</v>
      </c>
      <c r="BO105" s="2">
        <f t="shared" si="112"/>
        <v>3</v>
      </c>
      <c r="BS105" s="2" t="str">
        <f t="shared" si="9"/>
        <v>Poland</v>
      </c>
    </row>
    <row r="106" spans="1:71" ht="13.8" x14ac:dyDescent="0.45">
      <c r="A106" s="2" t="str">
        <f ca="1">IFERROR(__xludf.DUMMYFUNCTION("""COMPUTED_VALUE"""),"KÍ")</f>
        <v>KÍ</v>
      </c>
      <c r="B106" s="2">
        <f ca="1">IFERROR(__xludf.DUMMYFUNCTION("""COMPUTED_VALUE"""),0.5)</f>
        <v>0.5</v>
      </c>
      <c r="C106" s="2" t="str">
        <f ca="1">IFERROR(__xludf.DUMMYFUNCTION("""COMPUTED_VALUE"""),"Faroe Islands")</f>
        <v>Faroe Islands</v>
      </c>
      <c r="D106" s="2"/>
      <c r="E106" s="2"/>
      <c r="F106" s="2" t="str">
        <f ca="1">IFERROR(__xludf.DUMMYFUNCTION("""COMPUTED_VALUE"""),"X")</f>
        <v>X</v>
      </c>
      <c r="G106" s="2" t="str">
        <f ca="1">IFERROR(__xludf.DUMMYFUNCTION("""COMPUTED_VALUE"""),"X")</f>
        <v>X</v>
      </c>
      <c r="H106" s="2"/>
      <c r="I106" s="2"/>
      <c r="J106" s="2"/>
      <c r="K106" s="2"/>
      <c r="L106" s="2"/>
      <c r="M106" s="2"/>
      <c r="N106" s="2"/>
      <c r="O106" s="5">
        <f ca="1">IFERROR(__xludf.DUMMYFUNCTION("""COMPUTED_VALUE"""),0)</f>
        <v>0</v>
      </c>
      <c r="P106" s="2">
        <f ca="1">IFERROR(__xludf.DUMMYFUNCTION("""COMPUTED_VALUE"""),0)</f>
        <v>0</v>
      </c>
      <c r="Q106" s="2">
        <f ca="1">IFERROR(__xludf.DUMMYFUNCTION("""COMPUTED_VALUE"""),3.41249999999999)</f>
        <v>3.4124999999999899</v>
      </c>
      <c r="R106" s="2">
        <f ca="1">IFERROR(__xludf.DUMMYFUNCTION("""COMPUTED_VALUE"""),0.58)</f>
        <v>0.57999999999999996</v>
      </c>
      <c r="S106" s="2">
        <f ca="1">IFERROR(__xludf.DUMMYFUNCTION("""COMPUTED_VALUE"""),0)</f>
        <v>0</v>
      </c>
      <c r="T106" s="2">
        <f ca="1">IFERROR(__xludf.DUMMYFUNCTION("""COMPUTED_VALUE"""),0)</f>
        <v>0</v>
      </c>
      <c r="U106" s="2">
        <f ca="1">IFERROR(__xludf.DUMMYFUNCTION("""COMPUTED_VALUE"""),0)</f>
        <v>0</v>
      </c>
      <c r="V106" s="2">
        <f ca="1">IFERROR(__xludf.DUMMYFUNCTION("""COMPUTED_VALUE"""),0)</f>
        <v>0</v>
      </c>
      <c r="W106" s="2">
        <f ca="1">IFERROR(__xludf.DUMMYFUNCTION("""COMPUTED_VALUE"""),0)</f>
        <v>0</v>
      </c>
      <c r="X106" s="2">
        <f ca="1">IFERROR(__xludf.DUMMYFUNCTION("""COMPUTED_VALUE"""),0)</f>
        <v>0</v>
      </c>
      <c r="Y106" s="2">
        <f ca="1">IFERROR(__xludf.DUMMYFUNCTION("""COMPUTED_VALUE"""),0)</f>
        <v>0</v>
      </c>
      <c r="AB106" s="2"/>
      <c r="AC106" s="2"/>
      <c r="AD106" s="2"/>
      <c r="AE106" s="2" t="str">
        <f ca="1">IFERROR(__xludf.DUMMYFUNCTION("""COMPUTED_VALUE"""),"X")</f>
        <v>X</v>
      </c>
      <c r="AF106" s="2" t="str">
        <f ca="1">IFERROR(__xludf.DUMMYFUNCTION("""COMPUTED_VALUE"""),"X")</f>
        <v>X</v>
      </c>
      <c r="AG106" s="2"/>
      <c r="AH106" s="2"/>
      <c r="AI106" s="2"/>
      <c r="AJ106" s="2"/>
      <c r="AK106" s="2"/>
      <c r="AL106" s="2"/>
      <c r="AM106" s="2">
        <f ca="1">IFERROR(__xludf.DUMMYFUNCTION("""COMPUTED_VALUE"""),0)</f>
        <v>0</v>
      </c>
      <c r="AN106" s="2">
        <f ca="1">IFERROR(__xludf.DUMMYFUNCTION("""COMPUTED_VALUE"""),0)</f>
        <v>0</v>
      </c>
      <c r="AO106" s="2">
        <f ca="1">IFERROR(__xludf.DUMMYFUNCTION("""COMPUTED_VALUE"""),0)</f>
        <v>0</v>
      </c>
      <c r="AP106" s="2">
        <f ca="1">IFERROR(__xludf.DUMMYFUNCTION("""COMPUTED_VALUE"""),2.45125)</f>
        <v>2.4512499999999999</v>
      </c>
      <c r="AQ106" s="2">
        <f ca="1">IFERROR(__xludf.DUMMYFUNCTION("""COMPUTED_VALUE"""),0.38)</f>
        <v>0.38</v>
      </c>
      <c r="AR106" s="2">
        <f ca="1">IFERROR(__xludf.DUMMYFUNCTION("""COMPUTED_VALUE"""),0)</f>
        <v>0</v>
      </c>
      <c r="AS106" s="2">
        <f ca="1">IFERROR(__xludf.DUMMYFUNCTION("""COMPUTED_VALUE"""),0)</f>
        <v>0</v>
      </c>
      <c r="AT106" s="2">
        <f ca="1">IFERROR(__xludf.DUMMYFUNCTION("""COMPUTED_VALUE"""),0)</f>
        <v>0</v>
      </c>
      <c r="AU106" s="2">
        <f ca="1">IFERROR(__xludf.DUMMYFUNCTION("""COMPUTED_VALUE"""),0)</f>
        <v>0</v>
      </c>
      <c r="AV106" s="2">
        <f ca="1">IFERROR(__xludf.DUMMYFUNCTION("""COMPUTED_VALUE"""),0)</f>
        <v>0</v>
      </c>
      <c r="AW106" s="2">
        <f ca="1">IFERROR(__xludf.DUMMYFUNCTION("""COMPUTED_VALUE"""),0)</f>
        <v>0</v>
      </c>
      <c r="AY106" s="2">
        <f t="shared" ca="1" si="0"/>
        <v>4</v>
      </c>
      <c r="AZ106" s="2" t="e">
        <f ca="1">IF(NOT(COUNTA(D106:J106)), _xludf.IFS(AL106="W", 'Round Bonuses'!$F$14, AL106="X", 'Round Bonuses'!$F$13, AK106="X", 'Round Bonuses'!$F$12, AJ106="X", 'Round Bonuses'!$F$11, AI106="X", 'Round Bonuses'!$F$10, AH106="X", 'Round Bonuses'!$F$9, AG106="X", 'Round Bonuses'!$F$8, AF106="X", 'Round Bonuses'!$F$7, AE106="X", 'Round Bonuses'!$F$6, AD106="X", 'Round Bonuses'!$F$5, AC106="X", 'Round Bonuses'!$F$4, AB106="X", 'Round Bonuses'!$F$3, TRUE, 0), IF(AA106="X", _xludf.IFS(AD106="X", 'Round Bonuses'!$E$4, AF106="X",'Round Bonuses'!$E$6,TRUE, 'Round Bonuses'!$E$7), 0) +IF(AB106="X", 'Round Bonuses'!$E$3, 0)+IF(AC106="X",'Round Bonuses'!$E$4, 0)+IF(AD106="X", 'Round Bonuses'!$E$5, 0)+IF(AE106="X", 'Round Bonuses'!$E$6, 0)+IF(AF106="X", 'Round Bonuses'!$E$7, 0)+IF(AG106="X", 'Round Bonuses'!$E$8, 0)+_xludf.IFS(AL106="W", 'Round Bonuses'!$G$14, AL106="X", 'Round Bonuses'!$G$13, AK106="X", 'Round Bonuses'!$G$12, AJ106="X", 'Round Bonuses'!$G$11, AI106="X", 'Round Bonuses'!$G$10, AH106="X", 'Round Bonuses'!$G$9, TRUE, 0))+_xludf.IFS(N106="W", 'Round Bonuses'!$C$13, N106="X", 'Round Bonuses'!$C$12, M106="X", 'Round Bonuses'!$C$11, L106="X", 'Round Bonuses'!$C$10, K106="X", 'Round Bonuses'!$C$9, J106="X", 'Round Bonuses'!$C$8, I106="X", 'Round Bonuses'!$C$7, H106="X", 'Round Bonuses'!$C$6, G106="X", 'Round Bonuses'!$C$5, F106="X", 'Round Bonuses'!$C$4, E106="X", 'Round Bonuses'!$C$3, D106="X", 'Round Bonuses'!$C$3, TRUE, 0)</f>
        <v>#NAME?</v>
      </c>
      <c r="BA106" s="2">
        <f t="shared" ca="1" si="1"/>
        <v>6.8237499999999898</v>
      </c>
      <c r="BB106" s="10" t="e">
        <f t="shared" ca="1" si="2"/>
        <v>#NAME?</v>
      </c>
      <c r="BD106" s="11" t="str">
        <f t="shared" ca="1" si="3"/>
        <v>KÍ</v>
      </c>
      <c r="BE106" s="2" t="str">
        <f t="shared" ca="1" si="4"/>
        <v>Faroe Islands</v>
      </c>
      <c r="BF106" s="2" t="e">
        <f t="shared" ca="1" si="5"/>
        <v>#NAME?</v>
      </c>
      <c r="BG106" s="2">
        <f t="shared" ca="1" si="6"/>
        <v>4</v>
      </c>
      <c r="BH106" s="2" t="s">
        <v>156</v>
      </c>
      <c r="BI106" s="2" t="s">
        <v>157</v>
      </c>
      <c r="BJ106" s="7">
        <v>3.2175000000000002</v>
      </c>
      <c r="BK106" s="2">
        <v>3</v>
      </c>
      <c r="BL106" s="2">
        <f t="shared" si="10"/>
        <v>104</v>
      </c>
      <c r="BM106" s="2" t="str">
        <f t="shared" si="7"/>
        <v>Shkëndija</v>
      </c>
      <c r="BN106" s="7">
        <f t="shared" ref="BN106:BO106" si="113">BJ106</f>
        <v>3.2175000000000002</v>
      </c>
      <c r="BO106" s="2">
        <f t="shared" si="113"/>
        <v>3</v>
      </c>
      <c r="BS106" s="2" t="str">
        <f t="shared" si="9"/>
        <v>North Macedonia</v>
      </c>
    </row>
    <row r="107" spans="1:71" ht="13.8" x14ac:dyDescent="0.45">
      <c r="A107" s="2" t="str">
        <f ca="1">IFERROR(__xludf.DUMMYFUNCTION("""COMPUTED_VALUE"""),"Kolos Kovalivka")</f>
        <v>Kolos Kovalivka</v>
      </c>
      <c r="B107" s="2">
        <f ca="1">IFERROR(__xludf.DUMMYFUNCTION("""COMPUTED_VALUE"""),0.87)</f>
        <v>0.87</v>
      </c>
      <c r="C107" s="2" t="str">
        <f ca="1">IFERROR(__xludf.DUMMYFUNCTION("""COMPUTED_VALUE"""),"Ukraine")</f>
        <v>Ukraine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5">
        <f ca="1">IFERROR(__xludf.DUMMYFUNCTION("""COMPUTED_VALUE"""),0)</f>
        <v>0</v>
      </c>
      <c r="P107" s="2">
        <f ca="1">IFERROR(__xludf.DUMMYFUNCTION("""COMPUTED_VALUE"""),0)</f>
        <v>0</v>
      </c>
      <c r="Q107" s="2">
        <f ca="1">IFERROR(__xludf.DUMMYFUNCTION("""COMPUTED_VALUE"""),0)</f>
        <v>0</v>
      </c>
      <c r="R107" s="2">
        <f ca="1">IFERROR(__xludf.DUMMYFUNCTION("""COMPUTED_VALUE"""),0)</f>
        <v>0</v>
      </c>
      <c r="S107" s="2">
        <f ca="1">IFERROR(__xludf.DUMMYFUNCTION("""COMPUTED_VALUE"""),0)</f>
        <v>0</v>
      </c>
      <c r="T107" s="2">
        <f ca="1">IFERROR(__xludf.DUMMYFUNCTION("""COMPUTED_VALUE"""),0)</f>
        <v>0</v>
      </c>
      <c r="U107" s="2">
        <f ca="1">IFERROR(__xludf.DUMMYFUNCTION("""COMPUTED_VALUE"""),0)</f>
        <v>0</v>
      </c>
      <c r="V107" s="2">
        <f ca="1">IFERROR(__xludf.DUMMYFUNCTION("""COMPUTED_VALUE"""),0)</f>
        <v>0</v>
      </c>
      <c r="W107" s="2">
        <f ca="1">IFERROR(__xludf.DUMMYFUNCTION("""COMPUTED_VALUE"""),0)</f>
        <v>0</v>
      </c>
      <c r="X107" s="2">
        <f ca="1">IFERROR(__xludf.DUMMYFUNCTION("""COMPUTED_VALUE"""),0)</f>
        <v>0</v>
      </c>
      <c r="Y107" s="2">
        <f ca="1">IFERROR(__xludf.DUMMYFUNCTION("""COMPUTED_VALUE"""),0)</f>
        <v>0</v>
      </c>
      <c r="AB107" s="2"/>
      <c r="AC107" s="2"/>
      <c r="AD107" s="2" t="str">
        <f ca="1">IFERROR(__xludf.DUMMYFUNCTION("""COMPUTED_VALUE"""),"X")</f>
        <v>X</v>
      </c>
      <c r="AE107" s="2" t="str">
        <f ca="1">IFERROR(__xludf.DUMMYFUNCTION("""COMPUTED_VALUE"""),"X")</f>
        <v>X</v>
      </c>
      <c r="AF107" s="2"/>
      <c r="AG107" s="2"/>
      <c r="AH107" s="2"/>
      <c r="AI107" s="2"/>
      <c r="AJ107" s="2"/>
      <c r="AK107" s="2"/>
      <c r="AL107" s="2"/>
      <c r="AM107" s="2">
        <f ca="1">IFERROR(__xludf.DUMMYFUNCTION("""COMPUTED_VALUE"""),0)</f>
        <v>0</v>
      </c>
      <c r="AN107" s="2">
        <f ca="1">IFERROR(__xludf.DUMMYFUNCTION("""COMPUTED_VALUE"""),0)</f>
        <v>0</v>
      </c>
      <c r="AO107" s="2">
        <f ca="1">IFERROR(__xludf.DUMMYFUNCTION("""COMPUTED_VALUE"""),3.3825)</f>
        <v>3.3824999999999998</v>
      </c>
      <c r="AP107" s="2">
        <f ca="1">IFERROR(__xludf.DUMMYFUNCTION("""COMPUTED_VALUE"""),0.57)</f>
        <v>0.56999999999999995</v>
      </c>
      <c r="AQ107" s="2">
        <f ca="1">IFERROR(__xludf.DUMMYFUNCTION("""COMPUTED_VALUE"""),0)</f>
        <v>0</v>
      </c>
      <c r="AR107" s="2">
        <f ca="1">IFERROR(__xludf.DUMMYFUNCTION("""COMPUTED_VALUE"""),0)</f>
        <v>0</v>
      </c>
      <c r="AS107" s="2">
        <f ca="1">IFERROR(__xludf.DUMMYFUNCTION("""COMPUTED_VALUE"""),0)</f>
        <v>0</v>
      </c>
      <c r="AT107" s="2">
        <f ca="1">IFERROR(__xludf.DUMMYFUNCTION("""COMPUTED_VALUE"""),0)</f>
        <v>0</v>
      </c>
      <c r="AU107" s="2">
        <f ca="1">IFERROR(__xludf.DUMMYFUNCTION("""COMPUTED_VALUE"""),0)</f>
        <v>0</v>
      </c>
      <c r="AV107" s="2">
        <f ca="1">IFERROR(__xludf.DUMMYFUNCTION("""COMPUTED_VALUE"""),0)</f>
        <v>0</v>
      </c>
      <c r="AW107" s="2">
        <f ca="1">IFERROR(__xludf.DUMMYFUNCTION("""COMPUTED_VALUE"""),0)</f>
        <v>0</v>
      </c>
      <c r="AY107" s="2">
        <f t="shared" ca="1" si="0"/>
        <v>2</v>
      </c>
      <c r="AZ107" s="2" t="e">
        <f ca="1">IF(NOT(COUNTA(D107:J107)), _xludf.IFS(AL107="W", 'Round Bonuses'!$F$14, AL107="X", 'Round Bonuses'!$F$13, AK107="X", 'Round Bonuses'!$F$12, AJ107="X", 'Round Bonuses'!$F$11, AI107="X", 'Round Bonuses'!$F$10, AH107="X", 'Round Bonuses'!$F$9, AG107="X", 'Round Bonuses'!$F$8, AF107="X", 'Round Bonuses'!$F$7, AE107="X", 'Round Bonuses'!$F$6, AD107="X", 'Round Bonuses'!$F$5, AC107="X", 'Round Bonuses'!$F$4, AB107="X", 'Round Bonuses'!$F$3, TRUE, 0), IF(AA107="X", _xludf.IFS(AD107="X", 'Round Bonuses'!$E$4, AF107="X",'Round Bonuses'!$E$6,TRUE, 'Round Bonuses'!$E$7), 0) +IF(AB107="X", 'Round Bonuses'!$E$3, 0)+IF(AC107="X",'Round Bonuses'!$E$4, 0)+IF(AD107="X", 'Round Bonuses'!$E$5, 0)+IF(AE107="X", 'Round Bonuses'!$E$6, 0)+IF(AF107="X", 'Round Bonuses'!$E$7, 0)+IF(AG107="X", 'Round Bonuses'!$E$8, 0)+_xludf.IFS(AL107="W", 'Round Bonuses'!$G$14, AL107="X", 'Round Bonuses'!$G$13, AK107="X", 'Round Bonuses'!$G$12, AJ107="X", 'Round Bonuses'!$G$11, AI107="X", 'Round Bonuses'!$G$10, AH107="X", 'Round Bonuses'!$G$9, TRUE, 0))+_xludf.IFS(N107="W", 'Round Bonuses'!$C$13, N107="X", 'Round Bonuses'!$C$12, M107="X", 'Round Bonuses'!$C$11, L107="X", 'Round Bonuses'!$C$10, K107="X", 'Round Bonuses'!$C$9, J107="X", 'Round Bonuses'!$C$8, I107="X", 'Round Bonuses'!$C$7, H107="X", 'Round Bonuses'!$C$6, G107="X", 'Round Bonuses'!$C$5, F107="X", 'Round Bonuses'!$C$4, E107="X", 'Round Bonuses'!$C$3, D107="X", 'Round Bonuses'!$C$3, TRUE, 0)</f>
        <v>#NAME?</v>
      </c>
      <c r="BA107" s="2">
        <f t="shared" ca="1" si="1"/>
        <v>3.9524999999999997</v>
      </c>
      <c r="BB107" s="10" t="e">
        <f t="shared" ca="1" si="2"/>
        <v>#NAME?</v>
      </c>
      <c r="BD107" s="11" t="str">
        <f t="shared" ca="1" si="3"/>
        <v>Kolos Kovalivka</v>
      </c>
      <c r="BE107" s="2" t="str">
        <f t="shared" ca="1" si="4"/>
        <v>Ukraine</v>
      </c>
      <c r="BF107" s="2" t="e">
        <f t="shared" ca="1" si="5"/>
        <v>#NAME?</v>
      </c>
      <c r="BG107" s="2">
        <f t="shared" ca="1" si="6"/>
        <v>2</v>
      </c>
      <c r="BH107" s="2" t="s">
        <v>158</v>
      </c>
      <c r="BI107" s="2" t="s">
        <v>159</v>
      </c>
      <c r="BJ107" s="7">
        <v>3.1312499999999996</v>
      </c>
      <c r="BK107" s="2">
        <v>3</v>
      </c>
      <c r="BL107" s="2">
        <f t="shared" si="10"/>
        <v>105</v>
      </c>
      <c r="BM107" s="2" t="str">
        <f t="shared" si="7"/>
        <v>Mura</v>
      </c>
      <c r="BN107" s="7">
        <f t="shared" ref="BN107:BO107" si="114">BJ107</f>
        <v>3.1312499999999996</v>
      </c>
      <c r="BO107" s="2">
        <f t="shared" si="114"/>
        <v>3</v>
      </c>
      <c r="BS107" s="2" t="str">
        <f t="shared" si="9"/>
        <v>Slovenia</v>
      </c>
    </row>
    <row r="108" spans="1:71" ht="13.8" x14ac:dyDescent="0.45">
      <c r="A108" s="2" t="str">
        <f ca="1">IFERROR(__xludf.DUMMYFUNCTION("""COMPUTED_VALUE"""),"KR")</f>
        <v>KR</v>
      </c>
      <c r="B108" s="2">
        <f ca="1">IFERROR(__xludf.DUMMYFUNCTION("""COMPUTED_VALUE"""),0.61)</f>
        <v>0.61</v>
      </c>
      <c r="C108" s="2" t="str">
        <f ca="1">IFERROR(__xludf.DUMMYFUNCTION("""COMPUTED_VALUE"""),"Iceland")</f>
        <v>Iceland</v>
      </c>
      <c r="D108" s="2"/>
      <c r="E108" s="2"/>
      <c r="F108" s="2" t="str">
        <f ca="1">IFERROR(__xludf.DUMMYFUNCTION("""COMPUTED_VALUE"""),"X")</f>
        <v>X</v>
      </c>
      <c r="G108" s="2"/>
      <c r="H108" s="2"/>
      <c r="I108" s="2"/>
      <c r="J108" s="2"/>
      <c r="K108" s="2"/>
      <c r="L108" s="2"/>
      <c r="M108" s="2"/>
      <c r="N108" s="2"/>
      <c r="O108" s="5">
        <f ca="1">IFERROR(__xludf.DUMMYFUNCTION("""COMPUTED_VALUE"""),0)</f>
        <v>0</v>
      </c>
      <c r="P108" s="2">
        <f ca="1">IFERROR(__xludf.DUMMYFUNCTION("""COMPUTED_VALUE"""),0)</f>
        <v>0</v>
      </c>
      <c r="Q108" s="2">
        <f ca="1">IFERROR(__xludf.DUMMYFUNCTION("""COMPUTED_VALUE"""),0.05)</f>
        <v>0.05</v>
      </c>
      <c r="R108" s="2">
        <f ca="1">IFERROR(__xludf.DUMMYFUNCTION("""COMPUTED_VALUE"""),0)</f>
        <v>0</v>
      </c>
      <c r="S108" s="2">
        <f ca="1">IFERROR(__xludf.DUMMYFUNCTION("""COMPUTED_VALUE"""),0)</f>
        <v>0</v>
      </c>
      <c r="T108" s="2">
        <f ca="1">IFERROR(__xludf.DUMMYFUNCTION("""COMPUTED_VALUE"""),0)</f>
        <v>0</v>
      </c>
      <c r="U108" s="2">
        <f ca="1">IFERROR(__xludf.DUMMYFUNCTION("""COMPUTED_VALUE"""),0)</f>
        <v>0</v>
      </c>
      <c r="V108" s="2">
        <f ca="1">IFERROR(__xludf.DUMMYFUNCTION("""COMPUTED_VALUE"""),0)</f>
        <v>0</v>
      </c>
      <c r="W108" s="2">
        <f ca="1">IFERROR(__xludf.DUMMYFUNCTION("""COMPUTED_VALUE"""),0)</f>
        <v>0</v>
      </c>
      <c r="X108" s="2">
        <f ca="1">IFERROR(__xludf.DUMMYFUNCTION("""COMPUTED_VALUE"""),0)</f>
        <v>0</v>
      </c>
      <c r="Y108" s="2">
        <f ca="1">IFERROR(__xludf.DUMMYFUNCTION("""COMPUTED_VALUE"""),0)</f>
        <v>0</v>
      </c>
      <c r="AB108" s="2"/>
      <c r="AC108" s="2"/>
      <c r="AD108" s="2" t="str">
        <f ca="1">IFERROR(__xludf.DUMMYFUNCTION("""COMPUTED_VALUE"""),"X")</f>
        <v>X</v>
      </c>
      <c r="AE108" s="2"/>
      <c r="AF108" s="2"/>
      <c r="AG108" s="2"/>
      <c r="AH108" s="2"/>
      <c r="AI108" s="2"/>
      <c r="AJ108" s="2"/>
      <c r="AK108" s="2"/>
      <c r="AL108" s="2"/>
      <c r="AM108" s="2">
        <f ca="1">IFERROR(__xludf.DUMMYFUNCTION("""COMPUTED_VALUE"""),0)</f>
        <v>0</v>
      </c>
      <c r="AN108" s="2">
        <f ca="1">IFERROR(__xludf.DUMMYFUNCTION("""COMPUTED_VALUE"""),0)</f>
        <v>0</v>
      </c>
      <c r="AO108" s="2">
        <f ca="1">IFERROR(__xludf.DUMMYFUNCTION("""COMPUTED_VALUE"""),0.415)</f>
        <v>0.41499999999999998</v>
      </c>
      <c r="AP108" s="2">
        <f ca="1">IFERROR(__xludf.DUMMYFUNCTION("""COMPUTED_VALUE"""),0)</f>
        <v>0</v>
      </c>
      <c r="AQ108" s="2">
        <f ca="1">IFERROR(__xludf.DUMMYFUNCTION("""COMPUTED_VALUE"""),0)</f>
        <v>0</v>
      </c>
      <c r="AR108" s="2">
        <f ca="1">IFERROR(__xludf.DUMMYFUNCTION("""COMPUTED_VALUE"""),0)</f>
        <v>0</v>
      </c>
      <c r="AS108" s="2">
        <f ca="1">IFERROR(__xludf.DUMMYFUNCTION("""COMPUTED_VALUE"""),0)</f>
        <v>0</v>
      </c>
      <c r="AT108" s="2">
        <f ca="1">IFERROR(__xludf.DUMMYFUNCTION("""COMPUTED_VALUE"""),0)</f>
        <v>0</v>
      </c>
      <c r="AU108" s="2">
        <f ca="1">IFERROR(__xludf.DUMMYFUNCTION("""COMPUTED_VALUE"""),0)</f>
        <v>0</v>
      </c>
      <c r="AV108" s="2">
        <f ca="1">IFERROR(__xludf.DUMMYFUNCTION("""COMPUTED_VALUE"""),0)</f>
        <v>0</v>
      </c>
      <c r="AW108" s="2">
        <f ca="1">IFERROR(__xludf.DUMMYFUNCTION("""COMPUTED_VALUE"""),0)</f>
        <v>0</v>
      </c>
      <c r="AY108" s="2">
        <f t="shared" ca="1" si="0"/>
        <v>2</v>
      </c>
      <c r="AZ108" s="2" t="e">
        <f ca="1">IF(NOT(COUNTA(D108:J108)), _xludf.IFS(AL108="W", 'Round Bonuses'!$F$14, AL108="X", 'Round Bonuses'!$F$13, AK108="X", 'Round Bonuses'!$F$12, AJ108="X", 'Round Bonuses'!$F$11, AI108="X", 'Round Bonuses'!$F$10, AH108="X", 'Round Bonuses'!$F$9, AG108="X", 'Round Bonuses'!$F$8, AF108="X", 'Round Bonuses'!$F$7, AE108="X", 'Round Bonuses'!$F$6, AD108="X", 'Round Bonuses'!$F$5, AC108="X", 'Round Bonuses'!$F$4, AB108="X", 'Round Bonuses'!$F$3, TRUE, 0), IF(AA108="X", _xludf.IFS(AD108="X", 'Round Bonuses'!$E$4, AF108="X",'Round Bonuses'!$E$6,TRUE, 'Round Bonuses'!$E$7), 0) +IF(AB108="X", 'Round Bonuses'!$E$3, 0)+IF(AC108="X",'Round Bonuses'!$E$4, 0)+IF(AD108="X", 'Round Bonuses'!$E$5, 0)+IF(AE108="X", 'Round Bonuses'!$E$6, 0)+IF(AF108="X", 'Round Bonuses'!$E$7, 0)+IF(AG108="X", 'Round Bonuses'!$E$8, 0)+_xludf.IFS(AL108="W", 'Round Bonuses'!$G$14, AL108="X", 'Round Bonuses'!$G$13, AK108="X", 'Round Bonuses'!$G$12, AJ108="X", 'Round Bonuses'!$G$11, AI108="X", 'Round Bonuses'!$G$10, AH108="X", 'Round Bonuses'!$G$9, TRUE, 0))+_xludf.IFS(N108="W", 'Round Bonuses'!$C$13, N108="X", 'Round Bonuses'!$C$12, M108="X", 'Round Bonuses'!$C$11, L108="X", 'Round Bonuses'!$C$10, K108="X", 'Round Bonuses'!$C$9, J108="X", 'Round Bonuses'!$C$8, I108="X", 'Round Bonuses'!$C$7, H108="X", 'Round Bonuses'!$C$6, G108="X", 'Round Bonuses'!$C$5, F108="X", 'Round Bonuses'!$C$4, E108="X", 'Round Bonuses'!$C$3, D108="X", 'Round Bonuses'!$C$3, TRUE, 0)</f>
        <v>#NAME?</v>
      </c>
      <c r="BA108" s="2">
        <f t="shared" ca="1" si="1"/>
        <v>0.46499999999999997</v>
      </c>
      <c r="BB108" s="10" t="e">
        <f t="shared" ca="1" si="2"/>
        <v>#NAME?</v>
      </c>
      <c r="BD108" s="11" t="str">
        <f t="shared" ca="1" si="3"/>
        <v>KR</v>
      </c>
      <c r="BE108" s="2" t="str">
        <f t="shared" ca="1" si="4"/>
        <v>Iceland</v>
      </c>
      <c r="BF108" s="2" t="e">
        <f t="shared" ca="1" si="5"/>
        <v>#NAME?</v>
      </c>
      <c r="BG108" s="2">
        <f t="shared" ca="1" si="6"/>
        <v>2</v>
      </c>
      <c r="BH108" s="2" t="s">
        <v>160</v>
      </c>
      <c r="BI108" s="2" t="s">
        <v>66</v>
      </c>
      <c r="BJ108" s="7">
        <v>3.1308333333333334</v>
      </c>
      <c r="BK108" s="2">
        <v>3</v>
      </c>
      <c r="BL108" s="2">
        <f t="shared" si="10"/>
        <v>106</v>
      </c>
      <c r="BM108" s="2" t="str">
        <f t="shared" si="7"/>
        <v>Aberdeen</v>
      </c>
      <c r="BN108" s="7">
        <f t="shared" ref="BN108:BO108" si="115">BJ108</f>
        <v>3.1308333333333334</v>
      </c>
      <c r="BO108" s="2">
        <f t="shared" si="115"/>
        <v>3</v>
      </c>
      <c r="BS108" s="2" t="str">
        <f t="shared" si="9"/>
        <v>Scotland</v>
      </c>
    </row>
    <row r="109" spans="1:71" ht="13.8" x14ac:dyDescent="0.45">
      <c r="A109" s="2" t="str">
        <f ca="1">IFERROR(__xludf.DUMMYFUNCTION("""COMPUTED_VALUE"""),"Krasnodar")</f>
        <v>Krasnodar</v>
      </c>
      <c r="B109" s="2">
        <f ca="1">IFERROR(__xludf.DUMMYFUNCTION("""COMPUTED_VALUE"""),0.919999999999999)</f>
        <v>0.91999999999999904</v>
      </c>
      <c r="C109" s="2" t="str">
        <f ca="1">IFERROR(__xludf.DUMMYFUNCTION("""COMPUTED_VALUE"""),"Russia")</f>
        <v>Russia</v>
      </c>
      <c r="D109" s="2"/>
      <c r="E109" s="2"/>
      <c r="F109" s="2"/>
      <c r="G109" s="2"/>
      <c r="H109" s="2"/>
      <c r="I109" s="2" t="str">
        <f ca="1">IFERROR(__xludf.DUMMYFUNCTION("""COMPUTED_VALUE"""),"X")</f>
        <v>X</v>
      </c>
      <c r="J109" s="2" t="str">
        <f ca="1">IFERROR(__xludf.DUMMYFUNCTION("""COMPUTED_VALUE"""),"X")</f>
        <v>X</v>
      </c>
      <c r="K109" s="2"/>
      <c r="L109" s="2"/>
      <c r="M109" s="2"/>
      <c r="N109" s="2"/>
      <c r="O109" s="5">
        <f ca="1">IFERROR(__xludf.DUMMYFUNCTION("""COMPUTED_VALUE"""),0)</f>
        <v>0</v>
      </c>
      <c r="P109" s="2">
        <f ca="1">IFERROR(__xludf.DUMMYFUNCTION("""COMPUTED_VALUE"""),0)</f>
        <v>0</v>
      </c>
      <c r="Q109" s="2">
        <f ca="1">IFERROR(__xludf.DUMMYFUNCTION("""COMPUTED_VALUE"""),0)</f>
        <v>0</v>
      </c>
      <c r="R109" s="2">
        <f ca="1">IFERROR(__xludf.DUMMYFUNCTION("""COMPUTED_VALUE"""),0)</f>
        <v>0</v>
      </c>
      <c r="S109" s="2">
        <f ca="1">IFERROR(__xludf.DUMMYFUNCTION("""COMPUTED_VALUE"""),0)</f>
        <v>0</v>
      </c>
      <c r="T109" s="2">
        <f ca="1">IFERROR(__xludf.DUMMYFUNCTION("""COMPUTED_VALUE"""),7.0125)</f>
        <v>7.0125000000000002</v>
      </c>
      <c r="U109" s="2">
        <f ca="1">IFERROR(__xludf.DUMMYFUNCTION("""COMPUTED_VALUE"""),9.71624999999999)</f>
        <v>9.7162499999999898</v>
      </c>
      <c r="V109" s="2">
        <f ca="1">IFERROR(__xludf.DUMMYFUNCTION("""COMPUTED_VALUE"""),0)</f>
        <v>0</v>
      </c>
      <c r="W109" s="2">
        <f ca="1">IFERROR(__xludf.DUMMYFUNCTION("""COMPUTED_VALUE"""),0)</f>
        <v>0</v>
      </c>
      <c r="X109" s="2">
        <f ca="1">IFERROR(__xludf.DUMMYFUNCTION("""COMPUTED_VALUE"""),0)</f>
        <v>0</v>
      </c>
      <c r="Y109" s="2">
        <f ca="1">IFERROR(__xludf.DUMMYFUNCTION("""COMPUTED_VALUE"""),0)</f>
        <v>0</v>
      </c>
      <c r="AB109" s="2"/>
      <c r="AC109" s="2"/>
      <c r="AD109" s="2"/>
      <c r="AE109" s="2"/>
      <c r="AF109" s="2"/>
      <c r="AG109" s="2"/>
      <c r="AH109" s="2" t="str">
        <f ca="1">IFERROR(__xludf.DUMMYFUNCTION("""COMPUTED_VALUE"""),"X")</f>
        <v>X</v>
      </c>
      <c r="AI109" s="2"/>
      <c r="AJ109" s="2"/>
      <c r="AK109" s="2"/>
      <c r="AL109" s="2"/>
      <c r="AM109" s="2">
        <f ca="1">IFERROR(__xludf.DUMMYFUNCTION("""COMPUTED_VALUE"""),0)</f>
        <v>0</v>
      </c>
      <c r="AN109" s="2">
        <f ca="1">IFERROR(__xludf.DUMMYFUNCTION("""COMPUTED_VALUE"""),0)</f>
        <v>0</v>
      </c>
      <c r="AO109" s="2">
        <f ca="1">IFERROR(__xludf.DUMMYFUNCTION("""COMPUTED_VALUE"""),0)</f>
        <v>0</v>
      </c>
      <c r="AP109" s="2">
        <f ca="1">IFERROR(__xludf.DUMMYFUNCTION("""COMPUTED_VALUE"""),0)</f>
        <v>0</v>
      </c>
      <c r="AQ109" s="2">
        <f ca="1">IFERROR(__xludf.DUMMYFUNCTION("""COMPUTED_VALUE"""),0)</f>
        <v>0</v>
      </c>
      <c r="AR109" s="2">
        <f ca="1">IFERROR(__xludf.DUMMYFUNCTION("""COMPUTED_VALUE"""),0)</f>
        <v>0</v>
      </c>
      <c r="AS109" s="2">
        <f ca="1">IFERROR(__xludf.DUMMYFUNCTION("""COMPUTED_VALUE"""),1.45)</f>
        <v>1.45</v>
      </c>
      <c r="AT109" s="2">
        <f ca="1">IFERROR(__xludf.DUMMYFUNCTION("""COMPUTED_VALUE"""),0)</f>
        <v>0</v>
      </c>
      <c r="AU109" s="2">
        <f ca="1">IFERROR(__xludf.DUMMYFUNCTION("""COMPUTED_VALUE"""),0)</f>
        <v>0</v>
      </c>
      <c r="AV109" s="2">
        <f ca="1">IFERROR(__xludf.DUMMYFUNCTION("""COMPUTED_VALUE"""),0)</f>
        <v>0</v>
      </c>
      <c r="AW109" s="2">
        <f ca="1">IFERROR(__xludf.DUMMYFUNCTION("""COMPUTED_VALUE"""),0)</f>
        <v>0</v>
      </c>
      <c r="AY109" s="2">
        <f t="shared" ca="1" si="0"/>
        <v>10</v>
      </c>
      <c r="AZ109" s="2" t="e">
        <f ca="1">IF(NOT(COUNTA(D109:J109)), _xludf.IFS(AL109="W", 'Round Bonuses'!$F$14, AL109="X", 'Round Bonuses'!$F$13, AK109="X", 'Round Bonuses'!$F$12, AJ109="X", 'Round Bonuses'!$F$11, AI109="X", 'Round Bonuses'!$F$10, AH109="X", 'Round Bonuses'!$F$9, AG109="X", 'Round Bonuses'!$F$8, AF109="X", 'Round Bonuses'!$F$7, AE109="X", 'Round Bonuses'!$F$6, AD109="X", 'Round Bonuses'!$F$5, AC109="X", 'Round Bonuses'!$F$4, AB109="X", 'Round Bonuses'!$F$3, TRUE, 0), IF(AA109="X", _xludf.IFS(AD109="X", 'Round Bonuses'!$E$4, AF109="X",'Round Bonuses'!$E$6,TRUE, 'Round Bonuses'!$E$7), 0) +IF(AB109="X", 'Round Bonuses'!$E$3, 0)+IF(AC109="X",'Round Bonuses'!$E$4, 0)+IF(AD109="X", 'Round Bonuses'!$E$5, 0)+IF(AE109="X", 'Round Bonuses'!$E$6, 0)+IF(AF109="X", 'Round Bonuses'!$E$7, 0)+IF(AG109="X", 'Round Bonuses'!$E$8, 0)+_xludf.IFS(AL109="W", 'Round Bonuses'!$G$14, AL109="X", 'Round Bonuses'!$G$13, AK109="X", 'Round Bonuses'!$G$12, AJ109="X", 'Round Bonuses'!$G$11, AI109="X", 'Round Bonuses'!$G$10, AH109="X", 'Round Bonuses'!$G$9, TRUE, 0))+_xludf.IFS(N109="W", 'Round Bonuses'!$C$13, N109="X", 'Round Bonuses'!$C$12, M109="X", 'Round Bonuses'!$C$11, L109="X", 'Round Bonuses'!$C$10, K109="X", 'Round Bonuses'!$C$9, J109="X", 'Round Bonuses'!$C$8, I109="X", 'Round Bonuses'!$C$7, H109="X", 'Round Bonuses'!$C$6, G109="X", 'Round Bonuses'!$C$5, F109="X", 'Round Bonuses'!$C$4, E109="X", 'Round Bonuses'!$C$3, D109="X", 'Round Bonuses'!$C$3, TRUE, 0)</f>
        <v>#NAME?</v>
      </c>
      <c r="BA109" s="2">
        <f t="shared" ca="1" si="1"/>
        <v>18.17874999999999</v>
      </c>
      <c r="BB109" s="10" t="e">
        <f t="shared" ca="1" si="2"/>
        <v>#NAME?</v>
      </c>
      <c r="BD109" s="11" t="str">
        <f t="shared" ca="1" si="3"/>
        <v>Krasnodar</v>
      </c>
      <c r="BE109" s="2" t="str">
        <f t="shared" ca="1" si="4"/>
        <v>Russia</v>
      </c>
      <c r="BF109" s="2" t="e">
        <f t="shared" ca="1" si="5"/>
        <v>#NAME?</v>
      </c>
      <c r="BG109" s="2">
        <f t="shared" ca="1" si="6"/>
        <v>10</v>
      </c>
      <c r="BH109" s="2" t="s">
        <v>161</v>
      </c>
      <c r="BI109" s="2" t="s">
        <v>162</v>
      </c>
      <c r="BJ109" s="7">
        <v>3.0674999999999999</v>
      </c>
      <c r="BK109" s="2">
        <v>3</v>
      </c>
      <c r="BL109" s="2">
        <f t="shared" si="10"/>
        <v>107</v>
      </c>
      <c r="BM109" s="2" t="str">
        <f t="shared" si="7"/>
        <v>DAC Dunajská Streda</v>
      </c>
      <c r="BN109" s="7">
        <f t="shared" ref="BN109:BO109" si="116">BJ109</f>
        <v>3.0674999999999999</v>
      </c>
      <c r="BO109" s="2">
        <f t="shared" si="116"/>
        <v>3</v>
      </c>
      <c r="BS109" s="2" t="str">
        <f t="shared" si="9"/>
        <v>Slovakia</v>
      </c>
    </row>
    <row r="110" spans="1:71" ht="13.8" x14ac:dyDescent="0.45">
      <c r="A110" s="2" t="str">
        <f ca="1">IFERROR(__xludf.DUMMYFUNCTION("""COMPUTED_VALUE"""),"Kukësi")</f>
        <v>Kukësi</v>
      </c>
      <c r="B110" s="2">
        <f ca="1">IFERROR(__xludf.DUMMYFUNCTION("""COMPUTED_VALUE"""),0.63)</f>
        <v>0.63</v>
      </c>
      <c r="C110" s="2" t="str">
        <f ca="1">IFERROR(__xludf.DUMMYFUNCTION("""COMPUTED_VALUE"""),"Albania")</f>
        <v>Albania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5">
        <f ca="1">IFERROR(__xludf.DUMMYFUNCTION("""COMPUTED_VALUE"""),0)</f>
        <v>0</v>
      </c>
      <c r="P110" s="2">
        <f ca="1">IFERROR(__xludf.DUMMYFUNCTION("""COMPUTED_VALUE"""),0)</f>
        <v>0</v>
      </c>
      <c r="Q110" s="2">
        <f ca="1">IFERROR(__xludf.DUMMYFUNCTION("""COMPUTED_VALUE"""),0)</f>
        <v>0</v>
      </c>
      <c r="R110" s="2">
        <f ca="1">IFERROR(__xludf.DUMMYFUNCTION("""COMPUTED_VALUE"""),0)</f>
        <v>0</v>
      </c>
      <c r="S110" s="2">
        <f ca="1">IFERROR(__xludf.DUMMYFUNCTION("""COMPUTED_VALUE"""),0)</f>
        <v>0</v>
      </c>
      <c r="T110" s="2">
        <f ca="1">IFERROR(__xludf.DUMMYFUNCTION("""COMPUTED_VALUE"""),0)</f>
        <v>0</v>
      </c>
      <c r="U110" s="2">
        <f ca="1">IFERROR(__xludf.DUMMYFUNCTION("""COMPUTED_VALUE"""),0)</f>
        <v>0</v>
      </c>
      <c r="V110" s="2">
        <f ca="1">IFERROR(__xludf.DUMMYFUNCTION("""COMPUTED_VALUE"""),0)</f>
        <v>0</v>
      </c>
      <c r="W110" s="2">
        <f ca="1">IFERROR(__xludf.DUMMYFUNCTION("""COMPUTED_VALUE"""),0)</f>
        <v>0</v>
      </c>
      <c r="X110" s="2">
        <f ca="1">IFERROR(__xludf.DUMMYFUNCTION("""COMPUTED_VALUE"""),0)</f>
        <v>0</v>
      </c>
      <c r="Y110" s="2">
        <f ca="1">IFERROR(__xludf.DUMMYFUNCTION("""COMPUTED_VALUE"""),0)</f>
        <v>0</v>
      </c>
      <c r="AB110" s="2"/>
      <c r="AC110" s="2" t="str">
        <f ca="1">IFERROR(__xludf.DUMMYFUNCTION("""COMPUTED_VALUE"""),"X")</f>
        <v>X</v>
      </c>
      <c r="AD110" s="2" t="str">
        <f ca="1">IFERROR(__xludf.DUMMYFUNCTION("""COMPUTED_VALUE"""),"X")</f>
        <v>X</v>
      </c>
      <c r="AE110" s="2"/>
      <c r="AF110" s="2"/>
      <c r="AG110" s="2"/>
      <c r="AH110" s="2"/>
      <c r="AI110" s="2"/>
      <c r="AJ110" s="2"/>
      <c r="AK110" s="2"/>
      <c r="AL110" s="2"/>
      <c r="AM110" s="2">
        <f ca="1">IFERROR(__xludf.DUMMYFUNCTION("""COMPUTED_VALUE"""),0)</f>
        <v>0</v>
      </c>
      <c r="AN110" s="2">
        <f ca="1">IFERROR(__xludf.DUMMYFUNCTION("""COMPUTED_VALUE"""),2.84625)</f>
        <v>2.8462499999999999</v>
      </c>
      <c r="AO110" s="2">
        <f ca="1">IFERROR(__xludf.DUMMYFUNCTION("""COMPUTED_VALUE"""),0.399999999999999)</f>
        <v>0.39999999999999902</v>
      </c>
      <c r="AP110" s="2">
        <f ca="1">IFERROR(__xludf.DUMMYFUNCTION("""COMPUTED_VALUE"""),0)</f>
        <v>0</v>
      </c>
      <c r="AQ110" s="2">
        <f ca="1">IFERROR(__xludf.DUMMYFUNCTION("""COMPUTED_VALUE"""),0)</f>
        <v>0</v>
      </c>
      <c r="AR110" s="2">
        <f ca="1">IFERROR(__xludf.DUMMYFUNCTION("""COMPUTED_VALUE"""),0)</f>
        <v>0</v>
      </c>
      <c r="AS110" s="2">
        <f ca="1">IFERROR(__xludf.DUMMYFUNCTION("""COMPUTED_VALUE"""),0)</f>
        <v>0</v>
      </c>
      <c r="AT110" s="2">
        <f ca="1">IFERROR(__xludf.DUMMYFUNCTION("""COMPUTED_VALUE"""),0)</f>
        <v>0</v>
      </c>
      <c r="AU110" s="2">
        <f ca="1">IFERROR(__xludf.DUMMYFUNCTION("""COMPUTED_VALUE"""),0)</f>
        <v>0</v>
      </c>
      <c r="AV110" s="2">
        <f ca="1">IFERROR(__xludf.DUMMYFUNCTION("""COMPUTED_VALUE"""),0)</f>
        <v>0</v>
      </c>
      <c r="AW110" s="2">
        <f ca="1">IFERROR(__xludf.DUMMYFUNCTION("""COMPUTED_VALUE"""),0)</f>
        <v>0</v>
      </c>
      <c r="AY110" s="2">
        <f t="shared" ca="1" si="0"/>
        <v>2</v>
      </c>
      <c r="AZ110" s="2" t="e">
        <f ca="1">IF(NOT(COUNTA(D110:J110)), _xludf.IFS(AL110="W", 'Round Bonuses'!$F$14, AL110="X", 'Round Bonuses'!$F$13, AK110="X", 'Round Bonuses'!$F$12, AJ110="X", 'Round Bonuses'!$F$11, AI110="X", 'Round Bonuses'!$F$10, AH110="X", 'Round Bonuses'!$F$9, AG110="X", 'Round Bonuses'!$F$8, AF110="X", 'Round Bonuses'!$F$7, AE110="X", 'Round Bonuses'!$F$6, AD110="X", 'Round Bonuses'!$F$5, AC110="X", 'Round Bonuses'!$F$4, AB110="X", 'Round Bonuses'!$F$3, TRUE, 0), IF(AA110="X", _xludf.IFS(AD110="X", 'Round Bonuses'!$E$4, AF110="X",'Round Bonuses'!$E$6,TRUE, 'Round Bonuses'!$E$7), 0) +IF(AB110="X", 'Round Bonuses'!$E$3, 0)+IF(AC110="X",'Round Bonuses'!$E$4, 0)+IF(AD110="X", 'Round Bonuses'!$E$5, 0)+IF(AE110="X", 'Round Bonuses'!$E$6, 0)+IF(AF110="X", 'Round Bonuses'!$E$7, 0)+IF(AG110="X", 'Round Bonuses'!$E$8, 0)+_xludf.IFS(AL110="W", 'Round Bonuses'!$G$14, AL110="X", 'Round Bonuses'!$G$13, AK110="X", 'Round Bonuses'!$G$12, AJ110="X", 'Round Bonuses'!$G$11, AI110="X", 'Round Bonuses'!$G$10, AH110="X", 'Round Bonuses'!$G$9, TRUE, 0))+_xludf.IFS(N110="W", 'Round Bonuses'!$C$13, N110="X", 'Round Bonuses'!$C$12, M110="X", 'Round Bonuses'!$C$11, L110="X", 'Round Bonuses'!$C$10, K110="X", 'Round Bonuses'!$C$9, J110="X", 'Round Bonuses'!$C$8, I110="X", 'Round Bonuses'!$C$7, H110="X", 'Round Bonuses'!$C$6, G110="X", 'Round Bonuses'!$C$5, F110="X", 'Round Bonuses'!$C$4, E110="X", 'Round Bonuses'!$C$3, D110="X", 'Round Bonuses'!$C$3, TRUE, 0)</f>
        <v>#NAME?</v>
      </c>
      <c r="BA110" s="2">
        <f t="shared" ca="1" si="1"/>
        <v>3.246249999999999</v>
      </c>
      <c r="BB110" s="10" t="e">
        <f t="shared" ca="1" si="2"/>
        <v>#NAME?</v>
      </c>
      <c r="BD110" s="11" t="str">
        <f t="shared" ca="1" si="3"/>
        <v>Kukësi</v>
      </c>
      <c r="BE110" s="2" t="str">
        <f t="shared" ca="1" si="4"/>
        <v>Albania</v>
      </c>
      <c r="BF110" s="2" t="e">
        <f t="shared" ca="1" si="5"/>
        <v>#NAME?</v>
      </c>
      <c r="BG110" s="2">
        <f t="shared" ca="1" si="6"/>
        <v>2</v>
      </c>
      <c r="BH110" s="2" t="s">
        <v>163</v>
      </c>
      <c r="BI110" s="2" t="s">
        <v>141</v>
      </c>
      <c r="BJ110" s="7">
        <v>3.04</v>
      </c>
      <c r="BK110" s="2">
        <v>3</v>
      </c>
      <c r="BL110" s="2">
        <f t="shared" si="10"/>
        <v>108</v>
      </c>
      <c r="BM110" s="2" t="str">
        <f t="shared" si="7"/>
        <v>Zrinjski Mostar</v>
      </c>
      <c r="BN110" s="7">
        <f t="shared" ref="BN110:BO110" si="117">BJ110</f>
        <v>3.04</v>
      </c>
      <c r="BO110" s="2">
        <f t="shared" si="117"/>
        <v>3</v>
      </c>
      <c r="BS110" s="2" t="str">
        <f>BI110</f>
        <v>Bosnia and Herzegovina</v>
      </c>
    </row>
    <row r="111" spans="1:71" ht="13.8" x14ac:dyDescent="0.45">
      <c r="A111" s="2" t="str">
        <f ca="1">IFERROR(__xludf.DUMMYFUNCTION("""COMPUTED_VALUE"""),"KuPS")</f>
        <v>KuPS</v>
      </c>
      <c r="B111" s="2">
        <f ca="1">IFERROR(__xludf.DUMMYFUNCTION("""COMPUTED_VALUE"""),0.62)</f>
        <v>0.62</v>
      </c>
      <c r="C111" s="2" t="str">
        <f ca="1">IFERROR(__xludf.DUMMYFUNCTION("""COMPUTED_VALUE"""),"Finland")</f>
        <v>Finland</v>
      </c>
      <c r="D111" s="2"/>
      <c r="E111" s="2"/>
      <c r="F111" s="2" t="str">
        <f ca="1">IFERROR(__xludf.DUMMYFUNCTION("""COMPUTED_VALUE"""),"X")</f>
        <v>X</v>
      </c>
      <c r="G111" s="2"/>
      <c r="H111" s="2"/>
      <c r="I111" s="2"/>
      <c r="J111" s="2"/>
      <c r="K111" s="2"/>
      <c r="L111" s="2"/>
      <c r="M111" s="2"/>
      <c r="N111" s="2"/>
      <c r="O111" s="5">
        <f ca="1">IFERROR(__xludf.DUMMYFUNCTION("""COMPUTED_VALUE"""),0)</f>
        <v>0</v>
      </c>
      <c r="P111" s="2">
        <f ca="1">IFERROR(__xludf.DUMMYFUNCTION("""COMPUTED_VALUE"""),0)</f>
        <v>0</v>
      </c>
      <c r="Q111" s="2">
        <f ca="1">IFERROR(__xludf.DUMMYFUNCTION("""COMPUTED_VALUE"""),0.145)</f>
        <v>0.14499999999999999</v>
      </c>
      <c r="R111" s="2">
        <f ca="1">IFERROR(__xludf.DUMMYFUNCTION("""COMPUTED_VALUE"""),0)</f>
        <v>0</v>
      </c>
      <c r="S111" s="2">
        <f ca="1">IFERROR(__xludf.DUMMYFUNCTION("""COMPUTED_VALUE"""),0)</f>
        <v>0</v>
      </c>
      <c r="T111" s="2">
        <f ca="1">IFERROR(__xludf.DUMMYFUNCTION("""COMPUTED_VALUE"""),0)</f>
        <v>0</v>
      </c>
      <c r="U111" s="2">
        <f ca="1">IFERROR(__xludf.DUMMYFUNCTION("""COMPUTED_VALUE"""),0)</f>
        <v>0</v>
      </c>
      <c r="V111" s="2">
        <f ca="1">IFERROR(__xludf.DUMMYFUNCTION("""COMPUTED_VALUE"""),0)</f>
        <v>0</v>
      </c>
      <c r="W111" s="2">
        <f ca="1">IFERROR(__xludf.DUMMYFUNCTION("""COMPUTED_VALUE"""),0)</f>
        <v>0</v>
      </c>
      <c r="X111" s="2">
        <f ca="1">IFERROR(__xludf.DUMMYFUNCTION("""COMPUTED_VALUE"""),0)</f>
        <v>0</v>
      </c>
      <c r="Y111" s="2">
        <f ca="1">IFERROR(__xludf.DUMMYFUNCTION("""COMPUTED_VALUE"""),0)</f>
        <v>0</v>
      </c>
      <c r="AB111" s="2"/>
      <c r="AC111" s="2"/>
      <c r="AD111" s="2" t="str">
        <f ca="1">IFERROR(__xludf.DUMMYFUNCTION("""COMPUTED_VALUE"""),"X")</f>
        <v>X</v>
      </c>
      <c r="AE111" s="2" t="str">
        <f ca="1">IFERROR(__xludf.DUMMYFUNCTION("""COMPUTED_VALUE"""),"X")</f>
        <v>X</v>
      </c>
      <c r="AF111" s="2" t="str">
        <f ca="1">IFERROR(__xludf.DUMMYFUNCTION("""COMPUTED_VALUE"""),"X")</f>
        <v>X</v>
      </c>
      <c r="AG111" s="2"/>
      <c r="AH111" s="2"/>
      <c r="AI111" s="2"/>
      <c r="AJ111" s="2"/>
      <c r="AK111" s="2"/>
      <c r="AL111" s="2"/>
      <c r="AM111" s="2">
        <f ca="1">IFERROR(__xludf.DUMMYFUNCTION("""COMPUTED_VALUE"""),0)</f>
        <v>0</v>
      </c>
      <c r="AN111" s="2">
        <f ca="1">IFERROR(__xludf.DUMMYFUNCTION("""COMPUTED_VALUE"""),0)</f>
        <v>0</v>
      </c>
      <c r="AO111" s="2">
        <f ca="1">IFERROR(__xludf.DUMMYFUNCTION("""COMPUTED_VALUE"""),2.45)</f>
        <v>2.4500000000000002</v>
      </c>
      <c r="AP111" s="2">
        <f ca="1">IFERROR(__xludf.DUMMYFUNCTION("""COMPUTED_VALUE"""),2.5075)</f>
        <v>2.5074999999999998</v>
      </c>
      <c r="AQ111" s="2">
        <f ca="1">IFERROR(__xludf.DUMMYFUNCTION("""COMPUTED_VALUE"""),0.459999999999999)</f>
        <v>0.45999999999999902</v>
      </c>
      <c r="AR111" s="2">
        <f ca="1">IFERROR(__xludf.DUMMYFUNCTION("""COMPUTED_VALUE"""),0)</f>
        <v>0</v>
      </c>
      <c r="AS111" s="2">
        <f ca="1">IFERROR(__xludf.DUMMYFUNCTION("""COMPUTED_VALUE"""),0)</f>
        <v>0</v>
      </c>
      <c r="AT111" s="2">
        <f ca="1">IFERROR(__xludf.DUMMYFUNCTION("""COMPUTED_VALUE"""),0)</f>
        <v>0</v>
      </c>
      <c r="AU111" s="2">
        <f ca="1">IFERROR(__xludf.DUMMYFUNCTION("""COMPUTED_VALUE"""),0)</f>
        <v>0</v>
      </c>
      <c r="AV111" s="2">
        <f ca="1">IFERROR(__xludf.DUMMYFUNCTION("""COMPUTED_VALUE"""),0)</f>
        <v>0</v>
      </c>
      <c r="AW111" s="2">
        <f ca="1">IFERROR(__xludf.DUMMYFUNCTION("""COMPUTED_VALUE"""),0)</f>
        <v>0</v>
      </c>
      <c r="AY111" s="2">
        <f t="shared" ca="1" si="0"/>
        <v>4</v>
      </c>
      <c r="AZ111" s="2" t="e">
        <f ca="1">IF(NOT(COUNTA(D111:J111)), _xludf.IFS(AL111="W", 'Round Bonuses'!$F$14, AL111="X", 'Round Bonuses'!$F$13, AK111="X", 'Round Bonuses'!$F$12, AJ111="X", 'Round Bonuses'!$F$11, AI111="X", 'Round Bonuses'!$F$10, AH111="X", 'Round Bonuses'!$F$9, AG111="X", 'Round Bonuses'!$F$8, AF111="X", 'Round Bonuses'!$F$7, AE111="X", 'Round Bonuses'!$F$6, AD111="X", 'Round Bonuses'!$F$5, AC111="X", 'Round Bonuses'!$F$4, AB111="X", 'Round Bonuses'!$F$3, TRUE, 0), IF(AA111="X", _xludf.IFS(AD111="X", 'Round Bonuses'!$E$4, AF111="X",'Round Bonuses'!$E$6,TRUE, 'Round Bonuses'!$E$7), 0) +IF(AB111="X", 'Round Bonuses'!$E$3, 0)+IF(AC111="X",'Round Bonuses'!$E$4, 0)+IF(AD111="X", 'Round Bonuses'!$E$5, 0)+IF(AE111="X", 'Round Bonuses'!$E$6, 0)+IF(AF111="X", 'Round Bonuses'!$E$7, 0)+IF(AG111="X", 'Round Bonuses'!$E$8, 0)+_xludf.IFS(AL111="W", 'Round Bonuses'!$G$14, AL111="X", 'Round Bonuses'!$G$13, AK111="X", 'Round Bonuses'!$G$12, AJ111="X", 'Round Bonuses'!$G$11, AI111="X", 'Round Bonuses'!$G$10, AH111="X", 'Round Bonuses'!$G$9, TRUE, 0))+_xludf.IFS(N111="W", 'Round Bonuses'!$C$13, N111="X", 'Round Bonuses'!$C$12, M111="X", 'Round Bonuses'!$C$11, L111="X", 'Round Bonuses'!$C$10, K111="X", 'Round Bonuses'!$C$9, J111="X", 'Round Bonuses'!$C$8, I111="X", 'Round Bonuses'!$C$7, H111="X", 'Round Bonuses'!$C$6, G111="X", 'Round Bonuses'!$C$5, F111="X", 'Round Bonuses'!$C$4, E111="X", 'Round Bonuses'!$C$3, D111="X", 'Round Bonuses'!$C$3, TRUE, 0)</f>
        <v>#NAME?</v>
      </c>
      <c r="BA111" s="2">
        <f t="shared" ca="1" si="1"/>
        <v>5.5624999999999982</v>
      </c>
      <c r="BB111" s="10" t="e">
        <f t="shared" ca="1" si="2"/>
        <v>#NAME?</v>
      </c>
      <c r="BD111" s="11" t="str">
        <f t="shared" ca="1" si="3"/>
        <v>KuPS</v>
      </c>
      <c r="BE111" s="2" t="str">
        <f t="shared" ca="1" si="4"/>
        <v>Finland</v>
      </c>
      <c r="BF111" s="2" t="e">
        <f t="shared" ca="1" si="5"/>
        <v>#NAME?</v>
      </c>
      <c r="BG111" s="2">
        <f t="shared" ca="1" si="6"/>
        <v>4</v>
      </c>
      <c r="BH111" s="2" t="s">
        <v>165</v>
      </c>
      <c r="BI111" s="2" t="s">
        <v>21</v>
      </c>
      <c r="BJ111" s="7">
        <v>3.0300000000000002</v>
      </c>
      <c r="BK111" s="2">
        <v>2</v>
      </c>
      <c r="BL111" s="2">
        <f t="shared" si="10"/>
        <v>109</v>
      </c>
      <c r="BM111" s="2" t="str">
        <f t="shared" si="7"/>
        <v>Reims</v>
      </c>
      <c r="BN111" s="7">
        <f t="shared" ref="BN111:BO111" si="118">BJ111</f>
        <v>3.0300000000000002</v>
      </c>
      <c r="BO111" s="2">
        <f t="shared" si="118"/>
        <v>2</v>
      </c>
      <c r="BS111" s="2" t="str">
        <f t="shared" si="9"/>
        <v>France</v>
      </c>
    </row>
    <row r="112" spans="1:71" ht="13.8" x14ac:dyDescent="0.45">
      <c r="A112" s="2" t="str">
        <f ca="1">IFERROR(__xludf.DUMMYFUNCTION("""COMPUTED_VALUE"""),"La Fiorita")</f>
        <v>La Fiorita</v>
      </c>
      <c r="B112" s="2">
        <f ca="1">IFERROR(__xludf.DUMMYFUNCTION("""COMPUTED_VALUE"""),0.42)</f>
        <v>0.42</v>
      </c>
      <c r="C112" s="2" t="str">
        <f ca="1">IFERROR(__xludf.DUMMYFUNCTION("""COMPUTED_VALUE"""),"San Marino")</f>
        <v>San Marino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5">
        <f ca="1">IFERROR(__xludf.DUMMYFUNCTION("""COMPUTED_VALUE"""),0)</f>
        <v>0</v>
      </c>
      <c r="P112" s="2">
        <f ca="1">IFERROR(__xludf.DUMMYFUNCTION("""COMPUTED_VALUE"""),0)</f>
        <v>0</v>
      </c>
      <c r="Q112" s="2">
        <f ca="1">IFERROR(__xludf.DUMMYFUNCTION("""COMPUTED_VALUE"""),0)</f>
        <v>0</v>
      </c>
      <c r="R112" s="2">
        <f ca="1">IFERROR(__xludf.DUMMYFUNCTION("""COMPUTED_VALUE"""),0)</f>
        <v>0</v>
      </c>
      <c r="S112" s="2">
        <f ca="1">IFERROR(__xludf.DUMMYFUNCTION("""COMPUTED_VALUE"""),0)</f>
        <v>0</v>
      </c>
      <c r="T112" s="2">
        <f ca="1">IFERROR(__xludf.DUMMYFUNCTION("""COMPUTED_VALUE"""),0)</f>
        <v>0</v>
      </c>
      <c r="U112" s="2">
        <f ca="1">IFERROR(__xludf.DUMMYFUNCTION("""COMPUTED_VALUE"""),0)</f>
        <v>0</v>
      </c>
      <c r="V112" s="2">
        <f ca="1">IFERROR(__xludf.DUMMYFUNCTION("""COMPUTED_VALUE"""),0)</f>
        <v>0</v>
      </c>
      <c r="W112" s="2">
        <f ca="1">IFERROR(__xludf.DUMMYFUNCTION("""COMPUTED_VALUE"""),0)</f>
        <v>0</v>
      </c>
      <c r="X112" s="2">
        <f ca="1">IFERROR(__xludf.DUMMYFUNCTION("""COMPUTED_VALUE"""),0)</f>
        <v>0</v>
      </c>
      <c r="Y112" s="2">
        <f ca="1">IFERROR(__xludf.DUMMYFUNCTION("""COMPUTED_VALUE"""),0)</f>
        <v>0</v>
      </c>
      <c r="AB112" s="2" t="str">
        <f ca="1">IFERROR(__xludf.DUMMYFUNCTION("""COMPUTED_VALUE"""),"X")</f>
        <v>X</v>
      </c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>
        <f ca="1">IFERROR(__xludf.DUMMYFUNCTION("""COMPUTED_VALUE"""),0.345)</f>
        <v>0.34499999999999997</v>
      </c>
      <c r="AN112" s="2">
        <f ca="1">IFERROR(__xludf.DUMMYFUNCTION("""COMPUTED_VALUE"""),0)</f>
        <v>0</v>
      </c>
      <c r="AO112" s="2">
        <f ca="1">IFERROR(__xludf.DUMMYFUNCTION("""COMPUTED_VALUE"""),0)</f>
        <v>0</v>
      </c>
      <c r="AP112" s="2">
        <f ca="1">IFERROR(__xludf.DUMMYFUNCTION("""COMPUTED_VALUE"""),0)</f>
        <v>0</v>
      </c>
      <c r="AQ112" s="2">
        <f ca="1">IFERROR(__xludf.DUMMYFUNCTION("""COMPUTED_VALUE"""),0)</f>
        <v>0</v>
      </c>
      <c r="AR112" s="2">
        <f ca="1">IFERROR(__xludf.DUMMYFUNCTION("""COMPUTED_VALUE"""),0)</f>
        <v>0</v>
      </c>
      <c r="AS112" s="2">
        <f ca="1">IFERROR(__xludf.DUMMYFUNCTION("""COMPUTED_VALUE"""),0)</f>
        <v>0</v>
      </c>
      <c r="AT112" s="2">
        <f ca="1">IFERROR(__xludf.DUMMYFUNCTION("""COMPUTED_VALUE"""),0)</f>
        <v>0</v>
      </c>
      <c r="AU112" s="2">
        <f ca="1">IFERROR(__xludf.DUMMYFUNCTION("""COMPUTED_VALUE"""),0)</f>
        <v>0</v>
      </c>
      <c r="AV112" s="2">
        <f ca="1">IFERROR(__xludf.DUMMYFUNCTION("""COMPUTED_VALUE"""),0)</f>
        <v>0</v>
      </c>
      <c r="AW112" s="2">
        <f ca="1">IFERROR(__xludf.DUMMYFUNCTION("""COMPUTED_VALUE"""),0)</f>
        <v>0</v>
      </c>
      <c r="AY112" s="2">
        <f t="shared" ca="1" si="0"/>
        <v>1</v>
      </c>
      <c r="AZ112" s="2" t="e">
        <f ca="1">IF(NOT(COUNTA(D112:J112)), _xludf.IFS(AL112="W", 'Round Bonuses'!$F$14, AL112="X", 'Round Bonuses'!$F$13, AK112="X", 'Round Bonuses'!$F$12, AJ112="X", 'Round Bonuses'!$F$11, AI112="X", 'Round Bonuses'!$F$10, AH112="X", 'Round Bonuses'!$F$9, AG112="X", 'Round Bonuses'!$F$8, AF112="X", 'Round Bonuses'!$F$7, AE112="X", 'Round Bonuses'!$F$6, AD112="X", 'Round Bonuses'!$F$5, AC112="X", 'Round Bonuses'!$F$4, AB112="X", 'Round Bonuses'!$F$3, TRUE, 0), IF(AA112="X", _xludf.IFS(AD112="X", 'Round Bonuses'!$E$4, AF112="X",'Round Bonuses'!$E$6,TRUE, 'Round Bonuses'!$E$7), 0) +IF(AB112="X", 'Round Bonuses'!$E$3, 0)+IF(AC112="X",'Round Bonuses'!$E$4, 0)+IF(AD112="X", 'Round Bonuses'!$E$5, 0)+IF(AE112="X", 'Round Bonuses'!$E$6, 0)+IF(AF112="X", 'Round Bonuses'!$E$7, 0)+IF(AG112="X", 'Round Bonuses'!$E$8, 0)+_xludf.IFS(AL112="W", 'Round Bonuses'!$G$14, AL112="X", 'Round Bonuses'!$G$13, AK112="X", 'Round Bonuses'!$G$12, AJ112="X", 'Round Bonuses'!$G$11, AI112="X", 'Round Bonuses'!$G$10, AH112="X", 'Round Bonuses'!$G$9, TRUE, 0))+_xludf.IFS(N112="W", 'Round Bonuses'!$C$13, N112="X", 'Round Bonuses'!$C$12, M112="X", 'Round Bonuses'!$C$11, L112="X", 'Round Bonuses'!$C$10, K112="X", 'Round Bonuses'!$C$9, J112="X", 'Round Bonuses'!$C$8, I112="X", 'Round Bonuses'!$C$7, H112="X", 'Round Bonuses'!$C$6, G112="X", 'Round Bonuses'!$C$5, F112="X", 'Round Bonuses'!$C$4, E112="X", 'Round Bonuses'!$C$3, D112="X", 'Round Bonuses'!$C$3, TRUE, 0)</f>
        <v>#NAME?</v>
      </c>
      <c r="BA112" s="2">
        <f t="shared" ca="1" si="1"/>
        <v>0.34499999999999997</v>
      </c>
      <c r="BB112" s="10" t="e">
        <f t="shared" ca="1" si="2"/>
        <v>#NAME?</v>
      </c>
      <c r="BD112" s="11" t="str">
        <f t="shared" ca="1" si="3"/>
        <v>La Fiorita</v>
      </c>
      <c r="BE112" s="2" t="str">
        <f t="shared" ca="1" si="4"/>
        <v>San Marino</v>
      </c>
      <c r="BF112" s="2" t="e">
        <f t="shared" ca="1" si="5"/>
        <v>#NAME?</v>
      </c>
      <c r="BG112" s="2">
        <f t="shared" ca="1" si="6"/>
        <v>1</v>
      </c>
      <c r="BH112" s="2" t="s">
        <v>166</v>
      </c>
      <c r="BI112" s="2" t="s">
        <v>43</v>
      </c>
      <c r="BJ112" s="7">
        <v>3.0262500000000001</v>
      </c>
      <c r="BK112" s="2">
        <v>2</v>
      </c>
      <c r="BL112" s="2">
        <f t="shared" si="10"/>
        <v>110</v>
      </c>
      <c r="BM112" s="2" t="str">
        <f t="shared" si="7"/>
        <v>Kolos Kovalivka</v>
      </c>
      <c r="BN112" s="7">
        <f t="shared" ref="BN112:BO112" si="119">BJ112</f>
        <v>3.0262500000000001</v>
      </c>
      <c r="BO112" s="2">
        <f t="shared" si="119"/>
        <v>2</v>
      </c>
      <c r="BS112" s="2" t="str">
        <f t="shared" si="9"/>
        <v>Ukraine</v>
      </c>
    </row>
    <row r="113" spans="1:71" ht="13.8" x14ac:dyDescent="0.45">
      <c r="A113" s="2" t="str">
        <f ca="1">IFERROR(__xludf.DUMMYFUNCTION("""COMPUTED_VALUE"""),"Laçi")</f>
        <v>Laçi</v>
      </c>
      <c r="B113" s="2">
        <f ca="1">IFERROR(__xludf.DUMMYFUNCTION("""COMPUTED_VALUE"""),0.62)</f>
        <v>0.62</v>
      </c>
      <c r="C113" s="2" t="str">
        <f ca="1">IFERROR(__xludf.DUMMYFUNCTION("""COMPUTED_VALUE"""),"Albania")</f>
        <v>Albania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5">
        <f ca="1">IFERROR(__xludf.DUMMYFUNCTION("""COMPUTED_VALUE"""),0)</f>
        <v>0</v>
      </c>
      <c r="P113" s="2">
        <f ca="1">IFERROR(__xludf.DUMMYFUNCTION("""COMPUTED_VALUE"""),0)</f>
        <v>0</v>
      </c>
      <c r="Q113" s="2">
        <f ca="1">IFERROR(__xludf.DUMMYFUNCTION("""COMPUTED_VALUE"""),0)</f>
        <v>0</v>
      </c>
      <c r="R113" s="2">
        <f ca="1">IFERROR(__xludf.DUMMYFUNCTION("""COMPUTED_VALUE"""),0)</f>
        <v>0</v>
      </c>
      <c r="S113" s="2">
        <f ca="1">IFERROR(__xludf.DUMMYFUNCTION("""COMPUTED_VALUE"""),0)</f>
        <v>0</v>
      </c>
      <c r="T113" s="2">
        <f ca="1">IFERROR(__xludf.DUMMYFUNCTION("""COMPUTED_VALUE"""),0)</f>
        <v>0</v>
      </c>
      <c r="U113" s="2">
        <f ca="1">IFERROR(__xludf.DUMMYFUNCTION("""COMPUTED_VALUE"""),0)</f>
        <v>0</v>
      </c>
      <c r="V113" s="2">
        <f ca="1">IFERROR(__xludf.DUMMYFUNCTION("""COMPUTED_VALUE"""),0)</f>
        <v>0</v>
      </c>
      <c r="W113" s="2">
        <f ca="1">IFERROR(__xludf.DUMMYFUNCTION("""COMPUTED_VALUE"""),0)</f>
        <v>0</v>
      </c>
      <c r="X113" s="2">
        <f ca="1">IFERROR(__xludf.DUMMYFUNCTION("""COMPUTED_VALUE"""),0)</f>
        <v>0</v>
      </c>
      <c r="Y113" s="2">
        <f ca="1">IFERROR(__xludf.DUMMYFUNCTION("""COMPUTED_VALUE"""),0)</f>
        <v>0</v>
      </c>
      <c r="AB113" s="2"/>
      <c r="AC113" s="2" t="str">
        <f ca="1">IFERROR(__xludf.DUMMYFUNCTION("""COMPUTED_VALUE"""),"X")</f>
        <v>X</v>
      </c>
      <c r="AD113" s="2" t="str">
        <f ca="1">IFERROR(__xludf.DUMMYFUNCTION("""COMPUTED_VALUE"""),"X")</f>
        <v>X</v>
      </c>
      <c r="AE113" s="2"/>
      <c r="AF113" s="2"/>
      <c r="AG113" s="2"/>
      <c r="AH113" s="2"/>
      <c r="AI113" s="2"/>
      <c r="AJ113" s="2"/>
      <c r="AK113" s="2"/>
      <c r="AL113" s="2"/>
      <c r="AM113" s="2">
        <f ca="1">IFERROR(__xludf.DUMMYFUNCTION("""COMPUTED_VALUE"""),0)</f>
        <v>0</v>
      </c>
      <c r="AN113" s="2">
        <f ca="1">IFERROR(__xludf.DUMMYFUNCTION("""COMPUTED_VALUE"""),2.51999999999999)</f>
        <v>2.5199999999999898</v>
      </c>
      <c r="AO113" s="2">
        <f ca="1">IFERROR(__xludf.DUMMYFUNCTION("""COMPUTED_VALUE"""),0.585)</f>
        <v>0.58499999999999996</v>
      </c>
      <c r="AP113" s="2">
        <f ca="1">IFERROR(__xludf.DUMMYFUNCTION("""COMPUTED_VALUE"""),0)</f>
        <v>0</v>
      </c>
      <c r="AQ113" s="2">
        <f ca="1">IFERROR(__xludf.DUMMYFUNCTION("""COMPUTED_VALUE"""),0)</f>
        <v>0</v>
      </c>
      <c r="AR113" s="2">
        <f ca="1">IFERROR(__xludf.DUMMYFUNCTION("""COMPUTED_VALUE"""),0)</f>
        <v>0</v>
      </c>
      <c r="AS113" s="2">
        <f ca="1">IFERROR(__xludf.DUMMYFUNCTION("""COMPUTED_VALUE"""),0)</f>
        <v>0</v>
      </c>
      <c r="AT113" s="2">
        <f ca="1">IFERROR(__xludf.DUMMYFUNCTION("""COMPUTED_VALUE"""),0)</f>
        <v>0</v>
      </c>
      <c r="AU113" s="2">
        <f ca="1">IFERROR(__xludf.DUMMYFUNCTION("""COMPUTED_VALUE"""),0)</f>
        <v>0</v>
      </c>
      <c r="AV113" s="2">
        <f ca="1">IFERROR(__xludf.DUMMYFUNCTION("""COMPUTED_VALUE"""),0)</f>
        <v>0</v>
      </c>
      <c r="AW113" s="2">
        <f ca="1">IFERROR(__xludf.DUMMYFUNCTION("""COMPUTED_VALUE"""),0)</f>
        <v>0</v>
      </c>
      <c r="AY113" s="2">
        <f t="shared" ca="1" si="0"/>
        <v>2</v>
      </c>
      <c r="AZ113" s="2" t="e">
        <f ca="1">IF(NOT(COUNTA(D113:J113)), _xludf.IFS(AL113="W", 'Round Bonuses'!$F$14, AL113="X", 'Round Bonuses'!$F$13, AK113="X", 'Round Bonuses'!$F$12, AJ113="X", 'Round Bonuses'!$F$11, AI113="X", 'Round Bonuses'!$F$10, AH113="X", 'Round Bonuses'!$F$9, AG113="X", 'Round Bonuses'!$F$8, AF113="X", 'Round Bonuses'!$F$7, AE113="X", 'Round Bonuses'!$F$6, AD113="X", 'Round Bonuses'!$F$5, AC113="X", 'Round Bonuses'!$F$4, AB113="X", 'Round Bonuses'!$F$3, TRUE, 0), IF(AA113="X", _xludf.IFS(AD113="X", 'Round Bonuses'!$E$4, AF113="X",'Round Bonuses'!$E$6,TRUE, 'Round Bonuses'!$E$7), 0) +IF(AB113="X", 'Round Bonuses'!$E$3, 0)+IF(AC113="X",'Round Bonuses'!$E$4, 0)+IF(AD113="X", 'Round Bonuses'!$E$5, 0)+IF(AE113="X", 'Round Bonuses'!$E$6, 0)+IF(AF113="X", 'Round Bonuses'!$E$7, 0)+IF(AG113="X", 'Round Bonuses'!$E$8, 0)+_xludf.IFS(AL113="W", 'Round Bonuses'!$G$14, AL113="X", 'Round Bonuses'!$G$13, AK113="X", 'Round Bonuses'!$G$12, AJ113="X", 'Round Bonuses'!$G$11, AI113="X", 'Round Bonuses'!$G$10, AH113="X", 'Round Bonuses'!$G$9, TRUE, 0))+_xludf.IFS(N113="W", 'Round Bonuses'!$C$13, N113="X", 'Round Bonuses'!$C$12, M113="X", 'Round Bonuses'!$C$11, L113="X", 'Round Bonuses'!$C$10, K113="X", 'Round Bonuses'!$C$9, J113="X", 'Round Bonuses'!$C$8, I113="X", 'Round Bonuses'!$C$7, H113="X", 'Round Bonuses'!$C$6, G113="X", 'Round Bonuses'!$C$5, F113="X", 'Round Bonuses'!$C$4, E113="X", 'Round Bonuses'!$C$3, D113="X", 'Round Bonuses'!$C$3, TRUE, 0)</f>
        <v>#NAME?</v>
      </c>
      <c r="BA113" s="2">
        <f t="shared" ca="1" si="1"/>
        <v>3.1049999999999898</v>
      </c>
      <c r="BB113" s="10" t="e">
        <f t="shared" ca="1" si="2"/>
        <v>#NAME?</v>
      </c>
      <c r="BD113" s="11" t="str">
        <f t="shared" ca="1" si="3"/>
        <v>Laçi</v>
      </c>
      <c r="BE113" s="2" t="str">
        <f t="shared" ca="1" si="4"/>
        <v>Albania</v>
      </c>
      <c r="BF113" s="2" t="e">
        <f t="shared" ca="1" si="5"/>
        <v>#NAME?</v>
      </c>
      <c r="BG113" s="2">
        <f t="shared" ca="1" si="6"/>
        <v>2</v>
      </c>
      <c r="BH113" s="2" t="s">
        <v>167</v>
      </c>
      <c r="BI113" s="2" t="s">
        <v>58</v>
      </c>
      <c r="BJ113" s="7">
        <v>3</v>
      </c>
      <c r="BK113" s="2">
        <v>3</v>
      </c>
      <c r="BL113" s="2">
        <f t="shared" si="10"/>
        <v>111</v>
      </c>
      <c r="BM113" s="2" t="str">
        <f t="shared" si="7"/>
        <v>Bodø/Glimt</v>
      </c>
      <c r="BN113" s="7">
        <f t="shared" ref="BN113:BO113" si="120">BJ113</f>
        <v>3</v>
      </c>
      <c r="BO113" s="2">
        <f t="shared" si="120"/>
        <v>3</v>
      </c>
      <c r="BS113" s="2" t="str">
        <f t="shared" si="9"/>
        <v>Norway</v>
      </c>
    </row>
    <row r="114" spans="1:71" ht="13.8" x14ac:dyDescent="0.45">
      <c r="A114" s="2" t="str">
        <f ca="1">IFERROR(__xludf.DUMMYFUNCTION("""COMPUTED_VALUE"""),"LASK")</f>
        <v>LASK</v>
      </c>
      <c r="B114" s="2">
        <f ca="1">IFERROR(__xludf.DUMMYFUNCTION("""COMPUTED_VALUE"""),0.85)</f>
        <v>0.85</v>
      </c>
      <c r="C114" s="2" t="str">
        <f ca="1">IFERROR(__xludf.DUMMYFUNCTION("""COMPUTED_VALUE"""),"Austria")</f>
        <v>Austria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5">
        <f ca="1">IFERROR(__xludf.DUMMYFUNCTION("""COMPUTED_VALUE"""),0)</f>
        <v>0</v>
      </c>
      <c r="P114" s="2">
        <f ca="1">IFERROR(__xludf.DUMMYFUNCTION("""COMPUTED_VALUE"""),0)</f>
        <v>0</v>
      </c>
      <c r="Q114" s="2">
        <f ca="1">IFERROR(__xludf.DUMMYFUNCTION("""COMPUTED_VALUE"""),0)</f>
        <v>0</v>
      </c>
      <c r="R114" s="2">
        <f ca="1">IFERROR(__xludf.DUMMYFUNCTION("""COMPUTED_VALUE"""),0)</f>
        <v>0</v>
      </c>
      <c r="S114" s="2">
        <f ca="1">IFERROR(__xludf.DUMMYFUNCTION("""COMPUTED_VALUE"""),0)</f>
        <v>0</v>
      </c>
      <c r="T114" s="2">
        <f ca="1">IFERROR(__xludf.DUMMYFUNCTION("""COMPUTED_VALUE"""),0)</f>
        <v>0</v>
      </c>
      <c r="U114" s="2">
        <f ca="1">IFERROR(__xludf.DUMMYFUNCTION("""COMPUTED_VALUE"""),0)</f>
        <v>0</v>
      </c>
      <c r="V114" s="2">
        <f ca="1">IFERROR(__xludf.DUMMYFUNCTION("""COMPUTED_VALUE"""),0)</f>
        <v>0</v>
      </c>
      <c r="W114" s="2">
        <f ca="1">IFERROR(__xludf.DUMMYFUNCTION("""COMPUTED_VALUE"""),0)</f>
        <v>0</v>
      </c>
      <c r="X114" s="2">
        <f ca="1">IFERROR(__xludf.DUMMYFUNCTION("""COMPUTED_VALUE"""),0)</f>
        <v>0</v>
      </c>
      <c r="Y114" s="2">
        <f ca="1">IFERROR(__xludf.DUMMYFUNCTION("""COMPUTED_VALUE"""),0)</f>
        <v>0</v>
      </c>
      <c r="AB114" s="2"/>
      <c r="AC114" s="2"/>
      <c r="AD114" s="2"/>
      <c r="AE114" s="2" t="str">
        <f ca="1">IFERROR(__xludf.DUMMYFUNCTION("""COMPUTED_VALUE"""),"X")</f>
        <v>X</v>
      </c>
      <c r="AF114" s="2" t="str">
        <f ca="1">IFERROR(__xludf.DUMMYFUNCTION("""COMPUTED_VALUE"""),"X")</f>
        <v>X</v>
      </c>
      <c r="AG114" s="2" t="str">
        <f ca="1">IFERROR(__xludf.DUMMYFUNCTION("""COMPUTED_VALUE"""),"X")</f>
        <v>X</v>
      </c>
      <c r="AH114" s="2"/>
      <c r="AI114" s="2"/>
      <c r="AJ114" s="2"/>
      <c r="AK114" s="2"/>
      <c r="AL114" s="2"/>
      <c r="AM114" s="2">
        <f ca="1">IFERROR(__xludf.DUMMYFUNCTION("""COMPUTED_VALUE"""),0)</f>
        <v>0</v>
      </c>
      <c r="AN114" s="2">
        <f ca="1">IFERROR(__xludf.DUMMYFUNCTION("""COMPUTED_VALUE"""),0)</f>
        <v>0</v>
      </c>
      <c r="AO114" s="2">
        <f ca="1">IFERROR(__xludf.DUMMYFUNCTION("""COMPUTED_VALUE"""),0)</f>
        <v>0</v>
      </c>
      <c r="AP114" s="2">
        <f ca="1">IFERROR(__xludf.DUMMYFUNCTION("""COMPUTED_VALUE"""),3.31499999999999)</f>
        <v>3.3149999999999902</v>
      </c>
      <c r="AQ114" s="2">
        <f ca="1">IFERROR(__xludf.DUMMYFUNCTION("""COMPUTED_VALUE"""),3.93749999999999)</f>
        <v>3.9374999999999898</v>
      </c>
      <c r="AR114" s="2">
        <f ca="1">IFERROR(__xludf.DUMMYFUNCTION("""COMPUTED_VALUE"""),12.7562499999999)</f>
        <v>12.7562499999999</v>
      </c>
      <c r="AS114" s="2">
        <f ca="1">IFERROR(__xludf.DUMMYFUNCTION("""COMPUTED_VALUE"""),0)</f>
        <v>0</v>
      </c>
      <c r="AT114" s="2">
        <f ca="1">IFERROR(__xludf.DUMMYFUNCTION("""COMPUTED_VALUE"""),0)</f>
        <v>0</v>
      </c>
      <c r="AU114" s="2">
        <f ca="1">IFERROR(__xludf.DUMMYFUNCTION("""COMPUTED_VALUE"""),0)</f>
        <v>0</v>
      </c>
      <c r="AV114" s="2">
        <f ca="1">IFERROR(__xludf.DUMMYFUNCTION("""COMPUTED_VALUE"""),0)</f>
        <v>0</v>
      </c>
      <c r="AW114" s="2">
        <f ca="1">IFERROR(__xludf.DUMMYFUNCTION("""COMPUTED_VALUE"""),0)</f>
        <v>0</v>
      </c>
      <c r="AY114" s="2">
        <f t="shared" ca="1" si="0"/>
        <v>8</v>
      </c>
      <c r="AZ114" s="2" t="e">
        <f ca="1">IF(NOT(COUNTA(D114:J114)), _xludf.IFS(AL114="W", 'Round Bonuses'!$F$14, AL114="X", 'Round Bonuses'!$F$13, AK114="X", 'Round Bonuses'!$F$12, AJ114="X", 'Round Bonuses'!$F$11, AI114="X", 'Round Bonuses'!$F$10, AH114="X", 'Round Bonuses'!$F$9, AG114="X", 'Round Bonuses'!$F$8, AF114="X", 'Round Bonuses'!$F$7, AE114="X", 'Round Bonuses'!$F$6, AD114="X", 'Round Bonuses'!$F$5, AC114="X", 'Round Bonuses'!$F$4, AB114="X", 'Round Bonuses'!$F$3, TRUE, 0), IF(AA114="X", _xludf.IFS(AD114="X", 'Round Bonuses'!$E$4, AF114="X",'Round Bonuses'!$E$6,TRUE, 'Round Bonuses'!$E$7), 0) +IF(AB114="X", 'Round Bonuses'!$E$3, 0)+IF(AC114="X",'Round Bonuses'!$E$4, 0)+IF(AD114="X", 'Round Bonuses'!$E$5, 0)+IF(AE114="X", 'Round Bonuses'!$E$6, 0)+IF(AF114="X", 'Round Bonuses'!$E$7, 0)+IF(AG114="X", 'Round Bonuses'!$E$8, 0)+_xludf.IFS(AL114="W", 'Round Bonuses'!$G$14, AL114="X", 'Round Bonuses'!$G$13, AK114="X", 'Round Bonuses'!$G$12, AJ114="X", 'Round Bonuses'!$G$11, AI114="X", 'Round Bonuses'!$G$10, AH114="X", 'Round Bonuses'!$G$9, TRUE, 0))+_xludf.IFS(N114="W", 'Round Bonuses'!$C$13, N114="X", 'Round Bonuses'!$C$12, M114="X", 'Round Bonuses'!$C$11, L114="X", 'Round Bonuses'!$C$10, K114="X", 'Round Bonuses'!$C$9, J114="X", 'Round Bonuses'!$C$8, I114="X", 'Round Bonuses'!$C$7, H114="X", 'Round Bonuses'!$C$6, G114="X", 'Round Bonuses'!$C$5, F114="X", 'Round Bonuses'!$C$4, E114="X", 'Round Bonuses'!$C$3, D114="X", 'Round Bonuses'!$C$3, TRUE, 0)</f>
        <v>#NAME?</v>
      </c>
      <c r="BA114" s="2">
        <f t="shared" ca="1" si="1"/>
        <v>20.008749999999878</v>
      </c>
      <c r="BB114" s="10" t="e">
        <f t="shared" ca="1" si="2"/>
        <v>#NAME?</v>
      </c>
      <c r="BD114" s="11" t="str">
        <f t="shared" ca="1" si="3"/>
        <v>LASK</v>
      </c>
      <c r="BE114" s="2" t="str">
        <f t="shared" ca="1" si="4"/>
        <v>Austria</v>
      </c>
      <c r="BF114" s="2" t="e">
        <f t="shared" ca="1" si="5"/>
        <v>#NAME?</v>
      </c>
      <c r="BG114" s="2">
        <f t="shared" ca="1" si="6"/>
        <v>8</v>
      </c>
      <c r="BH114" s="2" t="s">
        <v>168</v>
      </c>
      <c r="BI114" s="2" t="s">
        <v>94</v>
      </c>
      <c r="BJ114" s="7">
        <v>2.9670833333333335</v>
      </c>
      <c r="BK114" s="2">
        <v>3</v>
      </c>
      <c r="BL114" s="2">
        <f t="shared" si="10"/>
        <v>112</v>
      </c>
      <c r="BM114" s="2" t="str">
        <f t="shared" si="7"/>
        <v>Apollon Limassol</v>
      </c>
      <c r="BN114" s="7">
        <f t="shared" ref="BN114:BO114" si="121">BJ114</f>
        <v>2.9670833333333335</v>
      </c>
      <c r="BO114" s="2">
        <f t="shared" si="121"/>
        <v>3</v>
      </c>
      <c r="BS114" s="2" t="str">
        <f t="shared" si="9"/>
        <v>Cyprus</v>
      </c>
    </row>
    <row r="115" spans="1:71" ht="13.8" x14ac:dyDescent="0.45">
      <c r="A115" s="2" t="str">
        <f ca="1">IFERROR(__xludf.DUMMYFUNCTION("""COMPUTED_VALUE"""),"Lazio")</f>
        <v>Lazio</v>
      </c>
      <c r="B115" s="2">
        <f ca="1">IFERROR(__xludf.DUMMYFUNCTION("""COMPUTED_VALUE"""),0.94)</f>
        <v>0.94</v>
      </c>
      <c r="C115" s="2" t="str">
        <f ca="1">IFERROR(__xludf.DUMMYFUNCTION("""COMPUTED_VALUE"""),"Italy")</f>
        <v>Italy</v>
      </c>
      <c r="D115" s="2"/>
      <c r="E115" s="2"/>
      <c r="F115" s="2"/>
      <c r="G115" s="2"/>
      <c r="H115" s="2"/>
      <c r="I115" s="2"/>
      <c r="J115" s="2" t="str">
        <f ca="1">IFERROR(__xludf.DUMMYFUNCTION("""COMPUTED_VALUE"""),"X")</f>
        <v>X</v>
      </c>
      <c r="K115" s="2" t="str">
        <f ca="1">IFERROR(__xludf.DUMMYFUNCTION("""COMPUTED_VALUE"""),"X")</f>
        <v>X</v>
      </c>
      <c r="L115" s="2"/>
      <c r="M115" s="2"/>
      <c r="N115" s="2"/>
      <c r="O115" s="5">
        <f ca="1">IFERROR(__xludf.DUMMYFUNCTION("""COMPUTED_VALUE"""),0)</f>
        <v>0</v>
      </c>
      <c r="P115" s="2">
        <f ca="1">IFERROR(__xludf.DUMMYFUNCTION("""COMPUTED_VALUE"""),0)</f>
        <v>0</v>
      </c>
      <c r="Q115" s="2">
        <f ca="1">IFERROR(__xludf.DUMMYFUNCTION("""COMPUTED_VALUE"""),0)</f>
        <v>0</v>
      </c>
      <c r="R115" s="2">
        <f ca="1">IFERROR(__xludf.DUMMYFUNCTION("""COMPUTED_VALUE"""),0)</f>
        <v>0</v>
      </c>
      <c r="S115" s="2">
        <f ca="1">IFERROR(__xludf.DUMMYFUNCTION("""COMPUTED_VALUE"""),0)</f>
        <v>0</v>
      </c>
      <c r="T115" s="2">
        <f ca="1">IFERROR(__xludf.DUMMYFUNCTION("""COMPUTED_VALUE"""),0)</f>
        <v>0</v>
      </c>
      <c r="U115" s="2">
        <f ca="1">IFERROR(__xludf.DUMMYFUNCTION("""COMPUTED_VALUE"""),15.4924999999999)</f>
        <v>15.4924999999999</v>
      </c>
      <c r="V115" s="2">
        <f ca="1">IFERROR(__xludf.DUMMYFUNCTION("""COMPUTED_VALUE"""),1.42)</f>
        <v>1.42</v>
      </c>
      <c r="W115" s="2">
        <f ca="1">IFERROR(__xludf.DUMMYFUNCTION("""COMPUTED_VALUE"""),0)</f>
        <v>0</v>
      </c>
      <c r="X115" s="2">
        <f ca="1">IFERROR(__xludf.DUMMYFUNCTION("""COMPUTED_VALUE"""),0)</f>
        <v>0</v>
      </c>
      <c r="Y115" s="2">
        <f ca="1">IFERROR(__xludf.DUMMYFUNCTION("""COMPUTED_VALUE"""),0)</f>
        <v>0</v>
      </c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>
        <f ca="1">IFERROR(__xludf.DUMMYFUNCTION("""COMPUTED_VALUE"""),0)</f>
        <v>0</v>
      </c>
      <c r="AN115" s="2">
        <f ca="1">IFERROR(__xludf.DUMMYFUNCTION("""COMPUTED_VALUE"""),0)</f>
        <v>0</v>
      </c>
      <c r="AO115" s="2">
        <f ca="1">IFERROR(__xludf.DUMMYFUNCTION("""COMPUTED_VALUE"""),0)</f>
        <v>0</v>
      </c>
      <c r="AP115" s="2">
        <f ca="1">IFERROR(__xludf.DUMMYFUNCTION("""COMPUTED_VALUE"""),0)</f>
        <v>0</v>
      </c>
      <c r="AQ115" s="2">
        <f ca="1">IFERROR(__xludf.DUMMYFUNCTION("""COMPUTED_VALUE"""),0)</f>
        <v>0</v>
      </c>
      <c r="AR115" s="2">
        <f ca="1">IFERROR(__xludf.DUMMYFUNCTION("""COMPUTED_VALUE"""),0)</f>
        <v>0</v>
      </c>
      <c r="AS115" s="2">
        <f ca="1">IFERROR(__xludf.DUMMYFUNCTION("""COMPUTED_VALUE"""),0)</f>
        <v>0</v>
      </c>
      <c r="AT115" s="2">
        <f ca="1">IFERROR(__xludf.DUMMYFUNCTION("""COMPUTED_VALUE"""),0)</f>
        <v>0</v>
      </c>
      <c r="AU115" s="2">
        <f ca="1">IFERROR(__xludf.DUMMYFUNCTION("""COMPUTED_VALUE"""),0)</f>
        <v>0</v>
      </c>
      <c r="AV115" s="2">
        <f ca="1">IFERROR(__xludf.DUMMYFUNCTION("""COMPUTED_VALUE"""),0)</f>
        <v>0</v>
      </c>
      <c r="AW115" s="2">
        <f ca="1">IFERROR(__xludf.DUMMYFUNCTION("""COMPUTED_VALUE"""),0)</f>
        <v>0</v>
      </c>
      <c r="AY115" s="2">
        <f t="shared" ca="1" si="0"/>
        <v>8</v>
      </c>
      <c r="AZ115" s="2" t="e">
        <f ca="1">IF(NOT(COUNTA(D115:J115)), _xludf.IFS(AL115="W", 'Round Bonuses'!$F$14, AL115="X", 'Round Bonuses'!$F$13, AK115="X", 'Round Bonuses'!$F$12, AJ115="X", 'Round Bonuses'!$F$11, AI115="X", 'Round Bonuses'!$F$10, AH115="X", 'Round Bonuses'!$F$9, AG115="X", 'Round Bonuses'!$F$8, AF115="X", 'Round Bonuses'!$F$7, AE115="X", 'Round Bonuses'!$F$6, AD115="X", 'Round Bonuses'!$F$5, AC115="X", 'Round Bonuses'!$F$4, AB115="X", 'Round Bonuses'!$F$3, TRUE, 0), IF(AA115="X", _xludf.IFS(AD115="X", 'Round Bonuses'!$E$4, AF115="X",'Round Bonuses'!$E$6,TRUE, 'Round Bonuses'!$E$7), 0) +IF(AB115="X", 'Round Bonuses'!$E$3, 0)+IF(AC115="X",'Round Bonuses'!$E$4, 0)+IF(AD115="X", 'Round Bonuses'!$E$5, 0)+IF(AE115="X", 'Round Bonuses'!$E$6, 0)+IF(AF115="X", 'Round Bonuses'!$E$7, 0)+IF(AG115="X", 'Round Bonuses'!$E$8, 0)+_xludf.IFS(AL115="W", 'Round Bonuses'!$G$14, AL115="X", 'Round Bonuses'!$G$13, AK115="X", 'Round Bonuses'!$G$12, AJ115="X", 'Round Bonuses'!$G$11, AI115="X", 'Round Bonuses'!$G$10, AH115="X", 'Round Bonuses'!$G$9, TRUE, 0))+_xludf.IFS(N115="W", 'Round Bonuses'!$C$13, N115="X", 'Round Bonuses'!$C$12, M115="X", 'Round Bonuses'!$C$11, L115="X", 'Round Bonuses'!$C$10, K115="X", 'Round Bonuses'!$C$9, J115="X", 'Round Bonuses'!$C$8, I115="X", 'Round Bonuses'!$C$7, H115="X", 'Round Bonuses'!$C$6, G115="X", 'Round Bonuses'!$C$5, F115="X", 'Round Bonuses'!$C$4, E115="X", 'Round Bonuses'!$C$3, D115="X", 'Round Bonuses'!$C$3, TRUE, 0)</f>
        <v>#NAME?</v>
      </c>
      <c r="BA115" s="2">
        <f t="shared" ca="1" si="1"/>
        <v>16.912499999999902</v>
      </c>
      <c r="BB115" s="10" t="e">
        <f t="shared" ca="1" si="2"/>
        <v>#NAME?</v>
      </c>
      <c r="BD115" s="11" t="str">
        <f t="shared" ca="1" si="3"/>
        <v>Lazio</v>
      </c>
      <c r="BE115" s="2" t="str">
        <f t="shared" ca="1" si="4"/>
        <v>Italy</v>
      </c>
      <c r="BF115" s="2" t="e">
        <f t="shared" ca="1" si="5"/>
        <v>#NAME?</v>
      </c>
      <c r="BG115" s="2">
        <f t="shared" ca="1" si="6"/>
        <v>8</v>
      </c>
      <c r="BH115" s="2" t="s">
        <v>169</v>
      </c>
      <c r="BI115" s="2" t="s">
        <v>76</v>
      </c>
      <c r="BJ115" s="7">
        <v>2.9583333333333335</v>
      </c>
      <c r="BK115" s="2">
        <v>3</v>
      </c>
      <c r="BL115" s="2">
        <f t="shared" si="10"/>
        <v>113</v>
      </c>
      <c r="BM115" s="2" t="str">
        <f t="shared" si="7"/>
        <v>Partizan</v>
      </c>
      <c r="BN115" s="7">
        <f t="shared" ref="BN115:BO115" si="122">BJ115</f>
        <v>2.9583333333333335</v>
      </c>
      <c r="BO115" s="2">
        <f t="shared" si="122"/>
        <v>3</v>
      </c>
      <c r="BS115" s="2" t="str">
        <f t="shared" si="9"/>
        <v>Serbia</v>
      </c>
    </row>
    <row r="116" spans="1:71" ht="13.8" x14ac:dyDescent="0.45">
      <c r="A116" s="2" t="str">
        <f ca="1">IFERROR(__xludf.DUMMYFUNCTION("""COMPUTED_VALUE"""),"Lech Poznań")</f>
        <v>Lech Poznań</v>
      </c>
      <c r="B116" s="2">
        <f ca="1">IFERROR(__xludf.DUMMYFUNCTION("""COMPUTED_VALUE"""),0.74)</f>
        <v>0.74</v>
      </c>
      <c r="C116" s="2" t="str">
        <f ca="1">IFERROR(__xludf.DUMMYFUNCTION("""COMPUTED_VALUE"""),"Poland")</f>
        <v>Poland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5">
        <f ca="1">IFERROR(__xludf.DUMMYFUNCTION("""COMPUTED_VALUE"""),0)</f>
        <v>0</v>
      </c>
      <c r="P116" s="2">
        <f ca="1">IFERROR(__xludf.DUMMYFUNCTION("""COMPUTED_VALUE"""),0)</f>
        <v>0</v>
      </c>
      <c r="Q116" s="2">
        <f ca="1">IFERROR(__xludf.DUMMYFUNCTION("""COMPUTED_VALUE"""),0)</f>
        <v>0</v>
      </c>
      <c r="R116" s="2">
        <f ca="1">IFERROR(__xludf.DUMMYFUNCTION("""COMPUTED_VALUE"""),0)</f>
        <v>0</v>
      </c>
      <c r="S116" s="2">
        <f ca="1">IFERROR(__xludf.DUMMYFUNCTION("""COMPUTED_VALUE"""),0)</f>
        <v>0</v>
      </c>
      <c r="T116" s="2">
        <f ca="1">IFERROR(__xludf.DUMMYFUNCTION("""COMPUTED_VALUE"""),0)</f>
        <v>0</v>
      </c>
      <c r="U116" s="2">
        <f ca="1">IFERROR(__xludf.DUMMYFUNCTION("""COMPUTED_VALUE"""),0)</f>
        <v>0</v>
      </c>
      <c r="V116" s="2">
        <f ca="1">IFERROR(__xludf.DUMMYFUNCTION("""COMPUTED_VALUE"""),0)</f>
        <v>0</v>
      </c>
      <c r="W116" s="2">
        <f ca="1">IFERROR(__xludf.DUMMYFUNCTION("""COMPUTED_VALUE"""),0)</f>
        <v>0</v>
      </c>
      <c r="X116" s="2">
        <f ca="1">IFERROR(__xludf.DUMMYFUNCTION("""COMPUTED_VALUE"""),0)</f>
        <v>0</v>
      </c>
      <c r="Y116" s="2">
        <f ca="1">IFERROR(__xludf.DUMMYFUNCTION("""COMPUTED_VALUE"""),0)</f>
        <v>0</v>
      </c>
      <c r="AB116" s="2"/>
      <c r="AC116" s="2" t="str">
        <f ca="1">IFERROR(__xludf.DUMMYFUNCTION("""COMPUTED_VALUE"""),"X")</f>
        <v>X</v>
      </c>
      <c r="AD116" s="2" t="str">
        <f ca="1">IFERROR(__xludf.DUMMYFUNCTION("""COMPUTED_VALUE"""),"X")</f>
        <v>X</v>
      </c>
      <c r="AE116" s="2" t="str">
        <f ca="1">IFERROR(__xludf.DUMMYFUNCTION("""COMPUTED_VALUE"""),"X")</f>
        <v>X</v>
      </c>
      <c r="AF116" s="2" t="str">
        <f ca="1">IFERROR(__xludf.DUMMYFUNCTION("""COMPUTED_VALUE"""),"X")</f>
        <v>X</v>
      </c>
      <c r="AG116" s="2" t="str">
        <f ca="1">IFERROR(__xludf.DUMMYFUNCTION("""COMPUTED_VALUE"""),"X")</f>
        <v>X</v>
      </c>
      <c r="AH116" s="2"/>
      <c r="AI116" s="2"/>
      <c r="AJ116" s="2"/>
      <c r="AK116" s="2"/>
      <c r="AL116" s="2"/>
      <c r="AM116" s="2">
        <f ca="1">IFERROR(__xludf.DUMMYFUNCTION("""COMPUTED_VALUE"""),0)</f>
        <v>0</v>
      </c>
      <c r="AN116" s="2">
        <f ca="1">IFERROR(__xludf.DUMMYFUNCTION("""COMPUTED_VALUE"""),2.40625)</f>
        <v>2.40625</v>
      </c>
      <c r="AO116" s="2">
        <f ca="1">IFERROR(__xludf.DUMMYFUNCTION("""COMPUTED_VALUE"""),3.325)</f>
        <v>3.3250000000000002</v>
      </c>
      <c r="AP116" s="2">
        <f ca="1">IFERROR(__xludf.DUMMYFUNCTION("""COMPUTED_VALUE"""),3.65375)</f>
        <v>3.6537500000000001</v>
      </c>
      <c r="AQ116" s="2">
        <f ca="1">IFERROR(__xludf.DUMMYFUNCTION("""COMPUTED_VALUE"""),3.7125)</f>
        <v>3.7124999999999999</v>
      </c>
      <c r="AR116" s="2">
        <f ca="1">IFERROR(__xludf.DUMMYFUNCTION("""COMPUTED_VALUE"""),6.78999999999999)</f>
        <v>6.7899999999999903</v>
      </c>
      <c r="AS116" s="2">
        <f ca="1">IFERROR(__xludf.DUMMYFUNCTION("""COMPUTED_VALUE"""),0)</f>
        <v>0</v>
      </c>
      <c r="AT116" s="2">
        <f ca="1">IFERROR(__xludf.DUMMYFUNCTION("""COMPUTED_VALUE"""),0)</f>
        <v>0</v>
      </c>
      <c r="AU116" s="2">
        <f ca="1">IFERROR(__xludf.DUMMYFUNCTION("""COMPUTED_VALUE"""),0)</f>
        <v>0</v>
      </c>
      <c r="AV116" s="2">
        <f ca="1">IFERROR(__xludf.DUMMYFUNCTION("""COMPUTED_VALUE"""),0)</f>
        <v>0</v>
      </c>
      <c r="AW116" s="2">
        <f ca="1">IFERROR(__xludf.DUMMYFUNCTION("""COMPUTED_VALUE"""),0)</f>
        <v>0</v>
      </c>
      <c r="AY116" s="2">
        <f t="shared" ca="1" si="0"/>
        <v>10</v>
      </c>
      <c r="AZ116" s="2" t="e">
        <f ca="1">IF(NOT(COUNTA(D116:J116)), _xludf.IFS(AL116="W", 'Round Bonuses'!$F$14, AL116="X", 'Round Bonuses'!$F$13, AK116="X", 'Round Bonuses'!$F$12, AJ116="X", 'Round Bonuses'!$F$11, AI116="X", 'Round Bonuses'!$F$10, AH116="X", 'Round Bonuses'!$F$9, AG116="X", 'Round Bonuses'!$F$8, AF116="X", 'Round Bonuses'!$F$7, AE116="X", 'Round Bonuses'!$F$6, AD116="X", 'Round Bonuses'!$F$5, AC116="X", 'Round Bonuses'!$F$4, AB116="X", 'Round Bonuses'!$F$3, TRUE, 0), IF(AA116="X", _xludf.IFS(AD116="X", 'Round Bonuses'!$E$4, AF116="X",'Round Bonuses'!$E$6,TRUE, 'Round Bonuses'!$E$7), 0) +IF(AB116="X", 'Round Bonuses'!$E$3, 0)+IF(AC116="X",'Round Bonuses'!$E$4, 0)+IF(AD116="X", 'Round Bonuses'!$E$5, 0)+IF(AE116="X", 'Round Bonuses'!$E$6, 0)+IF(AF116="X", 'Round Bonuses'!$E$7, 0)+IF(AG116="X", 'Round Bonuses'!$E$8, 0)+_xludf.IFS(AL116="W", 'Round Bonuses'!$G$14, AL116="X", 'Round Bonuses'!$G$13, AK116="X", 'Round Bonuses'!$G$12, AJ116="X", 'Round Bonuses'!$G$11, AI116="X", 'Round Bonuses'!$G$10, AH116="X", 'Round Bonuses'!$G$9, TRUE, 0))+_xludf.IFS(N116="W", 'Round Bonuses'!$C$13, N116="X", 'Round Bonuses'!$C$12, M116="X", 'Round Bonuses'!$C$11, L116="X", 'Round Bonuses'!$C$10, K116="X", 'Round Bonuses'!$C$9, J116="X", 'Round Bonuses'!$C$8, I116="X", 'Round Bonuses'!$C$7, H116="X", 'Round Bonuses'!$C$6, G116="X", 'Round Bonuses'!$C$5, F116="X", 'Round Bonuses'!$C$4, E116="X", 'Round Bonuses'!$C$3, D116="X", 'Round Bonuses'!$C$3, TRUE, 0)</f>
        <v>#NAME?</v>
      </c>
      <c r="BA116" s="2">
        <f t="shared" ca="1" si="1"/>
        <v>19.887499999999989</v>
      </c>
      <c r="BB116" s="10" t="e">
        <f t="shared" ca="1" si="2"/>
        <v>#NAME?</v>
      </c>
      <c r="BD116" s="11" t="str">
        <f t="shared" ca="1" si="3"/>
        <v>Lech Poznań</v>
      </c>
      <c r="BE116" s="2" t="str">
        <f t="shared" ca="1" si="4"/>
        <v>Poland</v>
      </c>
      <c r="BF116" s="2" t="e">
        <f t="shared" ca="1" si="5"/>
        <v>#NAME?</v>
      </c>
      <c r="BG116" s="2">
        <f t="shared" ca="1" si="6"/>
        <v>10</v>
      </c>
      <c r="BH116" s="2" t="s">
        <v>170</v>
      </c>
      <c r="BI116" s="2" t="s">
        <v>159</v>
      </c>
      <c r="BJ116" s="7">
        <v>2.92875</v>
      </c>
      <c r="BK116" s="2">
        <v>3</v>
      </c>
      <c r="BL116" s="2">
        <f t="shared" si="10"/>
        <v>114</v>
      </c>
      <c r="BM116" s="2" t="str">
        <f t="shared" si="7"/>
        <v>Celje</v>
      </c>
      <c r="BN116" s="7">
        <f t="shared" ref="BN116:BO116" si="123">BJ116</f>
        <v>2.92875</v>
      </c>
      <c r="BO116" s="2">
        <f t="shared" si="123"/>
        <v>3</v>
      </c>
      <c r="BS116" s="2" t="str">
        <f t="shared" si="9"/>
        <v>Slovenia</v>
      </c>
    </row>
    <row r="117" spans="1:71" ht="13.8" x14ac:dyDescent="0.45">
      <c r="A117" s="2" t="str">
        <f ca="1">IFERROR(__xludf.DUMMYFUNCTION("""COMPUTED_VALUE"""),"Legia Warsaw")</f>
        <v>Legia Warsaw</v>
      </c>
      <c r="B117" s="2">
        <f ca="1">IFERROR(__xludf.DUMMYFUNCTION("""COMPUTED_VALUE"""),0.75)</f>
        <v>0.75</v>
      </c>
      <c r="C117" s="2" t="str">
        <f ca="1">IFERROR(__xludf.DUMMYFUNCTION("""COMPUTED_VALUE"""),"Poland")</f>
        <v>Poland</v>
      </c>
      <c r="D117" s="2"/>
      <c r="E117" s="2"/>
      <c r="F117" s="2" t="str">
        <f ca="1">IFERROR(__xludf.DUMMYFUNCTION("""COMPUTED_VALUE"""),"X")</f>
        <v>X</v>
      </c>
      <c r="G117" s="2" t="str">
        <f ca="1">IFERROR(__xludf.DUMMYFUNCTION("""COMPUTED_VALUE"""),"X")</f>
        <v>X</v>
      </c>
      <c r="H117" s="2"/>
      <c r="I117" s="2"/>
      <c r="J117" s="2"/>
      <c r="K117" s="2"/>
      <c r="L117" s="2"/>
      <c r="M117" s="2"/>
      <c r="N117" s="2"/>
      <c r="O117" s="5">
        <f ca="1">IFERROR(__xludf.DUMMYFUNCTION("""COMPUTED_VALUE"""),0)</f>
        <v>0</v>
      </c>
      <c r="P117" s="2">
        <f ca="1">IFERROR(__xludf.DUMMYFUNCTION("""COMPUTED_VALUE"""),0)</f>
        <v>0</v>
      </c>
      <c r="Q117" s="2">
        <f ca="1">IFERROR(__xludf.DUMMYFUNCTION("""COMPUTED_VALUE"""),1.98)</f>
        <v>1.98</v>
      </c>
      <c r="R117" s="2">
        <f ca="1">IFERROR(__xludf.DUMMYFUNCTION("""COMPUTED_VALUE"""),0.57)</f>
        <v>0.56999999999999995</v>
      </c>
      <c r="S117" s="2">
        <f ca="1">IFERROR(__xludf.DUMMYFUNCTION("""COMPUTED_VALUE"""),0)</f>
        <v>0</v>
      </c>
      <c r="T117" s="2">
        <f ca="1">IFERROR(__xludf.DUMMYFUNCTION("""COMPUTED_VALUE"""),0)</f>
        <v>0</v>
      </c>
      <c r="U117" s="2">
        <f ca="1">IFERROR(__xludf.DUMMYFUNCTION("""COMPUTED_VALUE"""),0)</f>
        <v>0</v>
      </c>
      <c r="V117" s="2">
        <f ca="1">IFERROR(__xludf.DUMMYFUNCTION("""COMPUTED_VALUE"""),0)</f>
        <v>0</v>
      </c>
      <c r="W117" s="2">
        <f ca="1">IFERROR(__xludf.DUMMYFUNCTION("""COMPUTED_VALUE"""),0)</f>
        <v>0</v>
      </c>
      <c r="X117" s="2">
        <f ca="1">IFERROR(__xludf.DUMMYFUNCTION("""COMPUTED_VALUE"""),0)</f>
        <v>0</v>
      </c>
      <c r="Y117" s="2">
        <f ca="1">IFERROR(__xludf.DUMMYFUNCTION("""COMPUTED_VALUE"""),0)</f>
        <v>0</v>
      </c>
      <c r="AB117" s="2"/>
      <c r="AC117" s="2"/>
      <c r="AD117" s="2"/>
      <c r="AE117" s="2" t="str">
        <f ca="1">IFERROR(__xludf.DUMMYFUNCTION("""COMPUTED_VALUE"""),"X")</f>
        <v>X</v>
      </c>
      <c r="AF117" s="2" t="str">
        <f ca="1">IFERROR(__xludf.DUMMYFUNCTION("""COMPUTED_VALUE"""),"X")</f>
        <v>X</v>
      </c>
      <c r="AG117" s="2"/>
      <c r="AH117" s="2"/>
      <c r="AI117" s="2"/>
      <c r="AJ117" s="2"/>
      <c r="AK117" s="2"/>
      <c r="AL117" s="2"/>
      <c r="AM117" s="2">
        <f ca="1">IFERROR(__xludf.DUMMYFUNCTION("""COMPUTED_VALUE"""),0)</f>
        <v>0</v>
      </c>
      <c r="AN117" s="2">
        <f ca="1">IFERROR(__xludf.DUMMYFUNCTION("""COMPUTED_VALUE"""),0)</f>
        <v>0</v>
      </c>
      <c r="AO117" s="2">
        <f ca="1">IFERROR(__xludf.DUMMYFUNCTION("""COMPUTED_VALUE"""),0)</f>
        <v>0</v>
      </c>
      <c r="AP117" s="2">
        <f ca="1">IFERROR(__xludf.DUMMYFUNCTION("""COMPUTED_VALUE"""),1.99749999999999)</f>
        <v>1.9974999999999901</v>
      </c>
      <c r="AQ117" s="2">
        <f ca="1">IFERROR(__xludf.DUMMYFUNCTION("""COMPUTED_VALUE"""),0.365)</f>
        <v>0.36499999999999999</v>
      </c>
      <c r="AR117" s="2">
        <f ca="1">IFERROR(__xludf.DUMMYFUNCTION("""COMPUTED_VALUE"""),0)</f>
        <v>0</v>
      </c>
      <c r="AS117" s="2">
        <f ca="1">IFERROR(__xludf.DUMMYFUNCTION("""COMPUTED_VALUE"""),0)</f>
        <v>0</v>
      </c>
      <c r="AT117" s="2">
        <f ca="1">IFERROR(__xludf.DUMMYFUNCTION("""COMPUTED_VALUE"""),0)</f>
        <v>0</v>
      </c>
      <c r="AU117" s="2">
        <f ca="1">IFERROR(__xludf.DUMMYFUNCTION("""COMPUTED_VALUE"""),0)</f>
        <v>0</v>
      </c>
      <c r="AV117" s="2">
        <f ca="1">IFERROR(__xludf.DUMMYFUNCTION("""COMPUTED_VALUE"""),0)</f>
        <v>0</v>
      </c>
      <c r="AW117" s="2">
        <f ca="1">IFERROR(__xludf.DUMMYFUNCTION("""COMPUTED_VALUE"""),0)</f>
        <v>0</v>
      </c>
      <c r="AY117" s="2">
        <f t="shared" ca="1" si="0"/>
        <v>4</v>
      </c>
      <c r="AZ117" s="2" t="e">
        <f ca="1">IF(NOT(COUNTA(D117:J117)), _xludf.IFS(AL117="W", 'Round Bonuses'!$F$14, AL117="X", 'Round Bonuses'!$F$13, AK117="X", 'Round Bonuses'!$F$12, AJ117="X", 'Round Bonuses'!$F$11, AI117="X", 'Round Bonuses'!$F$10, AH117="X", 'Round Bonuses'!$F$9, AG117="X", 'Round Bonuses'!$F$8, AF117="X", 'Round Bonuses'!$F$7, AE117="X", 'Round Bonuses'!$F$6, AD117="X", 'Round Bonuses'!$F$5, AC117="X", 'Round Bonuses'!$F$4, AB117="X", 'Round Bonuses'!$F$3, TRUE, 0), IF(AA117="X", _xludf.IFS(AD117="X", 'Round Bonuses'!$E$4, AF117="X",'Round Bonuses'!$E$6,TRUE, 'Round Bonuses'!$E$7), 0) +IF(AB117="X", 'Round Bonuses'!$E$3, 0)+IF(AC117="X",'Round Bonuses'!$E$4, 0)+IF(AD117="X", 'Round Bonuses'!$E$5, 0)+IF(AE117="X", 'Round Bonuses'!$E$6, 0)+IF(AF117="X", 'Round Bonuses'!$E$7, 0)+IF(AG117="X", 'Round Bonuses'!$E$8, 0)+_xludf.IFS(AL117="W", 'Round Bonuses'!$G$14, AL117="X", 'Round Bonuses'!$G$13, AK117="X", 'Round Bonuses'!$G$12, AJ117="X", 'Round Bonuses'!$G$11, AI117="X", 'Round Bonuses'!$G$10, AH117="X", 'Round Bonuses'!$G$9, TRUE, 0))+_xludf.IFS(N117="W", 'Round Bonuses'!$C$13, N117="X", 'Round Bonuses'!$C$12, M117="X", 'Round Bonuses'!$C$11, L117="X", 'Round Bonuses'!$C$10, K117="X", 'Round Bonuses'!$C$9, J117="X", 'Round Bonuses'!$C$8, I117="X", 'Round Bonuses'!$C$7, H117="X", 'Round Bonuses'!$C$6, G117="X", 'Round Bonuses'!$C$5, F117="X", 'Round Bonuses'!$C$4, E117="X", 'Round Bonuses'!$C$3, D117="X", 'Round Bonuses'!$C$3, TRUE, 0)</f>
        <v>#NAME?</v>
      </c>
      <c r="BA117" s="2">
        <f t="shared" ca="1" si="1"/>
        <v>4.9124999999999899</v>
      </c>
      <c r="BB117" s="10" t="e">
        <f t="shared" ca="1" si="2"/>
        <v>#NAME?</v>
      </c>
      <c r="BD117" s="11" t="str">
        <f t="shared" ca="1" si="3"/>
        <v>Legia Warsaw</v>
      </c>
      <c r="BE117" s="2" t="str">
        <f t="shared" ca="1" si="4"/>
        <v>Poland</v>
      </c>
      <c r="BF117" s="2" t="e">
        <f t="shared" ca="1" si="5"/>
        <v>#NAME?</v>
      </c>
      <c r="BG117" s="2">
        <f t="shared" ca="1" si="6"/>
        <v>4</v>
      </c>
      <c r="BH117" s="2" t="s">
        <v>171</v>
      </c>
      <c r="BI117" s="2" t="s">
        <v>104</v>
      </c>
      <c r="BJ117" s="7">
        <v>2.92625</v>
      </c>
      <c r="BK117" s="2">
        <v>3</v>
      </c>
      <c r="BL117" s="2">
        <f t="shared" si="10"/>
        <v>115</v>
      </c>
      <c r="BM117" s="2" t="str">
        <f t="shared" si="7"/>
        <v>FCSB</v>
      </c>
      <c r="BN117" s="7">
        <f t="shared" ref="BN117:BO117" si="124">BJ117</f>
        <v>2.92625</v>
      </c>
      <c r="BO117" s="2">
        <f t="shared" si="124"/>
        <v>3</v>
      </c>
      <c r="BS117" s="2" t="str">
        <f t="shared" si="9"/>
        <v>Romania</v>
      </c>
    </row>
    <row r="118" spans="1:71" ht="13.8" x14ac:dyDescent="0.45">
      <c r="A118" s="2" t="str">
        <f ca="1">IFERROR(__xludf.DUMMYFUNCTION("""COMPUTED_VALUE"""),"Leicester City")</f>
        <v>Leicester City</v>
      </c>
      <c r="B118" s="2">
        <f ca="1">IFERROR(__xludf.DUMMYFUNCTION("""COMPUTED_VALUE"""),0.94)</f>
        <v>0.94</v>
      </c>
      <c r="C118" s="2" t="str">
        <f ca="1">IFERROR(__xludf.DUMMYFUNCTION("""COMPUTED_VALUE"""),"England")</f>
        <v>England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5">
        <f ca="1">IFERROR(__xludf.DUMMYFUNCTION("""COMPUTED_VALUE"""),0)</f>
        <v>0</v>
      </c>
      <c r="P118" s="2">
        <f ca="1">IFERROR(__xludf.DUMMYFUNCTION("""COMPUTED_VALUE"""),0)</f>
        <v>0</v>
      </c>
      <c r="Q118" s="2">
        <f ca="1">IFERROR(__xludf.DUMMYFUNCTION("""COMPUTED_VALUE"""),0)</f>
        <v>0</v>
      </c>
      <c r="R118" s="2">
        <f ca="1">IFERROR(__xludf.DUMMYFUNCTION("""COMPUTED_VALUE"""),0)</f>
        <v>0</v>
      </c>
      <c r="S118" s="2">
        <f ca="1">IFERROR(__xludf.DUMMYFUNCTION("""COMPUTED_VALUE"""),0)</f>
        <v>0</v>
      </c>
      <c r="T118" s="2">
        <f ca="1">IFERROR(__xludf.DUMMYFUNCTION("""COMPUTED_VALUE"""),0)</f>
        <v>0</v>
      </c>
      <c r="U118" s="2">
        <f ca="1">IFERROR(__xludf.DUMMYFUNCTION("""COMPUTED_VALUE"""),0)</f>
        <v>0</v>
      </c>
      <c r="V118" s="2">
        <f ca="1">IFERROR(__xludf.DUMMYFUNCTION("""COMPUTED_VALUE"""),0)</f>
        <v>0</v>
      </c>
      <c r="W118" s="2">
        <f ca="1">IFERROR(__xludf.DUMMYFUNCTION("""COMPUTED_VALUE"""),0)</f>
        <v>0</v>
      </c>
      <c r="X118" s="2">
        <f ca="1">IFERROR(__xludf.DUMMYFUNCTION("""COMPUTED_VALUE"""),0)</f>
        <v>0</v>
      </c>
      <c r="Y118" s="2">
        <f ca="1">IFERROR(__xludf.DUMMYFUNCTION("""COMPUTED_VALUE"""),0)</f>
        <v>0</v>
      </c>
      <c r="AB118" s="2"/>
      <c r="AC118" s="2"/>
      <c r="AD118" s="2"/>
      <c r="AE118" s="2"/>
      <c r="AF118" s="2"/>
      <c r="AG118" s="2" t="str">
        <f ca="1">IFERROR(__xludf.DUMMYFUNCTION("""COMPUTED_VALUE"""),"X")</f>
        <v>X</v>
      </c>
      <c r="AH118" s="2" t="str">
        <f ca="1">IFERROR(__xludf.DUMMYFUNCTION("""COMPUTED_VALUE"""),"X")</f>
        <v>X</v>
      </c>
      <c r="AI118" s="2"/>
      <c r="AJ118" s="2"/>
      <c r="AK118" s="2"/>
      <c r="AL118" s="2"/>
      <c r="AM118" s="2">
        <f ca="1">IFERROR(__xludf.DUMMYFUNCTION("""COMPUTED_VALUE"""),0)</f>
        <v>0</v>
      </c>
      <c r="AN118" s="2">
        <f ca="1">IFERROR(__xludf.DUMMYFUNCTION("""COMPUTED_VALUE"""),0)</f>
        <v>0</v>
      </c>
      <c r="AO118" s="2">
        <f ca="1">IFERROR(__xludf.DUMMYFUNCTION("""COMPUTED_VALUE"""),0)</f>
        <v>0</v>
      </c>
      <c r="AP118" s="2">
        <f ca="1">IFERROR(__xludf.DUMMYFUNCTION("""COMPUTED_VALUE"""),0)</f>
        <v>0</v>
      </c>
      <c r="AQ118" s="2">
        <f ca="1">IFERROR(__xludf.DUMMYFUNCTION("""COMPUTED_VALUE"""),0)</f>
        <v>0</v>
      </c>
      <c r="AR118" s="2">
        <f ca="1">IFERROR(__xludf.DUMMYFUNCTION("""COMPUTED_VALUE"""),17.60875)</f>
        <v>17.608750000000001</v>
      </c>
      <c r="AS118" s="2">
        <f ca="1">IFERROR(__xludf.DUMMYFUNCTION("""COMPUTED_VALUE"""),2.36)</f>
        <v>2.36</v>
      </c>
      <c r="AT118" s="2">
        <f ca="1">IFERROR(__xludf.DUMMYFUNCTION("""COMPUTED_VALUE"""),0)</f>
        <v>0</v>
      </c>
      <c r="AU118" s="2">
        <f ca="1">IFERROR(__xludf.DUMMYFUNCTION("""COMPUTED_VALUE"""),0)</f>
        <v>0</v>
      </c>
      <c r="AV118" s="2">
        <f ca="1">IFERROR(__xludf.DUMMYFUNCTION("""COMPUTED_VALUE"""),0)</f>
        <v>0</v>
      </c>
      <c r="AW118" s="2">
        <f ca="1">IFERROR(__xludf.DUMMYFUNCTION("""COMPUTED_VALUE"""),0)</f>
        <v>0</v>
      </c>
      <c r="AY118" s="2">
        <f t="shared" ca="1" si="0"/>
        <v>8</v>
      </c>
      <c r="AZ118" s="2" t="e">
        <f ca="1">IF(NOT(COUNTA(D118:J118)), _xludf.IFS(AL118="W", 'Round Bonuses'!$F$14, AL118="X", 'Round Bonuses'!$F$13, AK118="X", 'Round Bonuses'!$F$12, AJ118="X", 'Round Bonuses'!$F$11, AI118="X", 'Round Bonuses'!$F$10, AH118="X", 'Round Bonuses'!$F$9, AG118="X", 'Round Bonuses'!$F$8, AF118="X", 'Round Bonuses'!$F$7, AE118="X", 'Round Bonuses'!$F$6, AD118="X", 'Round Bonuses'!$F$5, AC118="X", 'Round Bonuses'!$F$4, AB118="X", 'Round Bonuses'!$F$3, TRUE, 0), IF(AA118="X", _xludf.IFS(AD118="X", 'Round Bonuses'!$E$4, AF118="X",'Round Bonuses'!$E$6,TRUE, 'Round Bonuses'!$E$7), 0) +IF(AB118="X", 'Round Bonuses'!$E$3, 0)+IF(AC118="X",'Round Bonuses'!$E$4, 0)+IF(AD118="X", 'Round Bonuses'!$E$5, 0)+IF(AE118="X", 'Round Bonuses'!$E$6, 0)+IF(AF118="X", 'Round Bonuses'!$E$7, 0)+IF(AG118="X", 'Round Bonuses'!$E$8, 0)+_xludf.IFS(AL118="W", 'Round Bonuses'!$G$14, AL118="X", 'Round Bonuses'!$G$13, AK118="X", 'Round Bonuses'!$G$12, AJ118="X", 'Round Bonuses'!$G$11, AI118="X", 'Round Bonuses'!$G$10, AH118="X", 'Round Bonuses'!$G$9, TRUE, 0))+_xludf.IFS(N118="W", 'Round Bonuses'!$C$13, N118="X", 'Round Bonuses'!$C$12, M118="X", 'Round Bonuses'!$C$11, L118="X", 'Round Bonuses'!$C$10, K118="X", 'Round Bonuses'!$C$9, J118="X", 'Round Bonuses'!$C$8, I118="X", 'Round Bonuses'!$C$7, H118="X", 'Round Bonuses'!$C$6, G118="X", 'Round Bonuses'!$C$5, F118="X", 'Round Bonuses'!$C$4, E118="X", 'Round Bonuses'!$C$3, D118="X", 'Round Bonuses'!$C$3, TRUE, 0)</f>
        <v>#NAME?</v>
      </c>
      <c r="BA118" s="2">
        <f t="shared" ca="1" si="1"/>
        <v>19.96875</v>
      </c>
      <c r="BB118" s="10" t="e">
        <f t="shared" ca="1" si="2"/>
        <v>#NAME?</v>
      </c>
      <c r="BD118" s="11" t="str">
        <f t="shared" ca="1" si="3"/>
        <v>Leicester City</v>
      </c>
      <c r="BE118" s="2" t="str">
        <f t="shared" ca="1" si="4"/>
        <v>England</v>
      </c>
      <c r="BF118" s="2" t="e">
        <f t="shared" ca="1" si="5"/>
        <v>#NAME?</v>
      </c>
      <c r="BG118" s="2">
        <f t="shared" ca="1" si="6"/>
        <v>8</v>
      </c>
      <c r="BH118" s="2" t="s">
        <v>172</v>
      </c>
      <c r="BI118" s="2" t="s">
        <v>173</v>
      </c>
      <c r="BJ118" s="7">
        <v>2.8725000000000001</v>
      </c>
      <c r="BK118" s="2">
        <v>3</v>
      </c>
      <c r="BL118" s="2">
        <f t="shared" si="10"/>
        <v>116</v>
      </c>
      <c r="BM118" s="2" t="str">
        <f t="shared" si="7"/>
        <v>Sheriff Tiraspol</v>
      </c>
      <c r="BN118" s="7">
        <f t="shared" ref="BN118:BO118" si="125">BJ118</f>
        <v>2.8725000000000001</v>
      </c>
      <c r="BO118" s="2">
        <f t="shared" si="125"/>
        <v>3</v>
      </c>
      <c r="BS118" s="2" t="str">
        <f t="shared" si="9"/>
        <v>Moldova</v>
      </c>
    </row>
    <row r="119" spans="1:71" ht="13.8" x14ac:dyDescent="0.45">
      <c r="A119" s="2" t="str">
        <f ca="1">IFERROR(__xludf.DUMMYFUNCTION("""COMPUTED_VALUE"""),"Lille")</f>
        <v>Lille</v>
      </c>
      <c r="B119" s="2">
        <f ca="1">IFERROR(__xludf.DUMMYFUNCTION("""COMPUTED_VALUE"""),0.919999999999999)</f>
        <v>0.91999999999999904</v>
      </c>
      <c r="C119" s="2" t="str">
        <f ca="1">IFERROR(__xludf.DUMMYFUNCTION("""COMPUTED_VALUE"""),"France")</f>
        <v>France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5">
        <f ca="1">IFERROR(__xludf.DUMMYFUNCTION("""COMPUTED_VALUE"""),0)</f>
        <v>0</v>
      </c>
      <c r="P119" s="2">
        <f ca="1">IFERROR(__xludf.DUMMYFUNCTION("""COMPUTED_VALUE"""),0)</f>
        <v>0</v>
      </c>
      <c r="Q119" s="2">
        <f ca="1">IFERROR(__xludf.DUMMYFUNCTION("""COMPUTED_VALUE"""),0)</f>
        <v>0</v>
      </c>
      <c r="R119" s="2">
        <f ca="1">IFERROR(__xludf.DUMMYFUNCTION("""COMPUTED_VALUE"""),0)</f>
        <v>0</v>
      </c>
      <c r="S119" s="2">
        <f ca="1">IFERROR(__xludf.DUMMYFUNCTION("""COMPUTED_VALUE"""),0)</f>
        <v>0</v>
      </c>
      <c r="T119" s="2">
        <f ca="1">IFERROR(__xludf.DUMMYFUNCTION("""COMPUTED_VALUE"""),0)</f>
        <v>0</v>
      </c>
      <c r="U119" s="2">
        <f ca="1">IFERROR(__xludf.DUMMYFUNCTION("""COMPUTED_VALUE"""),0)</f>
        <v>0</v>
      </c>
      <c r="V119" s="2">
        <f ca="1">IFERROR(__xludf.DUMMYFUNCTION("""COMPUTED_VALUE"""),0)</f>
        <v>0</v>
      </c>
      <c r="W119" s="2">
        <f ca="1">IFERROR(__xludf.DUMMYFUNCTION("""COMPUTED_VALUE"""),0)</f>
        <v>0</v>
      </c>
      <c r="X119" s="2">
        <f ca="1">IFERROR(__xludf.DUMMYFUNCTION("""COMPUTED_VALUE"""),0)</f>
        <v>0</v>
      </c>
      <c r="Y119" s="2">
        <f ca="1">IFERROR(__xludf.DUMMYFUNCTION("""COMPUTED_VALUE"""),0)</f>
        <v>0</v>
      </c>
      <c r="AB119" s="2"/>
      <c r="AC119" s="2"/>
      <c r="AD119" s="2"/>
      <c r="AE119" s="2"/>
      <c r="AF119" s="2"/>
      <c r="AG119" s="2" t="str">
        <f ca="1">IFERROR(__xludf.DUMMYFUNCTION("""COMPUTED_VALUE"""),"X")</f>
        <v>X</v>
      </c>
      <c r="AH119" s="2" t="str">
        <f ca="1">IFERROR(__xludf.DUMMYFUNCTION("""COMPUTED_VALUE"""),"X")</f>
        <v>X</v>
      </c>
      <c r="AI119" s="2"/>
      <c r="AJ119" s="2"/>
      <c r="AK119" s="2"/>
      <c r="AL119" s="2"/>
      <c r="AM119" s="2">
        <f ca="1">IFERROR(__xludf.DUMMYFUNCTION("""COMPUTED_VALUE"""),0)</f>
        <v>0</v>
      </c>
      <c r="AN119" s="2">
        <f ca="1">IFERROR(__xludf.DUMMYFUNCTION("""COMPUTED_VALUE"""),0)</f>
        <v>0</v>
      </c>
      <c r="AO119" s="2">
        <f ca="1">IFERROR(__xludf.DUMMYFUNCTION("""COMPUTED_VALUE"""),0)</f>
        <v>0</v>
      </c>
      <c r="AP119" s="2">
        <f ca="1">IFERROR(__xludf.DUMMYFUNCTION("""COMPUTED_VALUE"""),0)</f>
        <v>0</v>
      </c>
      <c r="AQ119" s="2">
        <f ca="1">IFERROR(__xludf.DUMMYFUNCTION("""COMPUTED_VALUE"""),0)</f>
        <v>0</v>
      </c>
      <c r="AR119" s="2">
        <f ca="1">IFERROR(__xludf.DUMMYFUNCTION("""COMPUTED_VALUE"""),15.28)</f>
        <v>15.28</v>
      </c>
      <c r="AS119" s="2">
        <f ca="1">IFERROR(__xludf.DUMMYFUNCTION("""COMPUTED_VALUE"""),1.53)</f>
        <v>1.53</v>
      </c>
      <c r="AT119" s="2">
        <f ca="1">IFERROR(__xludf.DUMMYFUNCTION("""COMPUTED_VALUE"""),0)</f>
        <v>0</v>
      </c>
      <c r="AU119" s="2">
        <f ca="1">IFERROR(__xludf.DUMMYFUNCTION("""COMPUTED_VALUE"""),0)</f>
        <v>0</v>
      </c>
      <c r="AV119" s="2">
        <f ca="1">IFERROR(__xludf.DUMMYFUNCTION("""COMPUTED_VALUE"""),0)</f>
        <v>0</v>
      </c>
      <c r="AW119" s="2">
        <f ca="1">IFERROR(__xludf.DUMMYFUNCTION("""COMPUTED_VALUE"""),0)</f>
        <v>0</v>
      </c>
      <c r="AY119" s="2">
        <f t="shared" ca="1" si="0"/>
        <v>8</v>
      </c>
      <c r="AZ119" s="2" t="e">
        <f ca="1">IF(NOT(COUNTA(D119:J119)), _xludf.IFS(AL119="W", 'Round Bonuses'!$F$14, AL119="X", 'Round Bonuses'!$F$13, AK119="X", 'Round Bonuses'!$F$12, AJ119="X", 'Round Bonuses'!$F$11, AI119="X", 'Round Bonuses'!$F$10, AH119="X", 'Round Bonuses'!$F$9, AG119="X", 'Round Bonuses'!$F$8, AF119="X", 'Round Bonuses'!$F$7, AE119="X", 'Round Bonuses'!$F$6, AD119="X", 'Round Bonuses'!$F$5, AC119="X", 'Round Bonuses'!$F$4, AB119="X", 'Round Bonuses'!$F$3, TRUE, 0), IF(AA119="X", _xludf.IFS(AD119="X", 'Round Bonuses'!$E$4, AF119="X",'Round Bonuses'!$E$6,TRUE, 'Round Bonuses'!$E$7), 0) +IF(AB119="X", 'Round Bonuses'!$E$3, 0)+IF(AC119="X",'Round Bonuses'!$E$4, 0)+IF(AD119="X", 'Round Bonuses'!$E$5, 0)+IF(AE119="X", 'Round Bonuses'!$E$6, 0)+IF(AF119="X", 'Round Bonuses'!$E$7, 0)+IF(AG119="X", 'Round Bonuses'!$E$8, 0)+_xludf.IFS(AL119="W", 'Round Bonuses'!$G$14, AL119="X", 'Round Bonuses'!$G$13, AK119="X", 'Round Bonuses'!$G$12, AJ119="X", 'Round Bonuses'!$G$11, AI119="X", 'Round Bonuses'!$G$10, AH119="X", 'Round Bonuses'!$G$9, TRUE, 0))+_xludf.IFS(N119="W", 'Round Bonuses'!$C$13, N119="X", 'Round Bonuses'!$C$12, M119="X", 'Round Bonuses'!$C$11, L119="X", 'Round Bonuses'!$C$10, K119="X", 'Round Bonuses'!$C$9, J119="X", 'Round Bonuses'!$C$8, I119="X", 'Round Bonuses'!$C$7, H119="X", 'Round Bonuses'!$C$6, G119="X", 'Round Bonuses'!$C$5, F119="X", 'Round Bonuses'!$C$4, E119="X", 'Round Bonuses'!$C$3, D119="X", 'Round Bonuses'!$C$3, TRUE, 0)</f>
        <v>#NAME?</v>
      </c>
      <c r="BA119" s="2">
        <f t="shared" ca="1" si="1"/>
        <v>16.809999999999999</v>
      </c>
      <c r="BB119" s="10" t="e">
        <f t="shared" ca="1" si="2"/>
        <v>#NAME?</v>
      </c>
      <c r="BD119" s="11" t="str">
        <f t="shared" ca="1" si="3"/>
        <v>Lille</v>
      </c>
      <c r="BE119" s="2" t="str">
        <f t="shared" ca="1" si="4"/>
        <v>France</v>
      </c>
      <c r="BF119" s="2" t="e">
        <f t="shared" ca="1" si="5"/>
        <v>#NAME?</v>
      </c>
      <c r="BG119" s="2">
        <f t="shared" ca="1" si="6"/>
        <v>8</v>
      </c>
      <c r="BH119" s="2" t="s">
        <v>174</v>
      </c>
      <c r="BI119" s="2" t="s">
        <v>175</v>
      </c>
      <c r="BJ119" s="7">
        <v>2.71</v>
      </c>
      <c r="BK119" s="2">
        <v>3</v>
      </c>
      <c r="BL119" s="2">
        <f t="shared" si="10"/>
        <v>117</v>
      </c>
      <c r="BM119" s="2" t="str">
        <f t="shared" si="7"/>
        <v>Budućnost Podgorica</v>
      </c>
      <c r="BN119" s="7">
        <f t="shared" ref="BN119:BO119" si="126">BJ119</f>
        <v>2.71</v>
      </c>
      <c r="BO119" s="2">
        <f t="shared" si="126"/>
        <v>3</v>
      </c>
      <c r="BS119" s="2" t="str">
        <f t="shared" si="9"/>
        <v>Montenegro</v>
      </c>
    </row>
    <row r="120" spans="1:71" ht="13.8" x14ac:dyDescent="0.45">
      <c r="A120" s="2" t="str">
        <f ca="1">IFERROR(__xludf.DUMMYFUNCTION("""COMPUTED_VALUE"""),"Lincoln Red Imps")</f>
        <v>Lincoln Red Imps</v>
      </c>
      <c r="B120" s="2">
        <f ca="1">IFERROR(__xludf.DUMMYFUNCTION("""COMPUTED_VALUE"""),0.47)</f>
        <v>0.47</v>
      </c>
      <c r="C120" s="2" t="str">
        <f ca="1">IFERROR(__xludf.DUMMYFUNCTION("""COMPUTED_VALUE"""),"Gibraltar")</f>
        <v>Gibraltar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5">
        <f ca="1">IFERROR(__xludf.DUMMYFUNCTION("""COMPUTED_VALUE"""),0)</f>
        <v>0</v>
      </c>
      <c r="P120" s="2">
        <f ca="1">IFERROR(__xludf.DUMMYFUNCTION("""COMPUTED_VALUE"""),0)</f>
        <v>0</v>
      </c>
      <c r="Q120" s="2">
        <f ca="1">IFERROR(__xludf.DUMMYFUNCTION("""COMPUTED_VALUE"""),0)</f>
        <v>0</v>
      </c>
      <c r="R120" s="2">
        <f ca="1">IFERROR(__xludf.DUMMYFUNCTION("""COMPUTED_VALUE"""),0)</f>
        <v>0</v>
      </c>
      <c r="S120" s="2">
        <f ca="1">IFERROR(__xludf.DUMMYFUNCTION("""COMPUTED_VALUE"""),0)</f>
        <v>0</v>
      </c>
      <c r="T120" s="2">
        <f ca="1">IFERROR(__xludf.DUMMYFUNCTION("""COMPUTED_VALUE"""),0)</f>
        <v>0</v>
      </c>
      <c r="U120" s="2">
        <f ca="1">IFERROR(__xludf.DUMMYFUNCTION("""COMPUTED_VALUE"""),0)</f>
        <v>0</v>
      </c>
      <c r="V120" s="2">
        <f ca="1">IFERROR(__xludf.DUMMYFUNCTION("""COMPUTED_VALUE"""),0)</f>
        <v>0</v>
      </c>
      <c r="W120" s="2">
        <f ca="1">IFERROR(__xludf.DUMMYFUNCTION("""COMPUTED_VALUE"""),0)</f>
        <v>0</v>
      </c>
      <c r="X120" s="2">
        <f ca="1">IFERROR(__xludf.DUMMYFUNCTION("""COMPUTED_VALUE"""),0)</f>
        <v>0</v>
      </c>
      <c r="Y120" s="2">
        <f ca="1">IFERROR(__xludf.DUMMYFUNCTION("""COMPUTED_VALUE"""),0)</f>
        <v>0</v>
      </c>
      <c r="AB120" s="2" t="str">
        <f ca="1">IFERROR(__xludf.DUMMYFUNCTION("""COMPUTED_VALUE"""),"X")</f>
        <v>X</v>
      </c>
      <c r="AC120" s="2" t="str">
        <f ca="1">IFERROR(__xludf.DUMMYFUNCTION("""COMPUTED_VALUE"""),"X")</f>
        <v>X</v>
      </c>
      <c r="AD120" s="2" t="str">
        <f ca="1">IFERROR(__xludf.DUMMYFUNCTION("""COMPUTED_VALUE"""),"X")</f>
        <v>X</v>
      </c>
      <c r="AE120" s="2"/>
      <c r="AF120" s="2"/>
      <c r="AG120" s="2"/>
      <c r="AH120" s="2"/>
      <c r="AI120" s="2"/>
      <c r="AJ120" s="2"/>
      <c r="AK120" s="2"/>
      <c r="AL120" s="2"/>
      <c r="AM120" s="2">
        <f ca="1">IFERROR(__xludf.DUMMYFUNCTION("""COMPUTED_VALUE"""),2.01249999999999)</f>
        <v>2.01249999999999</v>
      </c>
      <c r="AN120" s="2">
        <f ca="1">IFERROR(__xludf.DUMMYFUNCTION("""COMPUTED_VALUE"""),2.295)</f>
        <v>2.2949999999999999</v>
      </c>
      <c r="AO120" s="2">
        <f ca="1">IFERROR(__xludf.DUMMYFUNCTION("""COMPUTED_VALUE"""),0.165)</f>
        <v>0.16500000000000001</v>
      </c>
      <c r="AP120" s="2">
        <f ca="1">IFERROR(__xludf.DUMMYFUNCTION("""COMPUTED_VALUE"""),0)</f>
        <v>0</v>
      </c>
      <c r="AQ120" s="2">
        <f ca="1">IFERROR(__xludf.DUMMYFUNCTION("""COMPUTED_VALUE"""),0)</f>
        <v>0</v>
      </c>
      <c r="AR120" s="2">
        <f ca="1">IFERROR(__xludf.DUMMYFUNCTION("""COMPUTED_VALUE"""),0)</f>
        <v>0</v>
      </c>
      <c r="AS120" s="2">
        <f ca="1">IFERROR(__xludf.DUMMYFUNCTION("""COMPUTED_VALUE"""),0)</f>
        <v>0</v>
      </c>
      <c r="AT120" s="2">
        <f ca="1">IFERROR(__xludf.DUMMYFUNCTION("""COMPUTED_VALUE"""),0)</f>
        <v>0</v>
      </c>
      <c r="AU120" s="2">
        <f ca="1">IFERROR(__xludf.DUMMYFUNCTION("""COMPUTED_VALUE"""),0)</f>
        <v>0</v>
      </c>
      <c r="AV120" s="2">
        <f ca="1">IFERROR(__xludf.DUMMYFUNCTION("""COMPUTED_VALUE"""),0)</f>
        <v>0</v>
      </c>
      <c r="AW120" s="2">
        <f ca="1">IFERROR(__xludf.DUMMYFUNCTION("""COMPUTED_VALUE"""),0)</f>
        <v>0</v>
      </c>
      <c r="AY120" s="2">
        <f t="shared" ca="1" si="0"/>
        <v>3</v>
      </c>
      <c r="AZ120" s="2" t="e">
        <f ca="1">IF(NOT(COUNTA(D120:J120)), _xludf.IFS(AL120="W", 'Round Bonuses'!$F$14, AL120="X", 'Round Bonuses'!$F$13, AK120="X", 'Round Bonuses'!$F$12, AJ120="X", 'Round Bonuses'!$F$11, AI120="X", 'Round Bonuses'!$F$10, AH120="X", 'Round Bonuses'!$F$9, AG120="X", 'Round Bonuses'!$F$8, AF120="X", 'Round Bonuses'!$F$7, AE120="X", 'Round Bonuses'!$F$6, AD120="X", 'Round Bonuses'!$F$5, AC120="X", 'Round Bonuses'!$F$4, AB120="X", 'Round Bonuses'!$F$3, TRUE, 0), IF(AA120="X", _xludf.IFS(AD120="X", 'Round Bonuses'!$E$4, AF120="X",'Round Bonuses'!$E$6,TRUE, 'Round Bonuses'!$E$7), 0) +IF(AB120="X", 'Round Bonuses'!$E$3, 0)+IF(AC120="X",'Round Bonuses'!$E$4, 0)+IF(AD120="X", 'Round Bonuses'!$E$5, 0)+IF(AE120="X", 'Round Bonuses'!$E$6, 0)+IF(AF120="X", 'Round Bonuses'!$E$7, 0)+IF(AG120="X", 'Round Bonuses'!$E$8, 0)+_xludf.IFS(AL120="W", 'Round Bonuses'!$G$14, AL120="X", 'Round Bonuses'!$G$13, AK120="X", 'Round Bonuses'!$G$12, AJ120="X", 'Round Bonuses'!$G$11, AI120="X", 'Round Bonuses'!$G$10, AH120="X", 'Round Bonuses'!$G$9, TRUE, 0))+_xludf.IFS(N120="W", 'Round Bonuses'!$C$13, N120="X", 'Round Bonuses'!$C$12, M120="X", 'Round Bonuses'!$C$11, L120="X", 'Round Bonuses'!$C$10, K120="X", 'Round Bonuses'!$C$9, J120="X", 'Round Bonuses'!$C$8, I120="X", 'Round Bonuses'!$C$7, H120="X", 'Round Bonuses'!$C$6, G120="X", 'Round Bonuses'!$C$5, F120="X", 'Round Bonuses'!$C$4, E120="X", 'Round Bonuses'!$C$3, D120="X", 'Round Bonuses'!$C$3, TRUE, 0)</f>
        <v>#NAME?</v>
      </c>
      <c r="BA120" s="2">
        <f t="shared" ca="1" si="1"/>
        <v>4.4724999999999904</v>
      </c>
      <c r="BB120" s="10" t="e">
        <f t="shared" ca="1" si="2"/>
        <v>#NAME?</v>
      </c>
      <c r="BD120" s="11" t="str">
        <f t="shared" ca="1" si="3"/>
        <v>Lincoln Red Imps</v>
      </c>
      <c r="BE120" s="2" t="str">
        <f t="shared" ca="1" si="4"/>
        <v>Gibraltar</v>
      </c>
      <c r="BF120" s="2" t="e">
        <f t="shared" ca="1" si="5"/>
        <v>#NAME?</v>
      </c>
      <c r="BG120" s="2">
        <f t="shared" ca="1" si="6"/>
        <v>3</v>
      </c>
      <c r="BH120" s="2" t="s">
        <v>176</v>
      </c>
      <c r="BI120" s="2" t="s">
        <v>135</v>
      </c>
      <c r="BJ120" s="7">
        <v>2.6528125</v>
      </c>
      <c r="BK120" s="2">
        <v>4</v>
      </c>
      <c r="BL120" s="2">
        <f t="shared" si="10"/>
        <v>118</v>
      </c>
      <c r="BM120" s="2" t="str">
        <f t="shared" si="7"/>
        <v>B36 Tórshavn</v>
      </c>
      <c r="BN120" s="7">
        <f t="shared" ref="BN120:BO120" si="127">BJ120</f>
        <v>2.6528125</v>
      </c>
      <c r="BO120" s="2">
        <f t="shared" si="127"/>
        <v>4</v>
      </c>
      <c r="BS120" s="2" t="str">
        <f t="shared" si="9"/>
        <v>Faroe Islands</v>
      </c>
    </row>
    <row r="121" spans="1:71" ht="13.8" x14ac:dyDescent="0.45">
      <c r="A121" s="2" t="str">
        <f ca="1">IFERROR(__xludf.DUMMYFUNCTION("""COMPUTED_VALUE"""),"Linfield")</f>
        <v>Linfield</v>
      </c>
      <c r="B121" s="2">
        <f ca="1">IFERROR(__xludf.DUMMYFUNCTION("""COMPUTED_VALUE"""),0.48)</f>
        <v>0.48</v>
      </c>
      <c r="C121" s="2" t="str">
        <f ca="1">IFERROR(__xludf.DUMMYFUNCTION("""COMPUTED_VALUE"""),"Northern Ireland")</f>
        <v>Northern Ireland</v>
      </c>
      <c r="D121" s="2" t="str">
        <f ca="1">IFERROR(__xludf.DUMMYFUNCTION("""COMPUTED_VALUE"""),"X")</f>
        <v>X</v>
      </c>
      <c r="E121" s="2" t="str">
        <f ca="1">IFERROR(__xludf.DUMMYFUNCTION("""COMPUTED_VALUE"""),"X")</f>
        <v>X</v>
      </c>
      <c r="F121" s="2" t="str">
        <f ca="1">IFERROR(__xludf.DUMMYFUNCTION("""COMPUTED_VALUE"""),"X")</f>
        <v>X</v>
      </c>
      <c r="G121" s="2"/>
      <c r="H121" s="2"/>
      <c r="I121" s="2"/>
      <c r="J121" s="2"/>
      <c r="K121" s="2"/>
      <c r="L121" s="2"/>
      <c r="M121" s="2"/>
      <c r="N121" s="2"/>
      <c r="O121" s="5">
        <f ca="1">IFERROR(__xludf.DUMMYFUNCTION("""COMPUTED_VALUE"""),1.91249999999999)</f>
        <v>1.9124999999999901</v>
      </c>
      <c r="P121" s="2">
        <f ca="1">IFERROR(__xludf.DUMMYFUNCTION("""COMPUTED_VALUE"""),1.82124999999999)</f>
        <v>1.82124999999999</v>
      </c>
      <c r="Q121" s="2">
        <f ca="1">IFERROR(__xludf.DUMMYFUNCTION("""COMPUTED_VALUE"""),0.625)</f>
        <v>0.625</v>
      </c>
      <c r="R121" s="2">
        <f ca="1">IFERROR(__xludf.DUMMYFUNCTION("""COMPUTED_VALUE"""),0)</f>
        <v>0</v>
      </c>
      <c r="S121" s="2">
        <f ca="1">IFERROR(__xludf.DUMMYFUNCTION("""COMPUTED_VALUE"""),0)</f>
        <v>0</v>
      </c>
      <c r="T121" s="2">
        <f ca="1">IFERROR(__xludf.DUMMYFUNCTION("""COMPUTED_VALUE"""),0)</f>
        <v>0</v>
      </c>
      <c r="U121" s="2">
        <f ca="1">IFERROR(__xludf.DUMMYFUNCTION("""COMPUTED_VALUE"""),0)</f>
        <v>0</v>
      </c>
      <c r="V121" s="2">
        <f ca="1">IFERROR(__xludf.DUMMYFUNCTION("""COMPUTED_VALUE"""),0)</f>
        <v>0</v>
      </c>
      <c r="W121" s="2">
        <f ca="1">IFERROR(__xludf.DUMMYFUNCTION("""COMPUTED_VALUE"""),0)</f>
        <v>0</v>
      </c>
      <c r="X121" s="2">
        <f ca="1">IFERROR(__xludf.DUMMYFUNCTION("""COMPUTED_VALUE"""),0)</f>
        <v>0</v>
      </c>
      <c r="Y121" s="2">
        <f ca="1">IFERROR(__xludf.DUMMYFUNCTION("""COMPUTED_VALUE"""),0)</f>
        <v>0</v>
      </c>
      <c r="AB121" s="2"/>
      <c r="AC121" s="2"/>
      <c r="AD121" s="2" t="str">
        <f ca="1">IFERROR(__xludf.DUMMYFUNCTION("""COMPUTED_VALUE"""),"X")</f>
        <v>X</v>
      </c>
      <c r="AE121" s="2"/>
      <c r="AF121" s="2"/>
      <c r="AG121" s="2"/>
      <c r="AH121" s="2"/>
      <c r="AI121" s="2"/>
      <c r="AJ121" s="2"/>
      <c r="AK121" s="2"/>
      <c r="AL121" s="2"/>
      <c r="AM121" s="2">
        <f ca="1">IFERROR(__xludf.DUMMYFUNCTION("""COMPUTED_VALUE"""),0)</f>
        <v>0</v>
      </c>
      <c r="AN121" s="2">
        <f ca="1">IFERROR(__xludf.DUMMYFUNCTION("""COMPUTED_VALUE"""),0)</f>
        <v>0</v>
      </c>
      <c r="AO121" s="2">
        <f ca="1">IFERROR(__xludf.DUMMYFUNCTION("""COMPUTED_VALUE"""),0.425)</f>
        <v>0.42499999999999999</v>
      </c>
      <c r="AP121" s="2">
        <f ca="1">IFERROR(__xludf.DUMMYFUNCTION("""COMPUTED_VALUE"""),0)</f>
        <v>0</v>
      </c>
      <c r="AQ121" s="2">
        <f ca="1">IFERROR(__xludf.DUMMYFUNCTION("""COMPUTED_VALUE"""),0)</f>
        <v>0</v>
      </c>
      <c r="AR121" s="2">
        <f ca="1">IFERROR(__xludf.DUMMYFUNCTION("""COMPUTED_VALUE"""),0)</f>
        <v>0</v>
      </c>
      <c r="AS121" s="2">
        <f ca="1">IFERROR(__xludf.DUMMYFUNCTION("""COMPUTED_VALUE"""),0)</f>
        <v>0</v>
      </c>
      <c r="AT121" s="2">
        <f ca="1">IFERROR(__xludf.DUMMYFUNCTION("""COMPUTED_VALUE"""),0)</f>
        <v>0</v>
      </c>
      <c r="AU121" s="2">
        <f ca="1">IFERROR(__xludf.DUMMYFUNCTION("""COMPUTED_VALUE"""),0)</f>
        <v>0</v>
      </c>
      <c r="AV121" s="2">
        <f ca="1">IFERROR(__xludf.DUMMYFUNCTION("""COMPUTED_VALUE"""),0)</f>
        <v>0</v>
      </c>
      <c r="AW121" s="2">
        <f ca="1">IFERROR(__xludf.DUMMYFUNCTION("""COMPUTED_VALUE"""),0)</f>
        <v>0</v>
      </c>
      <c r="AY121" s="2">
        <f t="shared" ca="1" si="0"/>
        <v>4</v>
      </c>
      <c r="AZ121" s="2" t="e">
        <f ca="1">IF(NOT(COUNTA(D121:J121)), _xludf.IFS(AL121="W", 'Round Bonuses'!$F$14, AL121="X", 'Round Bonuses'!$F$13, AK121="X", 'Round Bonuses'!$F$12, AJ121="X", 'Round Bonuses'!$F$11, AI121="X", 'Round Bonuses'!$F$10, AH121="X", 'Round Bonuses'!$F$9, AG121="X", 'Round Bonuses'!$F$8, AF121="X", 'Round Bonuses'!$F$7, AE121="X", 'Round Bonuses'!$F$6, AD121="X", 'Round Bonuses'!$F$5, AC121="X", 'Round Bonuses'!$F$4, AB121="X", 'Round Bonuses'!$F$3, TRUE, 0), IF(AA121="X", _xludf.IFS(AD121="X", 'Round Bonuses'!$E$4, AF121="X",'Round Bonuses'!$E$6,TRUE, 'Round Bonuses'!$E$7), 0) +IF(AB121="X", 'Round Bonuses'!$E$3, 0)+IF(AC121="X",'Round Bonuses'!$E$4, 0)+IF(AD121="X", 'Round Bonuses'!$E$5, 0)+IF(AE121="X", 'Round Bonuses'!$E$6, 0)+IF(AF121="X", 'Round Bonuses'!$E$7, 0)+IF(AG121="X", 'Round Bonuses'!$E$8, 0)+_xludf.IFS(AL121="W", 'Round Bonuses'!$G$14, AL121="X", 'Round Bonuses'!$G$13, AK121="X", 'Round Bonuses'!$G$12, AJ121="X", 'Round Bonuses'!$G$11, AI121="X", 'Round Bonuses'!$G$10, AH121="X", 'Round Bonuses'!$G$9, TRUE, 0))+_xludf.IFS(N121="W", 'Round Bonuses'!$C$13, N121="X", 'Round Bonuses'!$C$12, M121="X", 'Round Bonuses'!$C$11, L121="X", 'Round Bonuses'!$C$10, K121="X", 'Round Bonuses'!$C$9, J121="X", 'Round Bonuses'!$C$8, I121="X", 'Round Bonuses'!$C$7, H121="X", 'Round Bonuses'!$C$6, G121="X", 'Round Bonuses'!$C$5, F121="X", 'Round Bonuses'!$C$4, E121="X", 'Round Bonuses'!$C$3, D121="X", 'Round Bonuses'!$C$3, TRUE, 0)</f>
        <v>#NAME?</v>
      </c>
      <c r="BA121" s="2">
        <f t="shared" ca="1" si="1"/>
        <v>4.78374999999998</v>
      </c>
      <c r="BB121" s="10" t="e">
        <f t="shared" ca="1" si="2"/>
        <v>#NAME?</v>
      </c>
      <c r="BD121" s="11" t="str">
        <f t="shared" ca="1" si="3"/>
        <v>Linfield</v>
      </c>
      <c r="BE121" s="2" t="str">
        <f t="shared" ca="1" si="4"/>
        <v>Northern Ireland</v>
      </c>
      <c r="BF121" s="2" t="e">
        <f t="shared" ca="1" si="5"/>
        <v>#NAME?</v>
      </c>
      <c r="BG121" s="2">
        <f t="shared" ca="1" si="6"/>
        <v>4</v>
      </c>
      <c r="BH121" s="2" t="s">
        <v>177</v>
      </c>
      <c r="BI121" s="2" t="s">
        <v>52</v>
      </c>
      <c r="BJ121" s="7">
        <v>2.649375</v>
      </c>
      <c r="BK121" s="2">
        <v>2</v>
      </c>
      <c r="BL121" s="2">
        <f t="shared" si="10"/>
        <v>119</v>
      </c>
      <c r="BM121" s="2" t="str">
        <f t="shared" si="7"/>
        <v>Hajduk Split</v>
      </c>
      <c r="BN121" s="7">
        <f t="shared" ref="BN121:BO121" si="128">BJ121</f>
        <v>2.649375</v>
      </c>
      <c r="BO121" s="2">
        <f t="shared" si="128"/>
        <v>2</v>
      </c>
      <c r="BS121" s="2" t="str">
        <f t="shared" si="9"/>
        <v>Croatia</v>
      </c>
    </row>
    <row r="122" spans="1:71" ht="13.8" x14ac:dyDescent="0.45">
      <c r="A122" s="2" t="str">
        <f ca="1">IFERROR(__xludf.DUMMYFUNCTION("""COMPUTED_VALUE"""),"Liverpool")</f>
        <v>Liverpool</v>
      </c>
      <c r="B122" s="2">
        <f ca="1">IFERROR(__xludf.DUMMYFUNCTION("""COMPUTED_VALUE"""),0.98)</f>
        <v>0.98</v>
      </c>
      <c r="C122" s="2" t="str">
        <f ca="1">IFERROR(__xludf.DUMMYFUNCTION("""COMPUTED_VALUE"""),"England")</f>
        <v>England</v>
      </c>
      <c r="D122" s="2"/>
      <c r="E122" s="2"/>
      <c r="F122" s="2"/>
      <c r="G122" s="2"/>
      <c r="H122" s="2"/>
      <c r="I122" s="2"/>
      <c r="J122" s="2" t="str">
        <f ca="1">IFERROR(__xludf.DUMMYFUNCTION("""COMPUTED_VALUE"""),"X")</f>
        <v>X</v>
      </c>
      <c r="K122" s="2" t="str">
        <f ca="1">IFERROR(__xludf.DUMMYFUNCTION("""COMPUTED_VALUE"""),"X")</f>
        <v>X</v>
      </c>
      <c r="L122" s="2" t="str">
        <f ca="1">IFERROR(__xludf.DUMMYFUNCTION("""COMPUTED_VALUE"""),"X")</f>
        <v>X</v>
      </c>
      <c r="M122" s="2"/>
      <c r="N122" s="2"/>
      <c r="O122" s="5">
        <f ca="1">IFERROR(__xludf.DUMMYFUNCTION("""COMPUTED_VALUE"""),0)</f>
        <v>0</v>
      </c>
      <c r="P122" s="2">
        <f ca="1">IFERROR(__xludf.DUMMYFUNCTION("""COMPUTED_VALUE"""),0)</f>
        <v>0</v>
      </c>
      <c r="Q122" s="2">
        <f ca="1">IFERROR(__xludf.DUMMYFUNCTION("""COMPUTED_VALUE"""),0)</f>
        <v>0</v>
      </c>
      <c r="R122" s="2">
        <f ca="1">IFERROR(__xludf.DUMMYFUNCTION("""COMPUTED_VALUE"""),0)</f>
        <v>0</v>
      </c>
      <c r="S122" s="2">
        <f ca="1">IFERROR(__xludf.DUMMYFUNCTION("""COMPUTED_VALUE"""),0)</f>
        <v>0</v>
      </c>
      <c r="T122" s="2">
        <f ca="1">IFERROR(__xludf.DUMMYFUNCTION("""COMPUTED_VALUE"""),0)</f>
        <v>0</v>
      </c>
      <c r="U122" s="2">
        <f ca="1">IFERROR(__xludf.DUMMYFUNCTION("""COMPUTED_VALUE"""),17.68625)</f>
        <v>17.686250000000001</v>
      </c>
      <c r="V122" s="2">
        <f ca="1">IFERROR(__xludf.DUMMYFUNCTION("""COMPUTED_VALUE"""),7.98999999999999)</f>
        <v>7.9899999999999904</v>
      </c>
      <c r="W122" s="2">
        <f ca="1">IFERROR(__xludf.DUMMYFUNCTION("""COMPUTED_VALUE"""),2.71999999999999)</f>
        <v>2.71999999999999</v>
      </c>
      <c r="X122" s="2">
        <f ca="1">IFERROR(__xludf.DUMMYFUNCTION("""COMPUTED_VALUE"""),0)</f>
        <v>0</v>
      </c>
      <c r="Y122" s="2">
        <f ca="1">IFERROR(__xludf.DUMMYFUNCTION("""COMPUTED_VALUE"""),0)</f>
        <v>0</v>
      </c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>
        <f ca="1">IFERROR(__xludf.DUMMYFUNCTION("""COMPUTED_VALUE"""),0)</f>
        <v>0</v>
      </c>
      <c r="AN122" s="2">
        <f ca="1">IFERROR(__xludf.DUMMYFUNCTION("""COMPUTED_VALUE"""),0)</f>
        <v>0</v>
      </c>
      <c r="AO122" s="2">
        <f ca="1">IFERROR(__xludf.DUMMYFUNCTION("""COMPUTED_VALUE"""),0)</f>
        <v>0</v>
      </c>
      <c r="AP122" s="2">
        <f ca="1">IFERROR(__xludf.DUMMYFUNCTION("""COMPUTED_VALUE"""),0)</f>
        <v>0</v>
      </c>
      <c r="AQ122" s="2">
        <f ca="1">IFERROR(__xludf.DUMMYFUNCTION("""COMPUTED_VALUE"""),0)</f>
        <v>0</v>
      </c>
      <c r="AR122" s="2">
        <f ca="1">IFERROR(__xludf.DUMMYFUNCTION("""COMPUTED_VALUE"""),0)</f>
        <v>0</v>
      </c>
      <c r="AS122" s="2">
        <f ca="1">IFERROR(__xludf.DUMMYFUNCTION("""COMPUTED_VALUE"""),0)</f>
        <v>0</v>
      </c>
      <c r="AT122" s="2">
        <f ca="1">IFERROR(__xludf.DUMMYFUNCTION("""COMPUTED_VALUE"""),0)</f>
        <v>0</v>
      </c>
      <c r="AU122" s="2">
        <f ca="1">IFERROR(__xludf.DUMMYFUNCTION("""COMPUTED_VALUE"""),0)</f>
        <v>0</v>
      </c>
      <c r="AV122" s="2">
        <f ca="1">IFERROR(__xludf.DUMMYFUNCTION("""COMPUTED_VALUE"""),0)</f>
        <v>0</v>
      </c>
      <c r="AW122" s="2">
        <f ca="1">IFERROR(__xludf.DUMMYFUNCTION("""COMPUTED_VALUE"""),0)</f>
        <v>0</v>
      </c>
      <c r="AY122" s="2">
        <f t="shared" ca="1" si="0"/>
        <v>10</v>
      </c>
      <c r="AZ122" s="2" t="e">
        <f ca="1">IF(NOT(COUNTA(D122:J122)), _xludf.IFS(AL122="W", 'Round Bonuses'!$F$14, AL122="X", 'Round Bonuses'!$F$13, AK122="X", 'Round Bonuses'!$F$12, AJ122="X", 'Round Bonuses'!$F$11, AI122="X", 'Round Bonuses'!$F$10, AH122="X", 'Round Bonuses'!$F$9, AG122="X", 'Round Bonuses'!$F$8, AF122="X", 'Round Bonuses'!$F$7, AE122="X", 'Round Bonuses'!$F$6, AD122="X", 'Round Bonuses'!$F$5, AC122="X", 'Round Bonuses'!$F$4, AB122="X", 'Round Bonuses'!$F$3, TRUE, 0), IF(AA122="X", _xludf.IFS(AD122="X", 'Round Bonuses'!$E$4, AF122="X",'Round Bonuses'!$E$6,TRUE, 'Round Bonuses'!$E$7), 0) +IF(AB122="X", 'Round Bonuses'!$E$3, 0)+IF(AC122="X",'Round Bonuses'!$E$4, 0)+IF(AD122="X", 'Round Bonuses'!$E$5, 0)+IF(AE122="X", 'Round Bonuses'!$E$6, 0)+IF(AF122="X", 'Round Bonuses'!$E$7, 0)+IF(AG122="X", 'Round Bonuses'!$E$8, 0)+_xludf.IFS(AL122="W", 'Round Bonuses'!$G$14, AL122="X", 'Round Bonuses'!$G$13, AK122="X", 'Round Bonuses'!$G$12, AJ122="X", 'Round Bonuses'!$G$11, AI122="X", 'Round Bonuses'!$G$10, AH122="X", 'Round Bonuses'!$G$9, TRUE, 0))+_xludf.IFS(N122="W", 'Round Bonuses'!$C$13, N122="X", 'Round Bonuses'!$C$12, M122="X", 'Round Bonuses'!$C$11, L122="X", 'Round Bonuses'!$C$10, K122="X", 'Round Bonuses'!$C$9, J122="X", 'Round Bonuses'!$C$8, I122="X", 'Round Bonuses'!$C$7, H122="X", 'Round Bonuses'!$C$6, G122="X", 'Round Bonuses'!$C$5, F122="X", 'Round Bonuses'!$C$4, E122="X", 'Round Bonuses'!$C$3, D122="X", 'Round Bonuses'!$C$3, TRUE, 0)</f>
        <v>#NAME?</v>
      </c>
      <c r="BA122" s="2">
        <f t="shared" ca="1" si="1"/>
        <v>28.396249999999981</v>
      </c>
      <c r="BB122" s="10" t="e">
        <f t="shared" ca="1" si="2"/>
        <v>#NAME?</v>
      </c>
      <c r="BD122" s="11" t="str">
        <f t="shared" ca="1" si="3"/>
        <v>Liverpool</v>
      </c>
      <c r="BE122" s="2" t="str">
        <f t="shared" ca="1" si="4"/>
        <v>England</v>
      </c>
      <c r="BF122" s="2" t="e">
        <f t="shared" ca="1" si="5"/>
        <v>#NAME?</v>
      </c>
      <c r="BG122" s="2">
        <f t="shared" ca="1" si="6"/>
        <v>10</v>
      </c>
      <c r="BH122" s="2" t="s">
        <v>178</v>
      </c>
      <c r="BI122" s="2" t="s">
        <v>179</v>
      </c>
      <c r="BJ122" s="7">
        <v>2.5216666666666665</v>
      </c>
      <c r="BK122" s="2">
        <v>3</v>
      </c>
      <c r="BL122" s="2">
        <f t="shared" si="10"/>
        <v>120</v>
      </c>
      <c r="BM122" s="2" t="str">
        <f t="shared" si="7"/>
        <v>Sūduva</v>
      </c>
      <c r="BN122" s="7">
        <f t="shared" ref="BN122:BO122" si="129">BJ122</f>
        <v>2.5216666666666665</v>
      </c>
      <c r="BO122" s="2">
        <f t="shared" si="129"/>
        <v>3</v>
      </c>
      <c r="BS122" s="2" t="str">
        <f t="shared" si="9"/>
        <v>Lithuania</v>
      </c>
    </row>
    <row r="123" spans="1:71" ht="13.8" x14ac:dyDescent="0.45">
      <c r="A123" s="2" t="str">
        <f ca="1">IFERROR(__xludf.DUMMYFUNCTION("""COMPUTED_VALUE"""),"Locomotive Tbilisi")</f>
        <v>Locomotive Tbilisi</v>
      </c>
      <c r="B123" s="2">
        <f ca="1">IFERROR(__xludf.DUMMYFUNCTION("""COMPUTED_VALUE"""),0.5)</f>
        <v>0.5</v>
      </c>
      <c r="C123" s="2" t="str">
        <f ca="1">IFERROR(__xludf.DUMMYFUNCTION("""COMPUTED_VALUE"""),"Georgia")</f>
        <v>Georgia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5">
        <f ca="1">IFERROR(__xludf.DUMMYFUNCTION("""COMPUTED_VALUE"""),0)</f>
        <v>0</v>
      </c>
      <c r="P123" s="2">
        <f ca="1">IFERROR(__xludf.DUMMYFUNCTION("""COMPUTED_VALUE"""),0)</f>
        <v>0</v>
      </c>
      <c r="Q123" s="2">
        <f ca="1">IFERROR(__xludf.DUMMYFUNCTION("""COMPUTED_VALUE"""),0)</f>
        <v>0</v>
      </c>
      <c r="R123" s="2">
        <f ca="1">IFERROR(__xludf.DUMMYFUNCTION("""COMPUTED_VALUE"""),0)</f>
        <v>0</v>
      </c>
      <c r="S123" s="2">
        <f ca="1">IFERROR(__xludf.DUMMYFUNCTION("""COMPUTED_VALUE"""),0)</f>
        <v>0</v>
      </c>
      <c r="T123" s="2">
        <f ca="1">IFERROR(__xludf.DUMMYFUNCTION("""COMPUTED_VALUE"""),0)</f>
        <v>0</v>
      </c>
      <c r="U123" s="2">
        <f ca="1">IFERROR(__xludf.DUMMYFUNCTION("""COMPUTED_VALUE"""),0)</f>
        <v>0</v>
      </c>
      <c r="V123" s="2">
        <f ca="1">IFERROR(__xludf.DUMMYFUNCTION("""COMPUTED_VALUE"""),0)</f>
        <v>0</v>
      </c>
      <c r="W123" s="2">
        <f ca="1">IFERROR(__xludf.DUMMYFUNCTION("""COMPUTED_VALUE"""),0)</f>
        <v>0</v>
      </c>
      <c r="X123" s="2">
        <f ca="1">IFERROR(__xludf.DUMMYFUNCTION("""COMPUTED_VALUE"""),0)</f>
        <v>0</v>
      </c>
      <c r="Y123" s="2">
        <f ca="1">IFERROR(__xludf.DUMMYFUNCTION("""COMPUTED_VALUE"""),0)</f>
        <v>0</v>
      </c>
      <c r="AB123" s="2"/>
      <c r="AC123" s="2" t="str">
        <f ca="1">IFERROR(__xludf.DUMMYFUNCTION("""COMPUTED_VALUE"""),"X")</f>
        <v>X</v>
      </c>
      <c r="AD123" s="2" t="str">
        <f ca="1">IFERROR(__xludf.DUMMYFUNCTION("""COMPUTED_VALUE"""),"X")</f>
        <v>X</v>
      </c>
      <c r="AE123" s="2" t="str">
        <f ca="1">IFERROR(__xludf.DUMMYFUNCTION("""COMPUTED_VALUE"""),"X")</f>
        <v>X</v>
      </c>
      <c r="AF123" s="2"/>
      <c r="AG123" s="2"/>
      <c r="AH123" s="2"/>
      <c r="AI123" s="2"/>
      <c r="AJ123" s="2"/>
      <c r="AK123" s="2"/>
      <c r="AL123" s="2"/>
      <c r="AM123" s="2">
        <f ca="1">IFERROR(__xludf.DUMMYFUNCTION("""COMPUTED_VALUE"""),0)</f>
        <v>0</v>
      </c>
      <c r="AN123" s="2">
        <f ca="1">IFERROR(__xludf.DUMMYFUNCTION("""COMPUTED_VALUE"""),2.8875)</f>
        <v>2.8875000000000002</v>
      </c>
      <c r="AO123" s="2">
        <f ca="1">IFERROR(__xludf.DUMMYFUNCTION("""COMPUTED_VALUE"""),3.67124999999999)</f>
        <v>3.6712499999999899</v>
      </c>
      <c r="AP123" s="2">
        <f ca="1">IFERROR(__xludf.DUMMYFUNCTION("""COMPUTED_VALUE"""),0.679999999999999)</f>
        <v>0.67999999999999905</v>
      </c>
      <c r="AQ123" s="2">
        <f ca="1">IFERROR(__xludf.DUMMYFUNCTION("""COMPUTED_VALUE"""),0)</f>
        <v>0</v>
      </c>
      <c r="AR123" s="2">
        <f ca="1">IFERROR(__xludf.DUMMYFUNCTION("""COMPUTED_VALUE"""),0)</f>
        <v>0</v>
      </c>
      <c r="AS123" s="2">
        <f ca="1">IFERROR(__xludf.DUMMYFUNCTION("""COMPUTED_VALUE"""),0)</f>
        <v>0</v>
      </c>
      <c r="AT123" s="2">
        <f ca="1">IFERROR(__xludf.DUMMYFUNCTION("""COMPUTED_VALUE"""),0)</f>
        <v>0</v>
      </c>
      <c r="AU123" s="2">
        <f ca="1">IFERROR(__xludf.DUMMYFUNCTION("""COMPUTED_VALUE"""),0)</f>
        <v>0</v>
      </c>
      <c r="AV123" s="2">
        <f ca="1">IFERROR(__xludf.DUMMYFUNCTION("""COMPUTED_VALUE"""),0)</f>
        <v>0</v>
      </c>
      <c r="AW123" s="2">
        <f ca="1">IFERROR(__xludf.DUMMYFUNCTION("""COMPUTED_VALUE"""),0)</f>
        <v>0</v>
      </c>
      <c r="AY123" s="2">
        <f t="shared" ca="1" si="0"/>
        <v>3</v>
      </c>
      <c r="AZ123" s="2" t="e">
        <f ca="1">IF(NOT(COUNTA(D123:J123)), _xludf.IFS(AL123="W", 'Round Bonuses'!$F$14, AL123="X", 'Round Bonuses'!$F$13, AK123="X", 'Round Bonuses'!$F$12, AJ123="X", 'Round Bonuses'!$F$11, AI123="X", 'Round Bonuses'!$F$10, AH123="X", 'Round Bonuses'!$F$9, AG123="X", 'Round Bonuses'!$F$8, AF123="X", 'Round Bonuses'!$F$7, AE123="X", 'Round Bonuses'!$F$6, AD123="X", 'Round Bonuses'!$F$5, AC123="X", 'Round Bonuses'!$F$4, AB123="X", 'Round Bonuses'!$F$3, TRUE, 0), IF(AA123="X", _xludf.IFS(AD123="X", 'Round Bonuses'!$E$4, AF123="X",'Round Bonuses'!$E$6,TRUE, 'Round Bonuses'!$E$7), 0) +IF(AB123="X", 'Round Bonuses'!$E$3, 0)+IF(AC123="X",'Round Bonuses'!$E$4, 0)+IF(AD123="X", 'Round Bonuses'!$E$5, 0)+IF(AE123="X", 'Round Bonuses'!$E$6, 0)+IF(AF123="X", 'Round Bonuses'!$E$7, 0)+IF(AG123="X", 'Round Bonuses'!$E$8, 0)+_xludf.IFS(AL123="W", 'Round Bonuses'!$G$14, AL123="X", 'Round Bonuses'!$G$13, AK123="X", 'Round Bonuses'!$G$12, AJ123="X", 'Round Bonuses'!$G$11, AI123="X", 'Round Bonuses'!$G$10, AH123="X", 'Round Bonuses'!$G$9, TRUE, 0))+_xludf.IFS(N123="W", 'Round Bonuses'!$C$13, N123="X", 'Round Bonuses'!$C$12, M123="X", 'Round Bonuses'!$C$11, L123="X", 'Round Bonuses'!$C$10, K123="X", 'Round Bonuses'!$C$9, J123="X", 'Round Bonuses'!$C$8, I123="X", 'Round Bonuses'!$C$7, H123="X", 'Round Bonuses'!$C$6, G123="X", 'Round Bonuses'!$C$5, F123="X", 'Round Bonuses'!$C$4, E123="X", 'Round Bonuses'!$C$3, D123="X", 'Round Bonuses'!$C$3, TRUE, 0)</f>
        <v>#NAME?</v>
      </c>
      <c r="BA123" s="2">
        <f t="shared" ca="1" si="1"/>
        <v>7.2387499999999889</v>
      </c>
      <c r="BB123" s="10" t="e">
        <f t="shared" ca="1" si="2"/>
        <v>#NAME?</v>
      </c>
      <c r="BD123" s="11" t="str">
        <f t="shared" ca="1" si="3"/>
        <v>Locomotive Tbilisi</v>
      </c>
      <c r="BE123" s="2" t="str">
        <f t="shared" ca="1" si="4"/>
        <v>Georgia</v>
      </c>
      <c r="BF123" s="2" t="e">
        <f t="shared" ca="1" si="5"/>
        <v>#NAME?</v>
      </c>
      <c r="BG123" s="2">
        <f t="shared" ca="1" si="6"/>
        <v>3</v>
      </c>
      <c r="BH123" s="2" t="s">
        <v>180</v>
      </c>
      <c r="BI123" s="2" t="s">
        <v>181</v>
      </c>
      <c r="BJ123" s="7">
        <v>2.5162499999999999</v>
      </c>
      <c r="BK123" s="2">
        <v>4</v>
      </c>
      <c r="BL123" s="2">
        <f t="shared" si="10"/>
        <v>121</v>
      </c>
      <c r="BM123" s="2" t="str">
        <f t="shared" si="7"/>
        <v>Drita</v>
      </c>
      <c r="BN123" s="7">
        <f t="shared" ref="BN123:BO123" si="130">BJ123</f>
        <v>2.5162499999999999</v>
      </c>
      <c r="BO123" s="2">
        <f t="shared" si="130"/>
        <v>4</v>
      </c>
      <c r="BS123" s="2" t="str">
        <f t="shared" si="9"/>
        <v>Kosovo</v>
      </c>
    </row>
    <row r="124" spans="1:71" ht="13.8" x14ac:dyDescent="0.45">
      <c r="A124" s="2" t="str">
        <f ca="1">IFERROR(__xludf.DUMMYFUNCTION("""COMPUTED_VALUE"""),"Lokomotiv Moscow")</f>
        <v>Lokomotiv Moscow</v>
      </c>
      <c r="B124" s="2">
        <f ca="1">IFERROR(__xludf.DUMMYFUNCTION("""COMPUTED_VALUE"""),0.929999999999999)</f>
        <v>0.92999999999999905</v>
      </c>
      <c r="C124" s="2" t="str">
        <f ca="1">IFERROR(__xludf.DUMMYFUNCTION("""COMPUTED_VALUE"""),"Russia")</f>
        <v>Russia</v>
      </c>
      <c r="D124" s="2"/>
      <c r="E124" s="2"/>
      <c r="F124" s="2"/>
      <c r="G124" s="2"/>
      <c r="H124" s="2"/>
      <c r="I124" s="2"/>
      <c r="J124" s="2" t="str">
        <f ca="1">IFERROR(__xludf.DUMMYFUNCTION("""COMPUTED_VALUE"""),"X")</f>
        <v>X</v>
      </c>
      <c r="K124" s="2"/>
      <c r="L124" s="2"/>
      <c r="M124" s="2"/>
      <c r="N124" s="2"/>
      <c r="O124" s="5">
        <f ca="1">IFERROR(__xludf.DUMMYFUNCTION("""COMPUTED_VALUE"""),0)</f>
        <v>0</v>
      </c>
      <c r="P124" s="2">
        <f ca="1">IFERROR(__xludf.DUMMYFUNCTION("""COMPUTED_VALUE"""),0)</f>
        <v>0</v>
      </c>
      <c r="Q124" s="2">
        <f ca="1">IFERROR(__xludf.DUMMYFUNCTION("""COMPUTED_VALUE"""),0)</f>
        <v>0</v>
      </c>
      <c r="R124" s="2">
        <f ca="1">IFERROR(__xludf.DUMMYFUNCTION("""COMPUTED_VALUE"""),0)</f>
        <v>0</v>
      </c>
      <c r="S124" s="2">
        <f ca="1">IFERROR(__xludf.DUMMYFUNCTION("""COMPUTED_VALUE"""),0)</f>
        <v>0</v>
      </c>
      <c r="T124" s="2">
        <f ca="1">IFERROR(__xludf.DUMMYFUNCTION("""COMPUTED_VALUE"""),0)</f>
        <v>0</v>
      </c>
      <c r="U124" s="2">
        <f ca="1">IFERROR(__xludf.DUMMYFUNCTION("""COMPUTED_VALUE"""),7.81499999999999)</f>
        <v>7.8149999999999897</v>
      </c>
      <c r="V124" s="2">
        <f ca="1">IFERROR(__xludf.DUMMYFUNCTION("""COMPUTED_VALUE"""),0)</f>
        <v>0</v>
      </c>
      <c r="W124" s="2">
        <f ca="1">IFERROR(__xludf.DUMMYFUNCTION("""COMPUTED_VALUE"""),0)</f>
        <v>0</v>
      </c>
      <c r="X124" s="2">
        <f ca="1">IFERROR(__xludf.DUMMYFUNCTION("""COMPUTED_VALUE"""),0)</f>
        <v>0</v>
      </c>
      <c r="Y124" s="2">
        <f ca="1">IFERROR(__xludf.DUMMYFUNCTION("""COMPUTED_VALUE"""),0)</f>
        <v>0</v>
      </c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>
        <f ca="1">IFERROR(__xludf.DUMMYFUNCTION("""COMPUTED_VALUE"""),0)</f>
        <v>0</v>
      </c>
      <c r="AN124" s="2">
        <f ca="1">IFERROR(__xludf.DUMMYFUNCTION("""COMPUTED_VALUE"""),0)</f>
        <v>0</v>
      </c>
      <c r="AO124" s="2">
        <f ca="1">IFERROR(__xludf.DUMMYFUNCTION("""COMPUTED_VALUE"""),0)</f>
        <v>0</v>
      </c>
      <c r="AP124" s="2">
        <f ca="1">IFERROR(__xludf.DUMMYFUNCTION("""COMPUTED_VALUE"""),0)</f>
        <v>0</v>
      </c>
      <c r="AQ124" s="2">
        <f ca="1">IFERROR(__xludf.DUMMYFUNCTION("""COMPUTED_VALUE"""),0)</f>
        <v>0</v>
      </c>
      <c r="AR124" s="2">
        <f ca="1">IFERROR(__xludf.DUMMYFUNCTION("""COMPUTED_VALUE"""),0)</f>
        <v>0</v>
      </c>
      <c r="AS124" s="2">
        <f ca="1">IFERROR(__xludf.DUMMYFUNCTION("""COMPUTED_VALUE"""),0)</f>
        <v>0</v>
      </c>
      <c r="AT124" s="2">
        <f ca="1">IFERROR(__xludf.DUMMYFUNCTION("""COMPUTED_VALUE"""),0)</f>
        <v>0</v>
      </c>
      <c r="AU124" s="2">
        <f ca="1">IFERROR(__xludf.DUMMYFUNCTION("""COMPUTED_VALUE"""),0)</f>
        <v>0</v>
      </c>
      <c r="AV124" s="2">
        <f ca="1">IFERROR(__xludf.DUMMYFUNCTION("""COMPUTED_VALUE"""),0)</f>
        <v>0</v>
      </c>
      <c r="AW124" s="2">
        <f ca="1">IFERROR(__xludf.DUMMYFUNCTION("""COMPUTED_VALUE"""),0)</f>
        <v>0</v>
      </c>
      <c r="AY124" s="2">
        <f t="shared" ca="1" si="0"/>
        <v>6</v>
      </c>
      <c r="AZ124" s="2" t="e">
        <f ca="1">IF(NOT(COUNTA(D124:J124)), _xludf.IFS(AL124="W", 'Round Bonuses'!$F$14, AL124="X", 'Round Bonuses'!$F$13, AK124="X", 'Round Bonuses'!$F$12, AJ124="X", 'Round Bonuses'!$F$11, AI124="X", 'Round Bonuses'!$F$10, AH124="X", 'Round Bonuses'!$F$9, AG124="X", 'Round Bonuses'!$F$8, AF124="X", 'Round Bonuses'!$F$7, AE124="X", 'Round Bonuses'!$F$6, AD124="X", 'Round Bonuses'!$F$5, AC124="X", 'Round Bonuses'!$F$4, AB124="X", 'Round Bonuses'!$F$3, TRUE, 0), IF(AA124="X", _xludf.IFS(AD124="X", 'Round Bonuses'!$E$4, AF124="X",'Round Bonuses'!$E$6,TRUE, 'Round Bonuses'!$E$7), 0) +IF(AB124="X", 'Round Bonuses'!$E$3, 0)+IF(AC124="X",'Round Bonuses'!$E$4, 0)+IF(AD124="X", 'Round Bonuses'!$E$5, 0)+IF(AE124="X", 'Round Bonuses'!$E$6, 0)+IF(AF124="X", 'Round Bonuses'!$E$7, 0)+IF(AG124="X", 'Round Bonuses'!$E$8, 0)+_xludf.IFS(AL124="W", 'Round Bonuses'!$G$14, AL124="X", 'Round Bonuses'!$G$13, AK124="X", 'Round Bonuses'!$G$12, AJ124="X", 'Round Bonuses'!$G$11, AI124="X", 'Round Bonuses'!$G$10, AH124="X", 'Round Bonuses'!$G$9, TRUE, 0))+_xludf.IFS(N124="W", 'Round Bonuses'!$C$13, N124="X", 'Round Bonuses'!$C$12, M124="X", 'Round Bonuses'!$C$11, L124="X", 'Round Bonuses'!$C$10, K124="X", 'Round Bonuses'!$C$9, J124="X", 'Round Bonuses'!$C$8, I124="X", 'Round Bonuses'!$C$7, H124="X", 'Round Bonuses'!$C$6, G124="X", 'Round Bonuses'!$C$5, F124="X", 'Round Bonuses'!$C$4, E124="X", 'Round Bonuses'!$C$3, D124="X", 'Round Bonuses'!$C$3, TRUE, 0)</f>
        <v>#NAME?</v>
      </c>
      <c r="BA124" s="2">
        <f t="shared" ca="1" si="1"/>
        <v>7.8149999999999897</v>
      </c>
      <c r="BB124" s="10" t="e">
        <f t="shared" ca="1" si="2"/>
        <v>#NAME?</v>
      </c>
      <c r="BD124" s="11" t="str">
        <f t="shared" ca="1" si="3"/>
        <v>Lokomotiv Moscow</v>
      </c>
      <c r="BE124" s="2" t="str">
        <f t="shared" ca="1" si="4"/>
        <v>Russia</v>
      </c>
      <c r="BF124" s="2" t="e">
        <f t="shared" ca="1" si="5"/>
        <v>#NAME?</v>
      </c>
      <c r="BG124" s="2">
        <f t="shared" ca="1" si="6"/>
        <v>6</v>
      </c>
      <c r="BH124" s="2" t="s">
        <v>182</v>
      </c>
      <c r="BI124" s="2" t="s">
        <v>31</v>
      </c>
      <c r="BJ124" s="7">
        <v>2.4900000000000002</v>
      </c>
      <c r="BK124" s="2">
        <v>2</v>
      </c>
      <c r="BL124" s="2">
        <f t="shared" si="10"/>
        <v>122</v>
      </c>
      <c r="BM124" s="2" t="str">
        <f t="shared" si="7"/>
        <v>Willem II</v>
      </c>
      <c r="BN124" s="7">
        <f t="shared" ref="BN124:BO124" si="131">BJ124</f>
        <v>2.4900000000000002</v>
      </c>
      <c r="BO124" s="2">
        <f t="shared" si="131"/>
        <v>2</v>
      </c>
      <c r="BS124" s="2" t="str">
        <f t="shared" si="9"/>
        <v>Netherlands</v>
      </c>
    </row>
    <row r="125" spans="1:71" ht="13.8" x14ac:dyDescent="0.45">
      <c r="A125" s="2" t="str">
        <f ca="1">IFERROR(__xludf.DUMMYFUNCTION("""COMPUTED_VALUE"""),"Lokomotiv Plovdiv")</f>
        <v>Lokomotiv Plovdiv</v>
      </c>
      <c r="B125" s="2">
        <f ca="1">IFERROR(__xludf.DUMMYFUNCTION("""COMPUTED_VALUE"""),0.7)</f>
        <v>0.7</v>
      </c>
      <c r="C125" s="2" t="str">
        <f ca="1">IFERROR(__xludf.DUMMYFUNCTION("""COMPUTED_VALUE"""),"Bulgaria")</f>
        <v>Bulgaria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5">
        <f ca="1">IFERROR(__xludf.DUMMYFUNCTION("""COMPUTED_VALUE"""),0)</f>
        <v>0</v>
      </c>
      <c r="P125" s="2">
        <f ca="1">IFERROR(__xludf.DUMMYFUNCTION("""COMPUTED_VALUE"""),0)</f>
        <v>0</v>
      </c>
      <c r="Q125" s="2">
        <f ca="1">IFERROR(__xludf.DUMMYFUNCTION("""COMPUTED_VALUE"""),0)</f>
        <v>0</v>
      </c>
      <c r="R125" s="2">
        <f ca="1">IFERROR(__xludf.DUMMYFUNCTION("""COMPUTED_VALUE"""),0)</f>
        <v>0</v>
      </c>
      <c r="S125" s="2">
        <f ca="1">IFERROR(__xludf.DUMMYFUNCTION("""COMPUTED_VALUE"""),0)</f>
        <v>0</v>
      </c>
      <c r="T125" s="2">
        <f ca="1">IFERROR(__xludf.DUMMYFUNCTION("""COMPUTED_VALUE"""),0)</f>
        <v>0</v>
      </c>
      <c r="U125" s="2">
        <f ca="1">IFERROR(__xludf.DUMMYFUNCTION("""COMPUTED_VALUE"""),0)</f>
        <v>0</v>
      </c>
      <c r="V125" s="2">
        <f ca="1">IFERROR(__xludf.DUMMYFUNCTION("""COMPUTED_VALUE"""),0)</f>
        <v>0</v>
      </c>
      <c r="W125" s="2">
        <f ca="1">IFERROR(__xludf.DUMMYFUNCTION("""COMPUTED_VALUE"""),0)</f>
        <v>0</v>
      </c>
      <c r="X125" s="2">
        <f ca="1">IFERROR(__xludf.DUMMYFUNCTION("""COMPUTED_VALUE"""),0)</f>
        <v>0</v>
      </c>
      <c r="Y125" s="2">
        <f ca="1">IFERROR(__xludf.DUMMYFUNCTION("""COMPUTED_VALUE"""),0)</f>
        <v>0</v>
      </c>
      <c r="AB125" s="2"/>
      <c r="AC125" s="2" t="str">
        <f ca="1">IFERROR(__xludf.DUMMYFUNCTION("""COMPUTED_VALUE"""),"X")</f>
        <v>X</v>
      </c>
      <c r="AD125" s="2" t="str">
        <f ca="1">IFERROR(__xludf.DUMMYFUNCTION("""COMPUTED_VALUE"""),"X")</f>
        <v>X</v>
      </c>
      <c r="AE125" s="2"/>
      <c r="AF125" s="2"/>
      <c r="AG125" s="2"/>
      <c r="AH125" s="2"/>
      <c r="AI125" s="2"/>
      <c r="AJ125" s="2"/>
      <c r="AK125" s="2"/>
      <c r="AL125" s="2"/>
      <c r="AM125" s="2">
        <f ca="1">IFERROR(__xludf.DUMMYFUNCTION("""COMPUTED_VALUE"""),0)</f>
        <v>0</v>
      </c>
      <c r="AN125" s="2">
        <f ca="1">IFERROR(__xludf.DUMMYFUNCTION("""COMPUTED_VALUE"""),2.02125)</f>
        <v>2.0212500000000002</v>
      </c>
      <c r="AO125" s="2">
        <f ca="1">IFERROR(__xludf.DUMMYFUNCTION("""COMPUTED_VALUE"""),0.804999999999999)</f>
        <v>0.80499999999999905</v>
      </c>
      <c r="AP125" s="2">
        <f ca="1">IFERROR(__xludf.DUMMYFUNCTION("""COMPUTED_VALUE"""),0)</f>
        <v>0</v>
      </c>
      <c r="AQ125" s="2">
        <f ca="1">IFERROR(__xludf.DUMMYFUNCTION("""COMPUTED_VALUE"""),0)</f>
        <v>0</v>
      </c>
      <c r="AR125" s="2">
        <f ca="1">IFERROR(__xludf.DUMMYFUNCTION("""COMPUTED_VALUE"""),0)</f>
        <v>0</v>
      </c>
      <c r="AS125" s="2">
        <f ca="1">IFERROR(__xludf.DUMMYFUNCTION("""COMPUTED_VALUE"""),0)</f>
        <v>0</v>
      </c>
      <c r="AT125" s="2">
        <f ca="1">IFERROR(__xludf.DUMMYFUNCTION("""COMPUTED_VALUE"""),0)</f>
        <v>0</v>
      </c>
      <c r="AU125" s="2">
        <f ca="1">IFERROR(__xludf.DUMMYFUNCTION("""COMPUTED_VALUE"""),0)</f>
        <v>0</v>
      </c>
      <c r="AV125" s="2">
        <f ca="1">IFERROR(__xludf.DUMMYFUNCTION("""COMPUTED_VALUE"""),0)</f>
        <v>0</v>
      </c>
      <c r="AW125" s="2">
        <f ca="1">IFERROR(__xludf.DUMMYFUNCTION("""COMPUTED_VALUE"""),0)</f>
        <v>0</v>
      </c>
      <c r="AY125" s="2">
        <f t="shared" ca="1" si="0"/>
        <v>2</v>
      </c>
      <c r="AZ125" s="2" t="e">
        <f ca="1">IF(NOT(COUNTA(D125:J125)), _xludf.IFS(AL125="W", 'Round Bonuses'!$F$14, AL125="X", 'Round Bonuses'!$F$13, AK125="X", 'Round Bonuses'!$F$12, AJ125="X", 'Round Bonuses'!$F$11, AI125="X", 'Round Bonuses'!$F$10, AH125="X", 'Round Bonuses'!$F$9, AG125="X", 'Round Bonuses'!$F$8, AF125="X", 'Round Bonuses'!$F$7, AE125="X", 'Round Bonuses'!$F$6, AD125="X", 'Round Bonuses'!$F$5, AC125="X", 'Round Bonuses'!$F$4, AB125="X", 'Round Bonuses'!$F$3, TRUE, 0), IF(AA125="X", _xludf.IFS(AD125="X", 'Round Bonuses'!$E$4, AF125="X",'Round Bonuses'!$E$6,TRUE, 'Round Bonuses'!$E$7), 0) +IF(AB125="X", 'Round Bonuses'!$E$3, 0)+IF(AC125="X",'Round Bonuses'!$E$4, 0)+IF(AD125="X", 'Round Bonuses'!$E$5, 0)+IF(AE125="X", 'Round Bonuses'!$E$6, 0)+IF(AF125="X", 'Round Bonuses'!$E$7, 0)+IF(AG125="X", 'Round Bonuses'!$E$8, 0)+_xludf.IFS(AL125="W", 'Round Bonuses'!$G$14, AL125="X", 'Round Bonuses'!$G$13, AK125="X", 'Round Bonuses'!$G$12, AJ125="X", 'Round Bonuses'!$G$11, AI125="X", 'Round Bonuses'!$G$10, AH125="X", 'Round Bonuses'!$G$9, TRUE, 0))+_xludf.IFS(N125="W", 'Round Bonuses'!$C$13, N125="X", 'Round Bonuses'!$C$12, M125="X", 'Round Bonuses'!$C$11, L125="X", 'Round Bonuses'!$C$10, K125="X", 'Round Bonuses'!$C$9, J125="X", 'Round Bonuses'!$C$8, I125="X", 'Round Bonuses'!$C$7, H125="X", 'Round Bonuses'!$C$6, G125="X", 'Round Bonuses'!$C$5, F125="X", 'Round Bonuses'!$C$4, E125="X", 'Round Bonuses'!$C$3, D125="X", 'Round Bonuses'!$C$3, TRUE, 0)</f>
        <v>#NAME?</v>
      </c>
      <c r="BA125" s="2">
        <f t="shared" ca="1" si="1"/>
        <v>2.826249999999999</v>
      </c>
      <c r="BB125" s="10" t="e">
        <f t="shared" ca="1" si="2"/>
        <v>#NAME?</v>
      </c>
      <c r="BD125" s="11" t="str">
        <f t="shared" ca="1" si="3"/>
        <v>Lokomotiv Plovdiv</v>
      </c>
      <c r="BE125" s="2" t="str">
        <f t="shared" ca="1" si="4"/>
        <v>Bulgaria</v>
      </c>
      <c r="BF125" s="2" t="e">
        <f t="shared" ca="1" si="5"/>
        <v>#NAME?</v>
      </c>
      <c r="BG125" s="2">
        <f t="shared" ca="1" si="6"/>
        <v>2</v>
      </c>
      <c r="BH125" s="2" t="s">
        <v>183</v>
      </c>
      <c r="BI125" s="2" t="s">
        <v>63</v>
      </c>
      <c r="BJ125" s="7">
        <v>2.4531249999999996</v>
      </c>
      <c r="BK125" s="2">
        <v>2</v>
      </c>
      <c r="BL125" s="2">
        <f t="shared" si="10"/>
        <v>123</v>
      </c>
      <c r="BM125" s="2" t="str">
        <f t="shared" si="7"/>
        <v>Servette</v>
      </c>
      <c r="BN125" s="7">
        <f t="shared" ref="BN125:BO125" si="132">BJ125</f>
        <v>2.4531249999999996</v>
      </c>
      <c r="BO125" s="2">
        <f t="shared" si="132"/>
        <v>2</v>
      </c>
      <c r="BS125" s="2" t="str">
        <f t="shared" si="9"/>
        <v>Switzerland</v>
      </c>
    </row>
    <row r="126" spans="1:71" ht="13.8" x14ac:dyDescent="0.45">
      <c r="A126" s="2" t="str">
        <f ca="1">IFERROR(__xludf.DUMMYFUNCTION("""COMPUTED_VALUE"""),"Lokomotiva")</f>
        <v>Lokomotiva</v>
      </c>
      <c r="B126" s="2">
        <f ca="1">IFERROR(__xludf.DUMMYFUNCTION("""COMPUTED_VALUE"""),0.84)</f>
        <v>0.84</v>
      </c>
      <c r="C126" s="2" t="str">
        <f ca="1">IFERROR(__xludf.DUMMYFUNCTION("""COMPUTED_VALUE"""),"Croatia")</f>
        <v>Croatia</v>
      </c>
      <c r="D126" s="2"/>
      <c r="E126" s="2"/>
      <c r="F126" s="2"/>
      <c r="G126" s="2" t="str">
        <f ca="1">IFERROR(__xludf.DUMMYFUNCTION("""COMPUTED_VALUE"""),"X")</f>
        <v>X</v>
      </c>
      <c r="H126" s="2"/>
      <c r="I126" s="2"/>
      <c r="J126" s="2"/>
      <c r="K126" s="2"/>
      <c r="L126" s="2"/>
      <c r="M126" s="2"/>
      <c r="N126" s="2"/>
      <c r="O126" s="5">
        <f ca="1">IFERROR(__xludf.DUMMYFUNCTION("""COMPUTED_VALUE"""),0)</f>
        <v>0</v>
      </c>
      <c r="P126" s="2">
        <f ca="1">IFERROR(__xludf.DUMMYFUNCTION("""COMPUTED_VALUE"""),0)</f>
        <v>0</v>
      </c>
      <c r="Q126" s="2">
        <f ca="1">IFERROR(__xludf.DUMMYFUNCTION("""COMPUTED_VALUE"""),0)</f>
        <v>0</v>
      </c>
      <c r="R126" s="2">
        <f ca="1">IFERROR(__xludf.DUMMYFUNCTION("""COMPUTED_VALUE"""),0.745)</f>
        <v>0.745</v>
      </c>
      <c r="S126" s="2">
        <f ca="1">IFERROR(__xludf.DUMMYFUNCTION("""COMPUTED_VALUE"""),0)</f>
        <v>0</v>
      </c>
      <c r="T126" s="2">
        <f ca="1">IFERROR(__xludf.DUMMYFUNCTION("""COMPUTED_VALUE"""),0)</f>
        <v>0</v>
      </c>
      <c r="U126" s="2">
        <f ca="1">IFERROR(__xludf.DUMMYFUNCTION("""COMPUTED_VALUE"""),0)</f>
        <v>0</v>
      </c>
      <c r="V126" s="2">
        <f ca="1">IFERROR(__xludf.DUMMYFUNCTION("""COMPUTED_VALUE"""),0)</f>
        <v>0</v>
      </c>
      <c r="W126" s="2">
        <f ca="1">IFERROR(__xludf.DUMMYFUNCTION("""COMPUTED_VALUE"""),0)</f>
        <v>0</v>
      </c>
      <c r="X126" s="2">
        <f ca="1">IFERROR(__xludf.DUMMYFUNCTION("""COMPUTED_VALUE"""),0)</f>
        <v>0</v>
      </c>
      <c r="Y126" s="2">
        <f ca="1">IFERROR(__xludf.DUMMYFUNCTION("""COMPUTED_VALUE"""),0)</f>
        <v>0</v>
      </c>
      <c r="AB126" s="2"/>
      <c r="AC126" s="2"/>
      <c r="AD126" s="2"/>
      <c r="AE126" s="2" t="str">
        <f ca="1">IFERROR(__xludf.DUMMYFUNCTION("""COMPUTED_VALUE"""),"X")</f>
        <v>X</v>
      </c>
      <c r="AF126" s="2"/>
      <c r="AG126" s="2"/>
      <c r="AH126" s="2"/>
      <c r="AI126" s="2"/>
      <c r="AJ126" s="2"/>
      <c r="AK126" s="2"/>
      <c r="AL126" s="2"/>
      <c r="AM126" s="2">
        <f ca="1">IFERROR(__xludf.DUMMYFUNCTION("""COMPUTED_VALUE"""),0)</f>
        <v>0</v>
      </c>
      <c r="AN126" s="2">
        <f ca="1">IFERROR(__xludf.DUMMYFUNCTION("""COMPUTED_VALUE"""),0)</f>
        <v>0</v>
      </c>
      <c r="AO126" s="2">
        <f ca="1">IFERROR(__xludf.DUMMYFUNCTION("""COMPUTED_VALUE"""),0)</f>
        <v>0</v>
      </c>
      <c r="AP126" s="2">
        <f ca="1">IFERROR(__xludf.DUMMYFUNCTION("""COMPUTED_VALUE"""),0.145)</f>
        <v>0.14499999999999999</v>
      </c>
      <c r="AQ126" s="2">
        <f ca="1">IFERROR(__xludf.DUMMYFUNCTION("""COMPUTED_VALUE"""),0)</f>
        <v>0</v>
      </c>
      <c r="AR126" s="2">
        <f ca="1">IFERROR(__xludf.DUMMYFUNCTION("""COMPUTED_VALUE"""),0)</f>
        <v>0</v>
      </c>
      <c r="AS126" s="2">
        <f ca="1">IFERROR(__xludf.DUMMYFUNCTION("""COMPUTED_VALUE"""),0)</f>
        <v>0</v>
      </c>
      <c r="AT126" s="2">
        <f ca="1">IFERROR(__xludf.DUMMYFUNCTION("""COMPUTED_VALUE"""),0)</f>
        <v>0</v>
      </c>
      <c r="AU126" s="2">
        <f ca="1">IFERROR(__xludf.DUMMYFUNCTION("""COMPUTED_VALUE"""),0)</f>
        <v>0</v>
      </c>
      <c r="AV126" s="2">
        <f ca="1">IFERROR(__xludf.DUMMYFUNCTION("""COMPUTED_VALUE"""),0)</f>
        <v>0</v>
      </c>
      <c r="AW126" s="2">
        <f ca="1">IFERROR(__xludf.DUMMYFUNCTION("""COMPUTED_VALUE"""),0)</f>
        <v>0</v>
      </c>
      <c r="AY126" s="2">
        <f t="shared" ca="1" si="0"/>
        <v>2</v>
      </c>
      <c r="AZ126" s="2" t="e">
        <f ca="1">IF(NOT(COUNTA(D126:J126)), _xludf.IFS(AL126="W", 'Round Bonuses'!$F$14, AL126="X", 'Round Bonuses'!$F$13, AK126="X", 'Round Bonuses'!$F$12, AJ126="X", 'Round Bonuses'!$F$11, AI126="X", 'Round Bonuses'!$F$10, AH126="X", 'Round Bonuses'!$F$9, AG126="X", 'Round Bonuses'!$F$8, AF126="X", 'Round Bonuses'!$F$7, AE126="X", 'Round Bonuses'!$F$6, AD126="X", 'Round Bonuses'!$F$5, AC126="X", 'Round Bonuses'!$F$4, AB126="X", 'Round Bonuses'!$F$3, TRUE, 0), IF(AA126="X", _xludf.IFS(AD126="X", 'Round Bonuses'!$E$4, AF126="X",'Round Bonuses'!$E$6,TRUE, 'Round Bonuses'!$E$7), 0) +IF(AB126="X", 'Round Bonuses'!$E$3, 0)+IF(AC126="X",'Round Bonuses'!$E$4, 0)+IF(AD126="X", 'Round Bonuses'!$E$5, 0)+IF(AE126="X", 'Round Bonuses'!$E$6, 0)+IF(AF126="X", 'Round Bonuses'!$E$7, 0)+IF(AG126="X", 'Round Bonuses'!$E$8, 0)+_xludf.IFS(AL126="W", 'Round Bonuses'!$G$14, AL126="X", 'Round Bonuses'!$G$13, AK126="X", 'Round Bonuses'!$G$12, AJ126="X", 'Round Bonuses'!$G$11, AI126="X", 'Round Bonuses'!$G$10, AH126="X", 'Round Bonuses'!$G$9, TRUE, 0))+_xludf.IFS(N126="W", 'Round Bonuses'!$C$13, N126="X", 'Round Bonuses'!$C$12, M126="X", 'Round Bonuses'!$C$11, L126="X", 'Round Bonuses'!$C$10, K126="X", 'Round Bonuses'!$C$9, J126="X", 'Round Bonuses'!$C$8, I126="X", 'Round Bonuses'!$C$7, H126="X", 'Round Bonuses'!$C$6, G126="X", 'Round Bonuses'!$C$5, F126="X", 'Round Bonuses'!$C$4, E126="X", 'Round Bonuses'!$C$3, D126="X", 'Round Bonuses'!$C$3, TRUE, 0)</f>
        <v>#NAME?</v>
      </c>
      <c r="BA126" s="2">
        <f t="shared" ca="1" si="1"/>
        <v>0.89</v>
      </c>
      <c r="BB126" s="10" t="e">
        <f t="shared" ca="1" si="2"/>
        <v>#NAME?</v>
      </c>
      <c r="BD126" s="11" t="str">
        <f t="shared" ca="1" si="3"/>
        <v>Lokomotiva</v>
      </c>
      <c r="BE126" s="2" t="str">
        <f t="shared" ca="1" si="4"/>
        <v>Croatia</v>
      </c>
      <c r="BF126" s="2" t="e">
        <f t="shared" ca="1" si="5"/>
        <v>#NAME?</v>
      </c>
      <c r="BG126" s="2">
        <f t="shared" ca="1" si="6"/>
        <v>2</v>
      </c>
      <c r="BH126" s="2" t="s">
        <v>184</v>
      </c>
      <c r="BI126" s="2" t="s">
        <v>66</v>
      </c>
      <c r="BJ126" s="7">
        <v>2.415</v>
      </c>
      <c r="BK126" s="2">
        <v>3</v>
      </c>
      <c r="BL126" s="2">
        <f t="shared" si="10"/>
        <v>124</v>
      </c>
      <c r="BM126" s="2" t="str">
        <f t="shared" si="7"/>
        <v>Motherwell</v>
      </c>
      <c r="BN126" s="7">
        <f t="shared" ref="BN126:BO126" si="133">BJ126</f>
        <v>2.415</v>
      </c>
      <c r="BO126" s="2">
        <f t="shared" si="133"/>
        <v>3</v>
      </c>
      <c r="BS126" s="2" t="str">
        <f t="shared" si="9"/>
        <v>Scotland</v>
      </c>
    </row>
    <row r="127" spans="1:71" ht="13.8" x14ac:dyDescent="0.45">
      <c r="A127" s="2" t="str">
        <f ca="1">IFERROR(__xludf.DUMMYFUNCTION("""COMPUTED_VALUE"""),"Ludogorets Razgrad")</f>
        <v>Ludogorets Razgrad</v>
      </c>
      <c r="B127" s="2">
        <f ca="1">IFERROR(__xludf.DUMMYFUNCTION("""COMPUTED_VALUE"""),0.72)</f>
        <v>0.72</v>
      </c>
      <c r="C127" s="2" t="str">
        <f ca="1">IFERROR(__xludf.DUMMYFUNCTION("""COMPUTED_VALUE"""),"Bulgaria")</f>
        <v>Bulgaria</v>
      </c>
      <c r="D127" s="2"/>
      <c r="E127" s="2"/>
      <c r="F127" s="2" t="str">
        <f ca="1">IFERROR(__xludf.DUMMYFUNCTION("""COMPUTED_VALUE"""),"X")</f>
        <v>X</v>
      </c>
      <c r="G127" s="2" t="str">
        <f ca="1">IFERROR(__xludf.DUMMYFUNCTION("""COMPUTED_VALUE"""),"X")</f>
        <v>X</v>
      </c>
      <c r="H127" s="2"/>
      <c r="I127" s="2"/>
      <c r="J127" s="2"/>
      <c r="K127" s="2"/>
      <c r="L127" s="2"/>
      <c r="M127" s="2"/>
      <c r="N127" s="2"/>
      <c r="O127" s="5">
        <f ca="1">IFERROR(__xludf.DUMMYFUNCTION("""COMPUTED_VALUE"""),0)</f>
        <v>0</v>
      </c>
      <c r="P127" s="2">
        <f ca="1">IFERROR(__xludf.DUMMYFUNCTION("""COMPUTED_VALUE"""),0)</f>
        <v>0</v>
      </c>
      <c r="Q127" s="2">
        <f ca="1">IFERROR(__xludf.DUMMYFUNCTION("""COMPUTED_VALUE"""),2.1675)</f>
        <v>2.1675</v>
      </c>
      <c r="R127" s="2">
        <f ca="1">IFERROR(__xludf.DUMMYFUNCTION("""COMPUTED_VALUE"""),0.715)</f>
        <v>0.71499999999999997</v>
      </c>
      <c r="S127" s="2">
        <f ca="1">IFERROR(__xludf.DUMMYFUNCTION("""COMPUTED_VALUE"""),0)</f>
        <v>0</v>
      </c>
      <c r="T127" s="2">
        <f ca="1">IFERROR(__xludf.DUMMYFUNCTION("""COMPUTED_VALUE"""),0)</f>
        <v>0</v>
      </c>
      <c r="U127" s="2">
        <f ca="1">IFERROR(__xludf.DUMMYFUNCTION("""COMPUTED_VALUE"""),0)</f>
        <v>0</v>
      </c>
      <c r="V127" s="2">
        <f ca="1">IFERROR(__xludf.DUMMYFUNCTION("""COMPUTED_VALUE"""),0)</f>
        <v>0</v>
      </c>
      <c r="W127" s="2">
        <f ca="1">IFERROR(__xludf.DUMMYFUNCTION("""COMPUTED_VALUE"""),0)</f>
        <v>0</v>
      </c>
      <c r="X127" s="2">
        <f ca="1">IFERROR(__xludf.DUMMYFUNCTION("""COMPUTED_VALUE"""),0)</f>
        <v>0</v>
      </c>
      <c r="Y127" s="2">
        <f ca="1">IFERROR(__xludf.DUMMYFUNCTION("""COMPUTED_VALUE"""),0)</f>
        <v>0</v>
      </c>
      <c r="AA127" s="3" t="s">
        <v>39</v>
      </c>
      <c r="AB127" s="2"/>
      <c r="AC127" s="2"/>
      <c r="AD127" s="2"/>
      <c r="AE127" s="2"/>
      <c r="AF127" s="2" t="str">
        <f ca="1">IFERROR(__xludf.DUMMYFUNCTION("""COMPUTED_VALUE"""),"X")</f>
        <v>X</v>
      </c>
      <c r="AG127" s="2" t="str">
        <f ca="1">IFERROR(__xludf.DUMMYFUNCTION("""COMPUTED_VALUE"""),"X")</f>
        <v>X</v>
      </c>
      <c r="AH127" s="2"/>
      <c r="AI127" s="2"/>
      <c r="AJ127" s="2"/>
      <c r="AK127" s="2"/>
      <c r="AL127" s="2"/>
      <c r="AM127" s="2">
        <f ca="1">IFERROR(__xludf.DUMMYFUNCTION("""COMPUTED_VALUE"""),0)</f>
        <v>0</v>
      </c>
      <c r="AN127" s="2">
        <f ca="1">IFERROR(__xludf.DUMMYFUNCTION("""COMPUTED_VALUE"""),0)</f>
        <v>0</v>
      </c>
      <c r="AO127" s="2">
        <f ca="1">IFERROR(__xludf.DUMMYFUNCTION("""COMPUTED_VALUE"""),0)</f>
        <v>0</v>
      </c>
      <c r="AP127" s="2">
        <f ca="1">IFERROR(__xludf.DUMMYFUNCTION("""COMPUTED_VALUE"""),0)</f>
        <v>0</v>
      </c>
      <c r="AQ127" s="2">
        <f ca="1">IFERROR(__xludf.DUMMYFUNCTION("""COMPUTED_VALUE"""),3.3575)</f>
        <v>3.3574999999999999</v>
      </c>
      <c r="AR127" s="2">
        <f ca="1">IFERROR(__xludf.DUMMYFUNCTION("""COMPUTED_VALUE"""),3.84)</f>
        <v>3.84</v>
      </c>
      <c r="AS127" s="2">
        <f ca="1">IFERROR(__xludf.DUMMYFUNCTION("""COMPUTED_VALUE"""),0)</f>
        <v>0</v>
      </c>
      <c r="AT127" s="2">
        <f ca="1">IFERROR(__xludf.DUMMYFUNCTION("""COMPUTED_VALUE"""),0)</f>
        <v>0</v>
      </c>
      <c r="AU127" s="2">
        <f ca="1">IFERROR(__xludf.DUMMYFUNCTION("""COMPUTED_VALUE"""),0)</f>
        <v>0</v>
      </c>
      <c r="AV127" s="2">
        <f ca="1">IFERROR(__xludf.DUMMYFUNCTION("""COMPUTED_VALUE"""),0)</f>
        <v>0</v>
      </c>
      <c r="AW127" s="2">
        <f ca="1">IFERROR(__xludf.DUMMYFUNCTION("""COMPUTED_VALUE"""),0)</f>
        <v>0</v>
      </c>
      <c r="AY127" s="2">
        <f t="shared" ca="1" si="0"/>
        <v>9</v>
      </c>
      <c r="AZ127" s="2" t="e">
        <f ca="1">IF(NOT(COUNTA(D127:J127)), _xludf.IFS(AL127="W", 'Round Bonuses'!$F$14, AL127="X", 'Round Bonuses'!$F$13, AK127="X", 'Round Bonuses'!$F$12, AJ127="X", 'Round Bonuses'!$F$11, AI127="X", 'Round Bonuses'!$F$10, AH127="X", 'Round Bonuses'!$F$9, AG127="X", 'Round Bonuses'!$F$8, AF127="X", 'Round Bonuses'!$F$7, AE127="X", 'Round Bonuses'!$F$6, AD127="X", 'Round Bonuses'!$F$5, AC127="X", 'Round Bonuses'!$F$4, AB127="X", 'Round Bonuses'!$F$3, TRUE, 0), IF(AA127="X", _xludf.IFS(AD127="X", 'Round Bonuses'!$E$4, AF127="X",'Round Bonuses'!$E$6,TRUE, 'Round Bonuses'!$E$7), 0) +IF(AB127="X", 'Round Bonuses'!$E$3, 0)+IF(AC127="X",'Round Bonuses'!$E$4, 0)+IF(AD127="X", 'Round Bonuses'!$E$5, 0)+IF(AE127="X", 'Round Bonuses'!$E$6, 0)+IF(AF127="X", 'Round Bonuses'!$E$7, 0)+IF(AG127="X", 'Round Bonuses'!$E$8, 0)+_xludf.IFS(AL127="W", 'Round Bonuses'!$G$14, AL127="X", 'Round Bonuses'!$G$13, AK127="X", 'Round Bonuses'!$G$12, AJ127="X", 'Round Bonuses'!$G$11, AI127="X", 'Round Bonuses'!$G$10, AH127="X", 'Round Bonuses'!$G$9, TRUE, 0))+_xludf.IFS(N127="W", 'Round Bonuses'!$C$13, N127="X", 'Round Bonuses'!$C$12, M127="X", 'Round Bonuses'!$C$11, L127="X", 'Round Bonuses'!$C$10, K127="X", 'Round Bonuses'!$C$9, J127="X", 'Round Bonuses'!$C$8, I127="X", 'Round Bonuses'!$C$7, H127="X", 'Round Bonuses'!$C$6, G127="X", 'Round Bonuses'!$C$5, F127="X", 'Round Bonuses'!$C$4, E127="X", 'Round Bonuses'!$C$3, D127="X", 'Round Bonuses'!$C$3, TRUE, 0)</f>
        <v>#NAME?</v>
      </c>
      <c r="BA127" s="2">
        <f t="shared" ca="1" si="1"/>
        <v>10.08</v>
      </c>
      <c r="BB127" s="10" t="e">
        <f t="shared" ca="1" si="2"/>
        <v>#NAME?</v>
      </c>
      <c r="BD127" s="11" t="str">
        <f t="shared" ca="1" si="3"/>
        <v>Ludogorets Razgrad</v>
      </c>
      <c r="BE127" s="2" t="str">
        <f t="shared" ca="1" si="4"/>
        <v>Bulgaria</v>
      </c>
      <c r="BF127" s="2" t="e">
        <f t="shared" ca="1" si="5"/>
        <v>#NAME?</v>
      </c>
      <c r="BG127" s="2">
        <f t="shared" ca="1" si="6"/>
        <v>9</v>
      </c>
      <c r="BH127" s="2" t="s">
        <v>185</v>
      </c>
      <c r="BI127" s="2" t="s">
        <v>80</v>
      </c>
      <c r="BJ127" s="7">
        <v>2.3949999999999996</v>
      </c>
      <c r="BK127" s="2">
        <v>2</v>
      </c>
      <c r="BL127" s="2">
        <f t="shared" si="10"/>
        <v>125</v>
      </c>
      <c r="BM127" s="2" t="str">
        <f t="shared" si="7"/>
        <v>Beşiktaş</v>
      </c>
      <c r="BN127" s="7">
        <f t="shared" ref="BN127:BO127" si="134">BJ127</f>
        <v>2.3949999999999996</v>
      </c>
      <c r="BO127" s="2">
        <f t="shared" si="134"/>
        <v>2</v>
      </c>
      <c r="BS127" s="2" t="str">
        <f t="shared" si="9"/>
        <v>Turkey</v>
      </c>
    </row>
    <row r="128" spans="1:71" ht="13.8" x14ac:dyDescent="0.45">
      <c r="A128" s="2" t="str">
        <f ca="1">IFERROR(__xludf.DUMMYFUNCTION("""COMPUTED_VALUE"""),"Maccabi Haifa")</f>
        <v>Maccabi Haifa</v>
      </c>
      <c r="B128" s="2">
        <f ca="1">IFERROR(__xludf.DUMMYFUNCTION("""COMPUTED_VALUE"""),0.72)</f>
        <v>0.72</v>
      </c>
      <c r="C128" s="2" t="str">
        <f ca="1">IFERROR(__xludf.DUMMYFUNCTION("""COMPUTED_VALUE"""),"Israel")</f>
        <v>Israel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5">
        <f ca="1">IFERROR(__xludf.DUMMYFUNCTION("""COMPUTED_VALUE"""),0)</f>
        <v>0</v>
      </c>
      <c r="P128" s="2">
        <f ca="1">IFERROR(__xludf.DUMMYFUNCTION("""COMPUTED_VALUE"""),0)</f>
        <v>0</v>
      </c>
      <c r="Q128" s="2">
        <f ca="1">IFERROR(__xludf.DUMMYFUNCTION("""COMPUTED_VALUE"""),0)</f>
        <v>0</v>
      </c>
      <c r="R128" s="2">
        <f ca="1">IFERROR(__xludf.DUMMYFUNCTION("""COMPUTED_VALUE"""),0)</f>
        <v>0</v>
      </c>
      <c r="S128" s="2">
        <f ca="1">IFERROR(__xludf.DUMMYFUNCTION("""COMPUTED_VALUE"""),0)</f>
        <v>0</v>
      </c>
      <c r="T128" s="2">
        <f ca="1">IFERROR(__xludf.DUMMYFUNCTION("""COMPUTED_VALUE"""),0)</f>
        <v>0</v>
      </c>
      <c r="U128" s="2">
        <f ca="1">IFERROR(__xludf.DUMMYFUNCTION("""COMPUTED_VALUE"""),0)</f>
        <v>0</v>
      </c>
      <c r="V128" s="2">
        <f ca="1">IFERROR(__xludf.DUMMYFUNCTION("""COMPUTED_VALUE"""),0)</f>
        <v>0</v>
      </c>
      <c r="W128" s="2">
        <f ca="1">IFERROR(__xludf.DUMMYFUNCTION("""COMPUTED_VALUE"""),0)</f>
        <v>0</v>
      </c>
      <c r="X128" s="2">
        <f ca="1">IFERROR(__xludf.DUMMYFUNCTION("""COMPUTED_VALUE"""),0)</f>
        <v>0</v>
      </c>
      <c r="Y128" s="2">
        <f ca="1">IFERROR(__xludf.DUMMYFUNCTION("""COMPUTED_VALUE"""),0)</f>
        <v>0</v>
      </c>
      <c r="AB128" s="2"/>
      <c r="AC128" s="2" t="str">
        <f ca="1">IFERROR(__xludf.DUMMYFUNCTION("""COMPUTED_VALUE"""),"X")</f>
        <v>X</v>
      </c>
      <c r="AD128" s="2" t="str">
        <f ca="1">IFERROR(__xludf.DUMMYFUNCTION("""COMPUTED_VALUE"""),"X")</f>
        <v>X</v>
      </c>
      <c r="AE128" s="2" t="str">
        <f ca="1">IFERROR(__xludf.DUMMYFUNCTION("""COMPUTED_VALUE"""),"X")</f>
        <v>X</v>
      </c>
      <c r="AF128" s="2" t="str">
        <f ca="1">IFERROR(__xludf.DUMMYFUNCTION("""COMPUTED_VALUE"""),"X")</f>
        <v>X</v>
      </c>
      <c r="AG128" s="2"/>
      <c r="AH128" s="2"/>
      <c r="AI128" s="2"/>
      <c r="AJ128" s="2"/>
      <c r="AK128" s="2"/>
      <c r="AL128" s="2"/>
      <c r="AM128" s="2">
        <f ca="1">IFERROR(__xludf.DUMMYFUNCTION("""COMPUTED_VALUE"""),0)</f>
        <v>0</v>
      </c>
      <c r="AN128" s="2">
        <f ca="1">IFERROR(__xludf.DUMMYFUNCTION("""COMPUTED_VALUE"""),2.5075)</f>
        <v>2.5074999999999998</v>
      </c>
      <c r="AO128" s="2">
        <f ca="1">IFERROR(__xludf.DUMMYFUNCTION("""COMPUTED_VALUE"""),3.09375)</f>
        <v>3.09375</v>
      </c>
      <c r="AP128" s="2">
        <f ca="1">IFERROR(__xludf.DUMMYFUNCTION("""COMPUTED_VALUE"""),3.71249999999999)</f>
        <v>3.7124999999999901</v>
      </c>
      <c r="AQ128" s="2">
        <f ca="1">IFERROR(__xludf.DUMMYFUNCTION("""COMPUTED_VALUE"""),0.304999999999999)</f>
        <v>0.30499999999999899</v>
      </c>
      <c r="AR128" s="2">
        <f ca="1">IFERROR(__xludf.DUMMYFUNCTION("""COMPUTED_VALUE"""),0)</f>
        <v>0</v>
      </c>
      <c r="AS128" s="2">
        <f ca="1">IFERROR(__xludf.DUMMYFUNCTION("""COMPUTED_VALUE"""),0)</f>
        <v>0</v>
      </c>
      <c r="AT128" s="2">
        <f ca="1">IFERROR(__xludf.DUMMYFUNCTION("""COMPUTED_VALUE"""),0)</f>
        <v>0</v>
      </c>
      <c r="AU128" s="2">
        <f ca="1">IFERROR(__xludf.DUMMYFUNCTION("""COMPUTED_VALUE"""),0)</f>
        <v>0</v>
      </c>
      <c r="AV128" s="2">
        <f ca="1">IFERROR(__xludf.DUMMYFUNCTION("""COMPUTED_VALUE"""),0)</f>
        <v>0</v>
      </c>
      <c r="AW128" s="2">
        <f ca="1">IFERROR(__xludf.DUMMYFUNCTION("""COMPUTED_VALUE"""),0)</f>
        <v>0</v>
      </c>
      <c r="AY128" s="2">
        <f t="shared" ca="1" si="0"/>
        <v>4</v>
      </c>
      <c r="AZ128" s="2" t="e">
        <f ca="1">IF(NOT(COUNTA(D128:J128)), _xludf.IFS(AL128="W", 'Round Bonuses'!$F$14, AL128="X", 'Round Bonuses'!$F$13, AK128="X", 'Round Bonuses'!$F$12, AJ128="X", 'Round Bonuses'!$F$11, AI128="X", 'Round Bonuses'!$F$10, AH128="X", 'Round Bonuses'!$F$9, AG128="X", 'Round Bonuses'!$F$8, AF128="X", 'Round Bonuses'!$F$7, AE128="X", 'Round Bonuses'!$F$6, AD128="X", 'Round Bonuses'!$F$5, AC128="X", 'Round Bonuses'!$F$4, AB128="X", 'Round Bonuses'!$F$3, TRUE, 0), IF(AA128="X", _xludf.IFS(AD128="X", 'Round Bonuses'!$E$4, AF128="X",'Round Bonuses'!$E$6,TRUE, 'Round Bonuses'!$E$7), 0) +IF(AB128="X", 'Round Bonuses'!$E$3, 0)+IF(AC128="X",'Round Bonuses'!$E$4, 0)+IF(AD128="X", 'Round Bonuses'!$E$5, 0)+IF(AE128="X", 'Round Bonuses'!$E$6, 0)+IF(AF128="X", 'Round Bonuses'!$E$7, 0)+IF(AG128="X", 'Round Bonuses'!$E$8, 0)+_xludf.IFS(AL128="W", 'Round Bonuses'!$G$14, AL128="X", 'Round Bonuses'!$G$13, AK128="X", 'Round Bonuses'!$G$12, AJ128="X", 'Round Bonuses'!$G$11, AI128="X", 'Round Bonuses'!$G$10, AH128="X", 'Round Bonuses'!$G$9, TRUE, 0))+_xludf.IFS(N128="W", 'Round Bonuses'!$C$13, N128="X", 'Round Bonuses'!$C$12, M128="X", 'Round Bonuses'!$C$11, L128="X", 'Round Bonuses'!$C$10, K128="X", 'Round Bonuses'!$C$9, J128="X", 'Round Bonuses'!$C$8, I128="X", 'Round Bonuses'!$C$7, H128="X", 'Round Bonuses'!$C$6, G128="X", 'Round Bonuses'!$C$5, F128="X", 'Round Bonuses'!$C$4, E128="X", 'Round Bonuses'!$C$3, D128="X", 'Round Bonuses'!$C$3, TRUE, 0)</f>
        <v>#NAME?</v>
      </c>
      <c r="BA128" s="2">
        <f t="shared" ca="1" si="1"/>
        <v>9.6187499999999897</v>
      </c>
      <c r="BB128" s="10" t="e">
        <f t="shared" ca="1" si="2"/>
        <v>#NAME?</v>
      </c>
      <c r="BD128" s="11" t="str">
        <f t="shared" ca="1" si="3"/>
        <v>Maccabi Haifa</v>
      </c>
      <c r="BE128" s="2" t="str">
        <f t="shared" ca="1" si="4"/>
        <v>Israel</v>
      </c>
      <c r="BF128" s="2" t="e">
        <f t="shared" ca="1" si="5"/>
        <v>#NAME?</v>
      </c>
      <c r="BG128" s="2">
        <f t="shared" ca="1" si="6"/>
        <v>4</v>
      </c>
      <c r="BH128" s="2" t="s">
        <v>186</v>
      </c>
      <c r="BI128" s="2" t="s">
        <v>104</v>
      </c>
      <c r="BJ128" s="7">
        <v>2.38375</v>
      </c>
      <c r="BK128" s="2">
        <v>2</v>
      </c>
      <c r="BL128" s="2">
        <f t="shared" si="10"/>
        <v>126</v>
      </c>
      <c r="BM128" s="2" t="str">
        <f t="shared" si="7"/>
        <v>Botoșani</v>
      </c>
      <c r="BN128" s="7">
        <f t="shared" ref="BN128:BO128" si="135">BJ128</f>
        <v>2.38375</v>
      </c>
      <c r="BO128" s="2">
        <f t="shared" si="135"/>
        <v>2</v>
      </c>
      <c r="BS128" s="2" t="str">
        <f t="shared" si="9"/>
        <v>Romania</v>
      </c>
    </row>
    <row r="129" spans="1:71" ht="13.8" x14ac:dyDescent="0.45">
      <c r="A129" s="2" t="str">
        <f ca="1">IFERROR(__xludf.DUMMYFUNCTION("""COMPUTED_VALUE"""),"Maccabi Tel Aviv")</f>
        <v>Maccabi Tel Aviv</v>
      </c>
      <c r="B129" s="2">
        <f ca="1">IFERROR(__xludf.DUMMYFUNCTION("""COMPUTED_VALUE"""),0.73)</f>
        <v>0.73</v>
      </c>
      <c r="C129" s="2" t="str">
        <f ca="1">IFERROR(__xludf.DUMMYFUNCTION("""COMPUTED_VALUE"""),"Israel")</f>
        <v>Israel</v>
      </c>
      <c r="D129" s="2"/>
      <c r="E129" s="2"/>
      <c r="F129" s="2" t="str">
        <f ca="1">IFERROR(__xludf.DUMMYFUNCTION("""COMPUTED_VALUE"""),"X")</f>
        <v>X</v>
      </c>
      <c r="G129" s="2" t="str">
        <f ca="1">IFERROR(__xludf.DUMMYFUNCTION("""COMPUTED_VALUE"""),"X")</f>
        <v>X</v>
      </c>
      <c r="H129" s="2" t="str">
        <f ca="1">IFERROR(__xludf.DUMMYFUNCTION("""COMPUTED_VALUE"""),"X")</f>
        <v>X</v>
      </c>
      <c r="I129" s="2" t="str">
        <f ca="1">IFERROR(__xludf.DUMMYFUNCTION("""COMPUTED_VALUE"""),"X")</f>
        <v>X</v>
      </c>
      <c r="J129" s="2"/>
      <c r="K129" s="2"/>
      <c r="L129" s="2"/>
      <c r="M129" s="2"/>
      <c r="N129" s="2"/>
      <c r="O129" s="5">
        <f ca="1">IFERROR(__xludf.DUMMYFUNCTION("""COMPUTED_VALUE"""),0)</f>
        <v>0</v>
      </c>
      <c r="P129" s="2">
        <f ca="1">IFERROR(__xludf.DUMMYFUNCTION("""COMPUTED_VALUE"""),0)</f>
        <v>0</v>
      </c>
      <c r="Q129" s="2">
        <f ca="1">IFERROR(__xludf.DUMMYFUNCTION("""COMPUTED_VALUE"""),2.465)</f>
        <v>2.4649999999999999</v>
      </c>
      <c r="R129" s="2">
        <f ca="1">IFERROR(__xludf.DUMMYFUNCTION("""COMPUTED_VALUE"""),2.58125)</f>
        <v>2.5812499999999998</v>
      </c>
      <c r="S129" s="2">
        <f ca="1">IFERROR(__xludf.DUMMYFUNCTION("""COMPUTED_VALUE"""),3.25875)</f>
        <v>3.25875</v>
      </c>
      <c r="T129" s="2">
        <f ca="1">IFERROR(__xludf.DUMMYFUNCTION("""COMPUTED_VALUE"""),1.385)</f>
        <v>1.385</v>
      </c>
      <c r="U129" s="2">
        <f ca="1">IFERROR(__xludf.DUMMYFUNCTION("""COMPUTED_VALUE"""),0)</f>
        <v>0</v>
      </c>
      <c r="V129" s="2">
        <f ca="1">IFERROR(__xludf.DUMMYFUNCTION("""COMPUTED_VALUE"""),0)</f>
        <v>0</v>
      </c>
      <c r="W129" s="2">
        <f ca="1">IFERROR(__xludf.DUMMYFUNCTION("""COMPUTED_VALUE"""),0)</f>
        <v>0</v>
      </c>
      <c r="X129" s="2">
        <f ca="1">IFERROR(__xludf.DUMMYFUNCTION("""COMPUTED_VALUE"""),0)</f>
        <v>0</v>
      </c>
      <c r="Y129" s="2">
        <f ca="1">IFERROR(__xludf.DUMMYFUNCTION("""COMPUTED_VALUE"""),0)</f>
        <v>0</v>
      </c>
      <c r="AB129" s="2"/>
      <c r="AC129" s="2"/>
      <c r="AD129" s="2"/>
      <c r="AE129" s="2"/>
      <c r="AF129" s="2"/>
      <c r="AG129" s="2" t="str">
        <f ca="1">IFERROR(__xludf.DUMMYFUNCTION("""COMPUTED_VALUE"""),"X")</f>
        <v>X</v>
      </c>
      <c r="AH129" s="2" t="str">
        <f ca="1">IFERROR(__xludf.DUMMYFUNCTION("""COMPUTED_VALUE"""),"X")</f>
        <v>X</v>
      </c>
      <c r="AI129" s="2"/>
      <c r="AJ129" s="2"/>
      <c r="AK129" s="2"/>
      <c r="AL129" s="2"/>
      <c r="AM129" s="2">
        <f ca="1">IFERROR(__xludf.DUMMYFUNCTION("""COMPUTED_VALUE"""),0)</f>
        <v>0</v>
      </c>
      <c r="AN129" s="2">
        <f ca="1">IFERROR(__xludf.DUMMYFUNCTION("""COMPUTED_VALUE"""),0)</f>
        <v>0</v>
      </c>
      <c r="AO129" s="2">
        <f ca="1">IFERROR(__xludf.DUMMYFUNCTION("""COMPUTED_VALUE"""),0)</f>
        <v>0</v>
      </c>
      <c r="AP129" s="2">
        <f ca="1">IFERROR(__xludf.DUMMYFUNCTION("""COMPUTED_VALUE"""),0)</f>
        <v>0</v>
      </c>
      <c r="AQ129" s="2">
        <f ca="1">IFERROR(__xludf.DUMMYFUNCTION("""COMPUTED_VALUE"""),0)</f>
        <v>0</v>
      </c>
      <c r="AR129" s="2">
        <f ca="1">IFERROR(__xludf.DUMMYFUNCTION("""COMPUTED_VALUE"""),14.06)</f>
        <v>14.06</v>
      </c>
      <c r="AS129" s="2">
        <f ca="1">IFERROR(__xludf.DUMMYFUNCTION("""COMPUTED_VALUE"""),1.445)</f>
        <v>1.4450000000000001</v>
      </c>
      <c r="AT129" s="2">
        <f ca="1">IFERROR(__xludf.DUMMYFUNCTION("""COMPUTED_VALUE"""),0)</f>
        <v>0</v>
      </c>
      <c r="AU129" s="2">
        <f ca="1">IFERROR(__xludf.DUMMYFUNCTION("""COMPUTED_VALUE"""),0)</f>
        <v>0</v>
      </c>
      <c r="AV129" s="2">
        <f ca="1">IFERROR(__xludf.DUMMYFUNCTION("""COMPUTED_VALUE"""),0)</f>
        <v>0</v>
      </c>
      <c r="AW129" s="2">
        <f ca="1">IFERROR(__xludf.DUMMYFUNCTION("""COMPUTED_VALUE"""),0)</f>
        <v>0</v>
      </c>
      <c r="AY129" s="2">
        <f t="shared" ca="1" si="0"/>
        <v>13</v>
      </c>
      <c r="AZ129" s="2" t="e">
        <f ca="1">IF(NOT(COUNTA(D129:J129)), _xludf.IFS(AL129="W", 'Round Bonuses'!$F$14, AL129="X", 'Round Bonuses'!$F$13, AK129="X", 'Round Bonuses'!$F$12, AJ129="X", 'Round Bonuses'!$F$11, AI129="X", 'Round Bonuses'!$F$10, AH129="X", 'Round Bonuses'!$F$9, AG129="X", 'Round Bonuses'!$F$8, AF129="X", 'Round Bonuses'!$F$7, AE129="X", 'Round Bonuses'!$F$6, AD129="X", 'Round Bonuses'!$F$5, AC129="X", 'Round Bonuses'!$F$4, AB129="X", 'Round Bonuses'!$F$3, TRUE, 0), IF(AA129="X", _xludf.IFS(AD129="X", 'Round Bonuses'!$E$4, AF129="X",'Round Bonuses'!$E$6,TRUE, 'Round Bonuses'!$E$7), 0) +IF(AB129="X", 'Round Bonuses'!$E$3, 0)+IF(AC129="X",'Round Bonuses'!$E$4, 0)+IF(AD129="X", 'Round Bonuses'!$E$5, 0)+IF(AE129="X", 'Round Bonuses'!$E$6, 0)+IF(AF129="X", 'Round Bonuses'!$E$7, 0)+IF(AG129="X", 'Round Bonuses'!$E$8, 0)+_xludf.IFS(AL129="W", 'Round Bonuses'!$G$14, AL129="X", 'Round Bonuses'!$G$13, AK129="X", 'Round Bonuses'!$G$12, AJ129="X", 'Round Bonuses'!$G$11, AI129="X", 'Round Bonuses'!$G$10, AH129="X", 'Round Bonuses'!$G$9, TRUE, 0))+_xludf.IFS(N129="W", 'Round Bonuses'!$C$13, N129="X", 'Round Bonuses'!$C$12, M129="X", 'Round Bonuses'!$C$11, L129="X", 'Round Bonuses'!$C$10, K129="X", 'Round Bonuses'!$C$9, J129="X", 'Round Bonuses'!$C$8, I129="X", 'Round Bonuses'!$C$7, H129="X", 'Round Bonuses'!$C$6, G129="X", 'Round Bonuses'!$C$5, F129="X", 'Round Bonuses'!$C$4, E129="X", 'Round Bonuses'!$C$3, D129="X", 'Round Bonuses'!$C$3, TRUE, 0)</f>
        <v>#NAME?</v>
      </c>
      <c r="BA129" s="2">
        <f t="shared" ca="1" si="1"/>
        <v>25.195</v>
      </c>
      <c r="BB129" s="10" t="e">
        <f t="shared" ca="1" si="2"/>
        <v>#NAME?</v>
      </c>
      <c r="BD129" s="11" t="str">
        <f t="shared" ca="1" si="3"/>
        <v>Maccabi Tel Aviv</v>
      </c>
      <c r="BE129" s="2" t="str">
        <f t="shared" ca="1" si="4"/>
        <v>Israel</v>
      </c>
      <c r="BF129" s="2" t="e">
        <f t="shared" ca="1" si="5"/>
        <v>#NAME?</v>
      </c>
      <c r="BG129" s="2">
        <f t="shared" ca="1" si="6"/>
        <v>13</v>
      </c>
      <c r="BH129" s="2" t="s">
        <v>187</v>
      </c>
      <c r="BI129" s="2" t="s">
        <v>126</v>
      </c>
      <c r="BJ129" s="7">
        <v>2.3587500000000001</v>
      </c>
      <c r="BK129" s="2">
        <v>3</v>
      </c>
      <c r="BL129" s="2">
        <f t="shared" si="10"/>
        <v>127</v>
      </c>
      <c r="BM129" s="2" t="str">
        <f t="shared" si="7"/>
        <v>Djurgårdens IF</v>
      </c>
      <c r="BN129" s="7">
        <f t="shared" ref="BN129:BO129" si="136">BJ129</f>
        <v>2.3587500000000001</v>
      </c>
      <c r="BO129" s="2">
        <f t="shared" si="136"/>
        <v>3</v>
      </c>
      <c r="BS129" s="2" t="str">
        <f t="shared" si="9"/>
        <v>Sweden</v>
      </c>
    </row>
    <row r="130" spans="1:71" ht="13.8" x14ac:dyDescent="0.45">
      <c r="A130" s="2" t="str">
        <f ca="1">IFERROR(__xludf.DUMMYFUNCTION("""COMPUTED_VALUE"""),"Malmö FF")</f>
        <v>Malmö FF</v>
      </c>
      <c r="B130" s="2">
        <f ca="1">IFERROR(__xludf.DUMMYFUNCTION("""COMPUTED_VALUE"""),0.77)</f>
        <v>0.77</v>
      </c>
      <c r="C130" s="2" t="str">
        <f ca="1">IFERROR(__xludf.DUMMYFUNCTION("""COMPUTED_VALUE"""),"Sweden")</f>
        <v>Sweden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5">
        <f ca="1">IFERROR(__xludf.DUMMYFUNCTION("""COMPUTED_VALUE"""),0)</f>
        <v>0</v>
      </c>
      <c r="P130" s="2">
        <f ca="1">IFERROR(__xludf.DUMMYFUNCTION("""COMPUTED_VALUE"""),0)</f>
        <v>0</v>
      </c>
      <c r="Q130" s="2">
        <f ca="1">IFERROR(__xludf.DUMMYFUNCTION("""COMPUTED_VALUE"""),0)</f>
        <v>0</v>
      </c>
      <c r="R130" s="2">
        <f ca="1">IFERROR(__xludf.DUMMYFUNCTION("""COMPUTED_VALUE"""),0)</f>
        <v>0</v>
      </c>
      <c r="S130" s="2">
        <f ca="1">IFERROR(__xludf.DUMMYFUNCTION("""COMPUTED_VALUE"""),0)</f>
        <v>0</v>
      </c>
      <c r="T130" s="2">
        <f ca="1">IFERROR(__xludf.DUMMYFUNCTION("""COMPUTED_VALUE"""),0)</f>
        <v>0</v>
      </c>
      <c r="U130" s="2">
        <f ca="1">IFERROR(__xludf.DUMMYFUNCTION("""COMPUTED_VALUE"""),0)</f>
        <v>0</v>
      </c>
      <c r="V130" s="2">
        <f ca="1">IFERROR(__xludf.DUMMYFUNCTION("""COMPUTED_VALUE"""),0)</f>
        <v>0</v>
      </c>
      <c r="W130" s="2">
        <f ca="1">IFERROR(__xludf.DUMMYFUNCTION("""COMPUTED_VALUE"""),0)</f>
        <v>0</v>
      </c>
      <c r="X130" s="2">
        <f ca="1">IFERROR(__xludf.DUMMYFUNCTION("""COMPUTED_VALUE"""),0)</f>
        <v>0</v>
      </c>
      <c r="Y130" s="2">
        <f ca="1">IFERROR(__xludf.DUMMYFUNCTION("""COMPUTED_VALUE"""),0)</f>
        <v>0</v>
      </c>
      <c r="AB130" s="2"/>
      <c r="AC130" s="2" t="str">
        <f ca="1">IFERROR(__xludf.DUMMYFUNCTION("""COMPUTED_VALUE"""),"X")</f>
        <v>X</v>
      </c>
      <c r="AD130" s="2" t="str">
        <f ca="1">IFERROR(__xludf.DUMMYFUNCTION("""COMPUTED_VALUE"""),"X")</f>
        <v>X</v>
      </c>
      <c r="AE130" s="2" t="str">
        <f ca="1">IFERROR(__xludf.DUMMYFUNCTION("""COMPUTED_VALUE"""),"X")</f>
        <v>X</v>
      </c>
      <c r="AF130" s="2" t="str">
        <f ca="1">IFERROR(__xludf.DUMMYFUNCTION("""COMPUTED_VALUE"""),"X")</f>
        <v>X</v>
      </c>
      <c r="AG130" s="2"/>
      <c r="AH130" s="2"/>
      <c r="AI130" s="2"/>
      <c r="AJ130" s="2"/>
      <c r="AK130" s="2"/>
      <c r="AL130" s="2"/>
      <c r="AM130" s="2">
        <f ca="1">IFERROR(__xludf.DUMMYFUNCTION("""COMPUTED_VALUE"""),0)</f>
        <v>0</v>
      </c>
      <c r="AN130" s="2">
        <f ca="1">IFERROR(__xludf.DUMMYFUNCTION("""COMPUTED_VALUE"""),3.1025)</f>
        <v>3.1025</v>
      </c>
      <c r="AO130" s="2">
        <f ca="1">IFERROR(__xludf.DUMMYFUNCTION("""COMPUTED_VALUE"""),2.76249999999999)</f>
        <v>2.76249999999999</v>
      </c>
      <c r="AP130" s="2">
        <f ca="1">IFERROR(__xludf.DUMMYFUNCTION("""COMPUTED_VALUE"""),3.885)</f>
        <v>3.8849999999999998</v>
      </c>
      <c r="AQ130" s="2">
        <f ca="1">IFERROR(__xludf.DUMMYFUNCTION("""COMPUTED_VALUE"""),0.679999999999999)</f>
        <v>0.67999999999999905</v>
      </c>
      <c r="AR130" s="2">
        <f ca="1">IFERROR(__xludf.DUMMYFUNCTION("""COMPUTED_VALUE"""),0)</f>
        <v>0</v>
      </c>
      <c r="AS130" s="2">
        <f ca="1">IFERROR(__xludf.DUMMYFUNCTION("""COMPUTED_VALUE"""),0)</f>
        <v>0</v>
      </c>
      <c r="AT130" s="2">
        <f ca="1">IFERROR(__xludf.DUMMYFUNCTION("""COMPUTED_VALUE"""),0)</f>
        <v>0</v>
      </c>
      <c r="AU130" s="2">
        <f ca="1">IFERROR(__xludf.DUMMYFUNCTION("""COMPUTED_VALUE"""),0)</f>
        <v>0</v>
      </c>
      <c r="AV130" s="2">
        <f ca="1">IFERROR(__xludf.DUMMYFUNCTION("""COMPUTED_VALUE"""),0)</f>
        <v>0</v>
      </c>
      <c r="AW130" s="2">
        <f ca="1">IFERROR(__xludf.DUMMYFUNCTION("""COMPUTED_VALUE"""),0)</f>
        <v>0</v>
      </c>
      <c r="AY130" s="2">
        <f t="shared" ca="1" si="0"/>
        <v>4</v>
      </c>
      <c r="AZ130" s="2" t="e">
        <f ca="1">IF(NOT(COUNTA(D130:J130)), _xludf.IFS(AL130="W", 'Round Bonuses'!$F$14, AL130="X", 'Round Bonuses'!$F$13, AK130="X", 'Round Bonuses'!$F$12, AJ130="X", 'Round Bonuses'!$F$11, AI130="X", 'Round Bonuses'!$F$10, AH130="X", 'Round Bonuses'!$F$9, AG130="X", 'Round Bonuses'!$F$8, AF130="X", 'Round Bonuses'!$F$7, AE130="X", 'Round Bonuses'!$F$6, AD130="X", 'Round Bonuses'!$F$5, AC130="X", 'Round Bonuses'!$F$4, AB130="X", 'Round Bonuses'!$F$3, TRUE, 0), IF(AA130="X", _xludf.IFS(AD130="X", 'Round Bonuses'!$E$4, AF130="X",'Round Bonuses'!$E$6,TRUE, 'Round Bonuses'!$E$7), 0) +IF(AB130="X", 'Round Bonuses'!$E$3, 0)+IF(AC130="X",'Round Bonuses'!$E$4, 0)+IF(AD130="X", 'Round Bonuses'!$E$5, 0)+IF(AE130="X", 'Round Bonuses'!$E$6, 0)+IF(AF130="X", 'Round Bonuses'!$E$7, 0)+IF(AG130="X", 'Round Bonuses'!$E$8, 0)+_xludf.IFS(AL130="W", 'Round Bonuses'!$G$14, AL130="X", 'Round Bonuses'!$G$13, AK130="X", 'Round Bonuses'!$G$12, AJ130="X", 'Round Bonuses'!$G$11, AI130="X", 'Round Bonuses'!$G$10, AH130="X", 'Round Bonuses'!$G$9, TRUE, 0))+_xludf.IFS(N130="W", 'Round Bonuses'!$C$13, N130="X", 'Round Bonuses'!$C$12, M130="X", 'Round Bonuses'!$C$11, L130="X", 'Round Bonuses'!$C$10, K130="X", 'Round Bonuses'!$C$9, J130="X", 'Round Bonuses'!$C$8, I130="X", 'Round Bonuses'!$C$7, H130="X", 'Round Bonuses'!$C$6, G130="X", 'Round Bonuses'!$C$5, F130="X", 'Round Bonuses'!$C$4, E130="X", 'Round Bonuses'!$C$3, D130="X", 'Round Bonuses'!$C$3, TRUE, 0)</f>
        <v>#NAME?</v>
      </c>
      <c r="BA130" s="2">
        <f t="shared" ca="1" si="1"/>
        <v>10.429999999999989</v>
      </c>
      <c r="BB130" s="10" t="e">
        <f t="shared" ca="1" si="2"/>
        <v>#NAME?</v>
      </c>
      <c r="BD130" s="11" t="str">
        <f t="shared" ca="1" si="3"/>
        <v>Malmö FF</v>
      </c>
      <c r="BE130" s="2" t="str">
        <f t="shared" ca="1" si="4"/>
        <v>Sweden</v>
      </c>
      <c r="BF130" s="2" t="e">
        <f t="shared" ca="1" si="5"/>
        <v>#NAME?</v>
      </c>
      <c r="BG130" s="2">
        <f t="shared" ca="1" si="6"/>
        <v>4</v>
      </c>
      <c r="BH130" s="2" t="s">
        <v>188</v>
      </c>
      <c r="BI130" s="2" t="s">
        <v>189</v>
      </c>
      <c r="BJ130" s="7">
        <v>2.3537499999999998</v>
      </c>
      <c r="BK130" s="2">
        <v>3</v>
      </c>
      <c r="BL130" s="2">
        <f t="shared" si="10"/>
        <v>128</v>
      </c>
      <c r="BM130" s="2" t="str">
        <f t="shared" si="7"/>
        <v>Riga</v>
      </c>
      <c r="BN130" s="7">
        <f t="shared" ref="BN130:BO130" si="137">BJ130</f>
        <v>2.3537499999999998</v>
      </c>
      <c r="BO130" s="2">
        <f t="shared" si="137"/>
        <v>3</v>
      </c>
      <c r="BS130" s="2" t="str">
        <f t="shared" si="9"/>
        <v>Latvia</v>
      </c>
    </row>
    <row r="131" spans="1:71" ht="13.8" x14ac:dyDescent="0.45">
      <c r="A131" s="2" t="str">
        <f ca="1">IFERROR(__xludf.DUMMYFUNCTION("""COMPUTED_VALUE"""),"Manchester City")</f>
        <v>Manchester City</v>
      </c>
      <c r="B131" s="2">
        <f ca="1">IFERROR(__xludf.DUMMYFUNCTION("""COMPUTED_VALUE"""),0.97)</f>
        <v>0.97</v>
      </c>
      <c r="C131" s="2" t="str">
        <f ca="1">IFERROR(__xludf.DUMMYFUNCTION("""COMPUTED_VALUE"""),"England")</f>
        <v>England</v>
      </c>
      <c r="D131" s="2"/>
      <c r="E131" s="2"/>
      <c r="F131" s="2"/>
      <c r="G131" s="2"/>
      <c r="H131" s="2"/>
      <c r="I131" s="2"/>
      <c r="J131" s="2" t="str">
        <f ca="1">IFERROR(__xludf.DUMMYFUNCTION("""COMPUTED_VALUE"""),"X")</f>
        <v>X</v>
      </c>
      <c r="K131" s="2" t="str">
        <f ca="1">IFERROR(__xludf.DUMMYFUNCTION("""COMPUTED_VALUE"""),"X")</f>
        <v>X</v>
      </c>
      <c r="L131" s="2" t="str">
        <f ca="1">IFERROR(__xludf.DUMMYFUNCTION("""COMPUTED_VALUE"""),"X")</f>
        <v>X</v>
      </c>
      <c r="M131" s="2" t="str">
        <f ca="1">IFERROR(__xludf.DUMMYFUNCTION("""COMPUTED_VALUE"""),"X")</f>
        <v>X</v>
      </c>
      <c r="N131" s="2" t="str">
        <f ca="1">IFERROR(__xludf.DUMMYFUNCTION("""COMPUTED_VALUE"""),"X")</f>
        <v>X</v>
      </c>
      <c r="O131" s="5">
        <f ca="1">IFERROR(__xludf.DUMMYFUNCTION("""COMPUTED_VALUE"""),0)</f>
        <v>0</v>
      </c>
      <c r="P131" s="2">
        <f ca="1">IFERROR(__xludf.DUMMYFUNCTION("""COMPUTED_VALUE"""),0)</f>
        <v>0</v>
      </c>
      <c r="Q131" s="2">
        <f ca="1">IFERROR(__xludf.DUMMYFUNCTION("""COMPUTED_VALUE"""),0)</f>
        <v>0</v>
      </c>
      <c r="R131" s="2">
        <f ca="1">IFERROR(__xludf.DUMMYFUNCTION("""COMPUTED_VALUE"""),0)</f>
        <v>0</v>
      </c>
      <c r="S131" s="2">
        <f ca="1">IFERROR(__xludf.DUMMYFUNCTION("""COMPUTED_VALUE"""),0)</f>
        <v>0</v>
      </c>
      <c r="T131" s="2">
        <f ca="1">IFERROR(__xludf.DUMMYFUNCTION("""COMPUTED_VALUE"""),0)</f>
        <v>0</v>
      </c>
      <c r="U131" s="2">
        <f ca="1">IFERROR(__xludf.DUMMYFUNCTION("""COMPUTED_VALUE"""),21.3475)</f>
        <v>21.3475</v>
      </c>
      <c r="V131" s="2">
        <f ca="1">IFERROR(__xludf.DUMMYFUNCTION("""COMPUTED_VALUE"""),7.90499999999999)</f>
        <v>7.9049999999999896</v>
      </c>
      <c r="W131" s="2">
        <f ca="1">IFERROR(__xludf.DUMMYFUNCTION("""COMPUTED_VALUE"""),7.8375)</f>
        <v>7.8375000000000004</v>
      </c>
      <c r="X131" s="2">
        <f ca="1">IFERROR(__xludf.DUMMYFUNCTION("""COMPUTED_VALUE"""),7.95625)</f>
        <v>7.9562499999999998</v>
      </c>
      <c r="Y131" s="2">
        <f ca="1">IFERROR(__xludf.DUMMYFUNCTION("""COMPUTED_VALUE"""),0.825)</f>
        <v>0.82499999999999996</v>
      </c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>
        <f ca="1">IFERROR(__xludf.DUMMYFUNCTION("""COMPUTED_VALUE"""),0)</f>
        <v>0</v>
      </c>
      <c r="AN131" s="2">
        <f ca="1">IFERROR(__xludf.DUMMYFUNCTION("""COMPUTED_VALUE"""),0)</f>
        <v>0</v>
      </c>
      <c r="AO131" s="2">
        <f ca="1">IFERROR(__xludf.DUMMYFUNCTION("""COMPUTED_VALUE"""),0)</f>
        <v>0</v>
      </c>
      <c r="AP131" s="2">
        <f ca="1">IFERROR(__xludf.DUMMYFUNCTION("""COMPUTED_VALUE"""),0)</f>
        <v>0</v>
      </c>
      <c r="AQ131" s="2">
        <f ca="1">IFERROR(__xludf.DUMMYFUNCTION("""COMPUTED_VALUE"""),0)</f>
        <v>0</v>
      </c>
      <c r="AR131" s="2">
        <f ca="1">IFERROR(__xludf.DUMMYFUNCTION("""COMPUTED_VALUE"""),0)</f>
        <v>0</v>
      </c>
      <c r="AS131" s="2">
        <f ca="1">IFERROR(__xludf.DUMMYFUNCTION("""COMPUTED_VALUE"""),0)</f>
        <v>0</v>
      </c>
      <c r="AT131" s="2">
        <f ca="1">IFERROR(__xludf.DUMMYFUNCTION("""COMPUTED_VALUE"""),0)</f>
        <v>0</v>
      </c>
      <c r="AU131" s="2">
        <f ca="1">IFERROR(__xludf.DUMMYFUNCTION("""COMPUTED_VALUE"""),0)</f>
        <v>0</v>
      </c>
      <c r="AV131" s="2">
        <f ca="1">IFERROR(__xludf.DUMMYFUNCTION("""COMPUTED_VALUE"""),0)</f>
        <v>0</v>
      </c>
      <c r="AW131" s="2">
        <f ca="1">IFERROR(__xludf.DUMMYFUNCTION("""COMPUTED_VALUE"""),0)</f>
        <v>0</v>
      </c>
      <c r="AY131" s="2">
        <f t="shared" ca="1" si="0"/>
        <v>13</v>
      </c>
      <c r="AZ131" s="2" t="e">
        <f ca="1">IF(NOT(COUNTA(D131:J131)), _xludf.IFS(AL131="W", 'Round Bonuses'!$F$14, AL131="X", 'Round Bonuses'!$F$13, AK131="X", 'Round Bonuses'!$F$12, AJ131="X", 'Round Bonuses'!$F$11, AI131="X", 'Round Bonuses'!$F$10, AH131="X", 'Round Bonuses'!$F$9, AG131="X", 'Round Bonuses'!$F$8, AF131="X", 'Round Bonuses'!$F$7, AE131="X", 'Round Bonuses'!$F$6, AD131="X", 'Round Bonuses'!$F$5, AC131="X", 'Round Bonuses'!$F$4, AB131="X", 'Round Bonuses'!$F$3, TRUE, 0), IF(AA131="X", _xludf.IFS(AD131="X", 'Round Bonuses'!$E$4, AF131="X",'Round Bonuses'!$E$6,TRUE, 'Round Bonuses'!$E$7), 0) +IF(AB131="X", 'Round Bonuses'!$E$3, 0)+IF(AC131="X",'Round Bonuses'!$E$4, 0)+IF(AD131="X", 'Round Bonuses'!$E$5, 0)+IF(AE131="X", 'Round Bonuses'!$E$6, 0)+IF(AF131="X", 'Round Bonuses'!$E$7, 0)+IF(AG131="X", 'Round Bonuses'!$E$8, 0)+_xludf.IFS(AL131="W", 'Round Bonuses'!$G$14, AL131="X", 'Round Bonuses'!$G$13, AK131="X", 'Round Bonuses'!$G$12, AJ131="X", 'Round Bonuses'!$G$11, AI131="X", 'Round Bonuses'!$G$10, AH131="X", 'Round Bonuses'!$G$9, TRUE, 0))+_xludf.IFS(N131="W", 'Round Bonuses'!$C$13, N131="X", 'Round Bonuses'!$C$12, M131="X", 'Round Bonuses'!$C$11, L131="X", 'Round Bonuses'!$C$10, K131="X", 'Round Bonuses'!$C$9, J131="X", 'Round Bonuses'!$C$8, I131="X", 'Round Bonuses'!$C$7, H131="X", 'Round Bonuses'!$C$6, G131="X", 'Round Bonuses'!$C$5, F131="X", 'Round Bonuses'!$C$4, E131="X", 'Round Bonuses'!$C$3, D131="X", 'Round Bonuses'!$C$3, TRUE, 0)</f>
        <v>#NAME?</v>
      </c>
      <c r="BA131" s="2">
        <f t="shared" ca="1" si="1"/>
        <v>45.871249999999989</v>
      </c>
      <c r="BB131" s="10" t="e">
        <f t="shared" ca="1" si="2"/>
        <v>#NAME?</v>
      </c>
      <c r="BD131" s="11" t="str">
        <f t="shared" ca="1" si="3"/>
        <v>Manchester City</v>
      </c>
      <c r="BE131" s="2" t="str">
        <f t="shared" ca="1" si="4"/>
        <v>England</v>
      </c>
      <c r="BF131" s="2" t="e">
        <f t="shared" ca="1" si="5"/>
        <v>#NAME?</v>
      </c>
      <c r="BG131" s="2">
        <f t="shared" ca="1" si="6"/>
        <v>13</v>
      </c>
      <c r="BH131" s="2" t="s">
        <v>190</v>
      </c>
      <c r="BI131" s="2" t="s">
        <v>191</v>
      </c>
      <c r="BJ131" s="7">
        <v>2.3433333333333333</v>
      </c>
      <c r="BK131" s="2">
        <v>3</v>
      </c>
      <c r="BL131" s="2">
        <f t="shared" si="10"/>
        <v>129</v>
      </c>
      <c r="BM131" s="2" t="str">
        <f t="shared" si="7"/>
        <v>Floriana</v>
      </c>
      <c r="BN131" s="7">
        <f t="shared" ref="BN131:BO131" si="138">BJ131</f>
        <v>2.3433333333333333</v>
      </c>
      <c r="BO131" s="2">
        <f t="shared" si="138"/>
        <v>3</v>
      </c>
      <c r="BS131" s="2" t="str">
        <f t="shared" si="9"/>
        <v>Malta</v>
      </c>
    </row>
    <row r="132" spans="1:71" ht="13.8" x14ac:dyDescent="0.45">
      <c r="A132" s="2" t="str">
        <f ca="1">IFERROR(__xludf.DUMMYFUNCTION("""COMPUTED_VALUE"""),"Manchester United")</f>
        <v>Manchester United</v>
      </c>
      <c r="B132" s="2">
        <f ca="1">IFERROR(__xludf.DUMMYFUNCTION("""COMPUTED_VALUE"""),0.96)</f>
        <v>0.96</v>
      </c>
      <c r="C132" s="2" t="str">
        <f ca="1">IFERROR(__xludf.DUMMYFUNCTION("""COMPUTED_VALUE"""),"England")</f>
        <v>England</v>
      </c>
      <c r="D132" s="2"/>
      <c r="E132" s="2"/>
      <c r="F132" s="2"/>
      <c r="G132" s="2"/>
      <c r="H132" s="2"/>
      <c r="I132" s="2"/>
      <c r="J132" s="2" t="str">
        <f ca="1">IFERROR(__xludf.DUMMYFUNCTION("""COMPUTED_VALUE"""),"X")</f>
        <v>X</v>
      </c>
      <c r="K132" s="2"/>
      <c r="L132" s="2"/>
      <c r="M132" s="2"/>
      <c r="N132" s="2"/>
      <c r="O132" s="5">
        <f ca="1">IFERROR(__xludf.DUMMYFUNCTION("""COMPUTED_VALUE"""),0)</f>
        <v>0</v>
      </c>
      <c r="P132" s="2">
        <f ca="1">IFERROR(__xludf.DUMMYFUNCTION("""COMPUTED_VALUE"""),0)</f>
        <v>0</v>
      </c>
      <c r="Q132" s="2">
        <f ca="1">IFERROR(__xludf.DUMMYFUNCTION("""COMPUTED_VALUE"""),0)</f>
        <v>0</v>
      </c>
      <c r="R132" s="2">
        <f ca="1">IFERROR(__xludf.DUMMYFUNCTION("""COMPUTED_VALUE"""),0)</f>
        <v>0</v>
      </c>
      <c r="S132" s="2">
        <f ca="1">IFERROR(__xludf.DUMMYFUNCTION("""COMPUTED_VALUE"""),0)</f>
        <v>0</v>
      </c>
      <c r="T132" s="2">
        <f ca="1">IFERROR(__xludf.DUMMYFUNCTION("""COMPUTED_VALUE"""),0)</f>
        <v>0</v>
      </c>
      <c r="U132" s="2">
        <f ca="1">IFERROR(__xludf.DUMMYFUNCTION("""COMPUTED_VALUE"""),14.49375)</f>
        <v>14.49375</v>
      </c>
      <c r="V132" s="2">
        <f ca="1">IFERROR(__xludf.DUMMYFUNCTION("""COMPUTED_VALUE"""),0)</f>
        <v>0</v>
      </c>
      <c r="W132" s="2">
        <f ca="1">IFERROR(__xludf.DUMMYFUNCTION("""COMPUTED_VALUE"""),0)</f>
        <v>0</v>
      </c>
      <c r="X132" s="2">
        <f ca="1">IFERROR(__xludf.DUMMYFUNCTION("""COMPUTED_VALUE"""),0)</f>
        <v>0</v>
      </c>
      <c r="Y132" s="2">
        <f ca="1">IFERROR(__xludf.DUMMYFUNCTION("""COMPUTED_VALUE"""),0)</f>
        <v>0</v>
      </c>
      <c r="AB132" s="2"/>
      <c r="AC132" s="2"/>
      <c r="AD132" s="2"/>
      <c r="AE132" s="2"/>
      <c r="AF132" s="2"/>
      <c r="AG132" s="2"/>
      <c r="AH132" s="2" t="str">
        <f ca="1">IFERROR(__xludf.DUMMYFUNCTION("""COMPUTED_VALUE"""),"X")</f>
        <v>X</v>
      </c>
      <c r="AI132" s="2" t="str">
        <f ca="1">IFERROR(__xludf.DUMMYFUNCTION("""COMPUTED_VALUE"""),"X")</f>
        <v>X</v>
      </c>
      <c r="AJ132" s="2" t="str">
        <f ca="1">IFERROR(__xludf.DUMMYFUNCTION("""COMPUTED_VALUE"""),"X")</f>
        <v>X</v>
      </c>
      <c r="AK132" s="2" t="str">
        <f ca="1">IFERROR(__xludf.DUMMYFUNCTION("""COMPUTED_VALUE"""),"X")</f>
        <v>X</v>
      </c>
      <c r="AL132" s="2" t="str">
        <f ca="1">IFERROR(__xludf.DUMMYFUNCTION("""COMPUTED_VALUE"""),"X")</f>
        <v>X</v>
      </c>
      <c r="AM132" s="2">
        <f ca="1">IFERROR(__xludf.DUMMYFUNCTION("""COMPUTED_VALUE"""),0)</f>
        <v>0</v>
      </c>
      <c r="AN132" s="2">
        <f ca="1">IFERROR(__xludf.DUMMYFUNCTION("""COMPUTED_VALUE"""),0)</f>
        <v>0</v>
      </c>
      <c r="AO132" s="2">
        <f ca="1">IFERROR(__xludf.DUMMYFUNCTION("""COMPUTED_VALUE"""),0)</f>
        <v>0</v>
      </c>
      <c r="AP132" s="2">
        <f ca="1">IFERROR(__xludf.DUMMYFUNCTION("""COMPUTED_VALUE"""),0)</f>
        <v>0</v>
      </c>
      <c r="AQ132" s="2">
        <f ca="1">IFERROR(__xludf.DUMMYFUNCTION("""COMPUTED_VALUE"""),0)</f>
        <v>0</v>
      </c>
      <c r="AR132" s="2">
        <f ca="1">IFERROR(__xludf.DUMMYFUNCTION("""COMPUTED_VALUE"""),0)</f>
        <v>0</v>
      </c>
      <c r="AS132" s="2">
        <f ca="1">IFERROR(__xludf.DUMMYFUNCTION("""COMPUTED_VALUE"""),6.11)</f>
        <v>6.11</v>
      </c>
      <c r="AT132" s="2">
        <f ca="1">IFERROR(__xludf.DUMMYFUNCTION("""COMPUTED_VALUE"""),5.635)</f>
        <v>5.6349999999999998</v>
      </c>
      <c r="AU132" s="2">
        <f ca="1">IFERROR(__xludf.DUMMYFUNCTION("""COMPUTED_VALUE"""),7.90499999999999)</f>
        <v>7.9049999999999896</v>
      </c>
      <c r="AV132" s="2">
        <f ca="1">IFERROR(__xludf.DUMMYFUNCTION("""COMPUTED_VALUE"""),4.98999999999999)</f>
        <v>4.9899999999999904</v>
      </c>
      <c r="AW132" s="2">
        <f ca="1">IFERROR(__xludf.DUMMYFUNCTION("""COMPUTED_VALUE"""),1.42499999999999)</f>
        <v>1.4249999999999901</v>
      </c>
      <c r="AY132" s="2">
        <f t="shared" ca="1" si="0"/>
        <v>15</v>
      </c>
      <c r="AZ132" s="2" t="e">
        <f ca="1">IF(NOT(COUNTA(D132:J132)), _xludf.IFS(AL132="W", 'Round Bonuses'!$F$14, AL132="X", 'Round Bonuses'!$F$13, AK132="X", 'Round Bonuses'!$F$12, AJ132="X", 'Round Bonuses'!$F$11, AI132="X", 'Round Bonuses'!$F$10, AH132="X", 'Round Bonuses'!$F$9, AG132="X", 'Round Bonuses'!$F$8, AF132="X", 'Round Bonuses'!$F$7, AE132="X", 'Round Bonuses'!$F$6, AD132="X", 'Round Bonuses'!$F$5, AC132="X", 'Round Bonuses'!$F$4, AB132="X", 'Round Bonuses'!$F$3, TRUE, 0), IF(AA132="X", _xludf.IFS(AD132="X", 'Round Bonuses'!$E$4, AF132="X",'Round Bonuses'!$E$6,TRUE, 'Round Bonuses'!$E$7), 0) +IF(AB132="X", 'Round Bonuses'!$E$3, 0)+IF(AC132="X",'Round Bonuses'!$E$4, 0)+IF(AD132="X", 'Round Bonuses'!$E$5, 0)+IF(AE132="X", 'Round Bonuses'!$E$6, 0)+IF(AF132="X", 'Round Bonuses'!$E$7, 0)+IF(AG132="X", 'Round Bonuses'!$E$8, 0)+_xludf.IFS(AL132="W", 'Round Bonuses'!$G$14, AL132="X", 'Round Bonuses'!$G$13, AK132="X", 'Round Bonuses'!$G$12, AJ132="X", 'Round Bonuses'!$G$11, AI132="X", 'Round Bonuses'!$G$10, AH132="X", 'Round Bonuses'!$G$9, TRUE, 0))+_xludf.IFS(N132="W", 'Round Bonuses'!$C$13, N132="X", 'Round Bonuses'!$C$12, M132="X", 'Round Bonuses'!$C$11, L132="X", 'Round Bonuses'!$C$10, K132="X", 'Round Bonuses'!$C$9, J132="X", 'Round Bonuses'!$C$8, I132="X", 'Round Bonuses'!$C$7, H132="X", 'Round Bonuses'!$C$6, G132="X", 'Round Bonuses'!$C$5, F132="X", 'Round Bonuses'!$C$4, E132="X", 'Round Bonuses'!$C$3, D132="X", 'Round Bonuses'!$C$3, TRUE, 0)</f>
        <v>#NAME?</v>
      </c>
      <c r="BA132" s="2">
        <f t="shared" ca="1" si="1"/>
        <v>40.558749999999975</v>
      </c>
      <c r="BB132" s="10" t="e">
        <f t="shared" ca="1" si="2"/>
        <v>#NAME?</v>
      </c>
      <c r="BD132" s="11" t="str">
        <f t="shared" ca="1" si="3"/>
        <v>Manchester United</v>
      </c>
      <c r="BE132" s="2" t="str">
        <f t="shared" ca="1" si="4"/>
        <v>England</v>
      </c>
      <c r="BF132" s="2" t="e">
        <f t="shared" ca="1" si="5"/>
        <v>#NAME?</v>
      </c>
      <c r="BG132" s="2">
        <f t="shared" ca="1" si="6"/>
        <v>15</v>
      </c>
      <c r="BH132" s="2" t="s">
        <v>192</v>
      </c>
      <c r="BI132" s="2" t="s">
        <v>148</v>
      </c>
      <c r="BJ132" s="7">
        <v>2.32375</v>
      </c>
      <c r="BK132" s="2">
        <v>2</v>
      </c>
      <c r="BL132" s="2">
        <f t="shared" si="10"/>
        <v>130</v>
      </c>
      <c r="BM132" s="2" t="str">
        <f t="shared" si="7"/>
        <v>Teuta</v>
      </c>
      <c r="BN132" s="7">
        <f t="shared" ref="BN132:BO132" si="139">BJ132</f>
        <v>2.32375</v>
      </c>
      <c r="BO132" s="2">
        <f t="shared" si="139"/>
        <v>2</v>
      </c>
      <c r="BS132" s="2" t="str">
        <f t="shared" si="9"/>
        <v>Albania</v>
      </c>
    </row>
    <row r="133" spans="1:71" ht="13.8" x14ac:dyDescent="0.45">
      <c r="A133" s="2" t="str">
        <f ca="1">IFERROR(__xludf.DUMMYFUNCTION("""COMPUTED_VALUE"""),"Maribor")</f>
        <v>Maribor</v>
      </c>
      <c r="B133" s="2">
        <f ca="1">IFERROR(__xludf.DUMMYFUNCTION("""COMPUTED_VALUE"""),0.679999999999999)</f>
        <v>0.67999999999999905</v>
      </c>
      <c r="C133" s="2" t="str">
        <f ca="1">IFERROR(__xludf.DUMMYFUNCTION("""COMPUTED_VALUE"""),"Slovenia")</f>
        <v>Slovenia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5">
        <f ca="1">IFERROR(__xludf.DUMMYFUNCTION("""COMPUTED_VALUE"""),0)</f>
        <v>0</v>
      </c>
      <c r="P133" s="2">
        <f ca="1">IFERROR(__xludf.DUMMYFUNCTION("""COMPUTED_VALUE"""),0)</f>
        <v>0</v>
      </c>
      <c r="Q133" s="2">
        <f ca="1">IFERROR(__xludf.DUMMYFUNCTION("""COMPUTED_VALUE"""),0)</f>
        <v>0</v>
      </c>
      <c r="R133" s="2">
        <f ca="1">IFERROR(__xludf.DUMMYFUNCTION("""COMPUTED_VALUE"""),0)</f>
        <v>0</v>
      </c>
      <c r="S133" s="2">
        <f ca="1">IFERROR(__xludf.DUMMYFUNCTION("""COMPUTED_VALUE"""),0)</f>
        <v>0</v>
      </c>
      <c r="T133" s="2">
        <f ca="1">IFERROR(__xludf.DUMMYFUNCTION("""COMPUTED_VALUE"""),0)</f>
        <v>0</v>
      </c>
      <c r="U133" s="2">
        <f ca="1">IFERROR(__xludf.DUMMYFUNCTION("""COMPUTED_VALUE"""),0)</f>
        <v>0</v>
      </c>
      <c r="V133" s="2">
        <f ca="1">IFERROR(__xludf.DUMMYFUNCTION("""COMPUTED_VALUE"""),0)</f>
        <v>0</v>
      </c>
      <c r="W133" s="2">
        <f ca="1">IFERROR(__xludf.DUMMYFUNCTION("""COMPUTED_VALUE"""),0)</f>
        <v>0</v>
      </c>
      <c r="X133" s="2">
        <f ca="1">IFERROR(__xludf.DUMMYFUNCTION("""COMPUTED_VALUE"""),0)</f>
        <v>0</v>
      </c>
      <c r="Y133" s="2">
        <f ca="1">IFERROR(__xludf.DUMMYFUNCTION("""COMPUTED_VALUE"""),0)</f>
        <v>0</v>
      </c>
      <c r="AB133" s="2"/>
      <c r="AC133" s="2" t="str">
        <f ca="1">IFERROR(__xludf.DUMMYFUNCTION("""COMPUTED_VALUE"""),"X")</f>
        <v>X</v>
      </c>
      <c r="AD133" s="2"/>
      <c r="AE133" s="2"/>
      <c r="AF133" s="2"/>
      <c r="AG133" s="2"/>
      <c r="AH133" s="2"/>
      <c r="AI133" s="2"/>
      <c r="AJ133" s="2"/>
      <c r="AK133" s="2"/>
      <c r="AL133" s="2"/>
      <c r="AM133" s="2">
        <f ca="1">IFERROR(__xludf.DUMMYFUNCTION("""COMPUTED_VALUE"""),0)</f>
        <v>0</v>
      </c>
      <c r="AN133" s="2">
        <f ca="1">IFERROR(__xludf.DUMMYFUNCTION("""COMPUTED_VALUE"""),0.47)</f>
        <v>0.47</v>
      </c>
      <c r="AO133" s="2">
        <f ca="1">IFERROR(__xludf.DUMMYFUNCTION("""COMPUTED_VALUE"""),0)</f>
        <v>0</v>
      </c>
      <c r="AP133" s="2">
        <f ca="1">IFERROR(__xludf.DUMMYFUNCTION("""COMPUTED_VALUE"""),0)</f>
        <v>0</v>
      </c>
      <c r="AQ133" s="2">
        <f ca="1">IFERROR(__xludf.DUMMYFUNCTION("""COMPUTED_VALUE"""),0)</f>
        <v>0</v>
      </c>
      <c r="AR133" s="2">
        <f ca="1">IFERROR(__xludf.DUMMYFUNCTION("""COMPUTED_VALUE"""),0)</f>
        <v>0</v>
      </c>
      <c r="AS133" s="2">
        <f ca="1">IFERROR(__xludf.DUMMYFUNCTION("""COMPUTED_VALUE"""),0)</f>
        <v>0</v>
      </c>
      <c r="AT133" s="2">
        <f ca="1">IFERROR(__xludf.DUMMYFUNCTION("""COMPUTED_VALUE"""),0)</f>
        <v>0</v>
      </c>
      <c r="AU133" s="2">
        <f ca="1">IFERROR(__xludf.DUMMYFUNCTION("""COMPUTED_VALUE"""),0)</f>
        <v>0</v>
      </c>
      <c r="AV133" s="2">
        <f ca="1">IFERROR(__xludf.DUMMYFUNCTION("""COMPUTED_VALUE"""),0)</f>
        <v>0</v>
      </c>
      <c r="AW133" s="2">
        <f ca="1">IFERROR(__xludf.DUMMYFUNCTION("""COMPUTED_VALUE"""),0)</f>
        <v>0</v>
      </c>
      <c r="AY133" s="2">
        <f t="shared" ca="1" si="0"/>
        <v>1</v>
      </c>
      <c r="AZ133" s="2" t="e">
        <f ca="1">IF(NOT(COUNTA(D133:J133)), _xludf.IFS(AL133="W", 'Round Bonuses'!$F$14, AL133="X", 'Round Bonuses'!$F$13, AK133="X", 'Round Bonuses'!$F$12, AJ133="X", 'Round Bonuses'!$F$11, AI133="X", 'Round Bonuses'!$F$10, AH133="X", 'Round Bonuses'!$F$9, AG133="X", 'Round Bonuses'!$F$8, AF133="X", 'Round Bonuses'!$F$7, AE133="X", 'Round Bonuses'!$F$6, AD133="X", 'Round Bonuses'!$F$5, AC133="X", 'Round Bonuses'!$F$4, AB133="X", 'Round Bonuses'!$F$3, TRUE, 0), IF(AA133="X", _xludf.IFS(AD133="X", 'Round Bonuses'!$E$4, AF133="X",'Round Bonuses'!$E$6,TRUE, 'Round Bonuses'!$E$7), 0) +IF(AB133="X", 'Round Bonuses'!$E$3, 0)+IF(AC133="X",'Round Bonuses'!$E$4, 0)+IF(AD133="X", 'Round Bonuses'!$E$5, 0)+IF(AE133="X", 'Round Bonuses'!$E$6, 0)+IF(AF133="X", 'Round Bonuses'!$E$7, 0)+IF(AG133="X", 'Round Bonuses'!$E$8, 0)+_xludf.IFS(AL133="W", 'Round Bonuses'!$G$14, AL133="X", 'Round Bonuses'!$G$13, AK133="X", 'Round Bonuses'!$G$12, AJ133="X", 'Round Bonuses'!$G$11, AI133="X", 'Round Bonuses'!$G$10, AH133="X", 'Round Bonuses'!$G$9, TRUE, 0))+_xludf.IFS(N133="W", 'Round Bonuses'!$C$13, N133="X", 'Round Bonuses'!$C$12, M133="X", 'Round Bonuses'!$C$11, L133="X", 'Round Bonuses'!$C$10, K133="X", 'Round Bonuses'!$C$9, J133="X", 'Round Bonuses'!$C$8, I133="X", 'Round Bonuses'!$C$7, H133="X", 'Round Bonuses'!$C$6, G133="X", 'Round Bonuses'!$C$5, F133="X", 'Round Bonuses'!$C$4, E133="X", 'Round Bonuses'!$C$3, D133="X", 'Round Bonuses'!$C$3, TRUE, 0)</f>
        <v>#NAME?</v>
      </c>
      <c r="BA133" s="2">
        <f t="shared" ca="1" si="1"/>
        <v>0.47</v>
      </c>
      <c r="BB133" s="10" t="e">
        <f t="shared" ca="1" si="2"/>
        <v>#NAME?</v>
      </c>
      <c r="BD133" s="11" t="str">
        <f t="shared" ca="1" si="3"/>
        <v>Maribor</v>
      </c>
      <c r="BE133" s="2" t="str">
        <f t="shared" ca="1" si="4"/>
        <v>Slovenia</v>
      </c>
      <c r="BF133" s="2" t="e">
        <f t="shared" ca="1" si="5"/>
        <v>#NAME?</v>
      </c>
      <c r="BG133" s="2">
        <f t="shared" ca="1" si="6"/>
        <v>1</v>
      </c>
      <c r="BH133" s="2" t="s">
        <v>193</v>
      </c>
      <c r="BI133" s="2" t="s">
        <v>194</v>
      </c>
      <c r="BJ133" s="7">
        <v>2.3112499999999998</v>
      </c>
      <c r="BK133" s="2">
        <v>2</v>
      </c>
      <c r="BL133" s="2">
        <f t="shared" si="10"/>
        <v>131</v>
      </c>
      <c r="BM133" s="2" t="str">
        <f t="shared" si="7"/>
        <v>The New Saints</v>
      </c>
      <c r="BN133" s="7">
        <f t="shared" ref="BN133:BO133" si="140">BJ133</f>
        <v>2.3112499999999998</v>
      </c>
      <c r="BO133" s="2">
        <f t="shared" si="140"/>
        <v>2</v>
      </c>
      <c r="BS133" s="2" t="str">
        <f t="shared" si="9"/>
        <v>Wales</v>
      </c>
    </row>
    <row r="134" spans="1:71" ht="13.8" x14ac:dyDescent="0.45">
      <c r="A134" s="2" t="str">
        <f ca="1">IFERROR(__xludf.DUMMYFUNCTION("""COMPUTED_VALUE"""),"Marseille")</f>
        <v>Marseille</v>
      </c>
      <c r="B134" s="2">
        <f ca="1">IFERROR(__xludf.DUMMYFUNCTION("""COMPUTED_VALUE"""),0.94)</f>
        <v>0.94</v>
      </c>
      <c r="C134" s="2" t="str">
        <f ca="1">IFERROR(__xludf.DUMMYFUNCTION("""COMPUTED_VALUE"""),"France")</f>
        <v>France</v>
      </c>
      <c r="D134" s="2"/>
      <c r="E134" s="2"/>
      <c r="F134" s="2"/>
      <c r="G134" s="2"/>
      <c r="H134" s="2"/>
      <c r="I134" s="2"/>
      <c r="J134" s="2" t="str">
        <f ca="1">IFERROR(__xludf.DUMMYFUNCTION("""COMPUTED_VALUE"""),"X")</f>
        <v>X</v>
      </c>
      <c r="K134" s="2"/>
      <c r="L134" s="2"/>
      <c r="M134" s="2"/>
      <c r="N134" s="2"/>
      <c r="O134" s="5">
        <f ca="1">IFERROR(__xludf.DUMMYFUNCTION("""COMPUTED_VALUE"""),0)</f>
        <v>0</v>
      </c>
      <c r="P134" s="2">
        <f ca="1">IFERROR(__xludf.DUMMYFUNCTION("""COMPUTED_VALUE"""),0)</f>
        <v>0</v>
      </c>
      <c r="Q134" s="2">
        <f ca="1">IFERROR(__xludf.DUMMYFUNCTION("""COMPUTED_VALUE"""),0)</f>
        <v>0</v>
      </c>
      <c r="R134" s="2">
        <f ca="1">IFERROR(__xludf.DUMMYFUNCTION("""COMPUTED_VALUE"""),0)</f>
        <v>0</v>
      </c>
      <c r="S134" s="2">
        <f ca="1">IFERROR(__xludf.DUMMYFUNCTION("""COMPUTED_VALUE"""),0)</f>
        <v>0</v>
      </c>
      <c r="T134" s="2">
        <f ca="1">IFERROR(__xludf.DUMMYFUNCTION("""COMPUTED_VALUE"""),0)</f>
        <v>0</v>
      </c>
      <c r="U134" s="2">
        <f ca="1">IFERROR(__xludf.DUMMYFUNCTION("""COMPUTED_VALUE"""),6.7075)</f>
        <v>6.7074999999999996</v>
      </c>
      <c r="V134" s="2">
        <f ca="1">IFERROR(__xludf.DUMMYFUNCTION("""COMPUTED_VALUE"""),0)</f>
        <v>0</v>
      </c>
      <c r="W134" s="2">
        <f ca="1">IFERROR(__xludf.DUMMYFUNCTION("""COMPUTED_VALUE"""),0)</f>
        <v>0</v>
      </c>
      <c r="X134" s="2">
        <f ca="1">IFERROR(__xludf.DUMMYFUNCTION("""COMPUTED_VALUE"""),0)</f>
        <v>0</v>
      </c>
      <c r="Y134" s="2">
        <f ca="1">IFERROR(__xludf.DUMMYFUNCTION("""COMPUTED_VALUE"""),0)</f>
        <v>0</v>
      </c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>
        <f ca="1">IFERROR(__xludf.DUMMYFUNCTION("""COMPUTED_VALUE"""),0)</f>
        <v>0</v>
      </c>
      <c r="AN134" s="2">
        <f ca="1">IFERROR(__xludf.DUMMYFUNCTION("""COMPUTED_VALUE"""),0)</f>
        <v>0</v>
      </c>
      <c r="AO134" s="2">
        <f ca="1">IFERROR(__xludf.DUMMYFUNCTION("""COMPUTED_VALUE"""),0)</f>
        <v>0</v>
      </c>
      <c r="AP134" s="2">
        <f ca="1">IFERROR(__xludf.DUMMYFUNCTION("""COMPUTED_VALUE"""),0)</f>
        <v>0</v>
      </c>
      <c r="AQ134" s="2">
        <f ca="1">IFERROR(__xludf.DUMMYFUNCTION("""COMPUTED_VALUE"""),0)</f>
        <v>0</v>
      </c>
      <c r="AR134" s="2">
        <f ca="1">IFERROR(__xludf.DUMMYFUNCTION("""COMPUTED_VALUE"""),0)</f>
        <v>0</v>
      </c>
      <c r="AS134" s="2">
        <f ca="1">IFERROR(__xludf.DUMMYFUNCTION("""COMPUTED_VALUE"""),0)</f>
        <v>0</v>
      </c>
      <c r="AT134" s="2">
        <f ca="1">IFERROR(__xludf.DUMMYFUNCTION("""COMPUTED_VALUE"""),0)</f>
        <v>0</v>
      </c>
      <c r="AU134" s="2">
        <f ca="1">IFERROR(__xludf.DUMMYFUNCTION("""COMPUTED_VALUE"""),0)</f>
        <v>0</v>
      </c>
      <c r="AV134" s="2">
        <f ca="1">IFERROR(__xludf.DUMMYFUNCTION("""COMPUTED_VALUE"""),0)</f>
        <v>0</v>
      </c>
      <c r="AW134" s="2">
        <f ca="1">IFERROR(__xludf.DUMMYFUNCTION("""COMPUTED_VALUE"""),0)</f>
        <v>0</v>
      </c>
      <c r="AY134" s="2">
        <f t="shared" ca="1" si="0"/>
        <v>6</v>
      </c>
      <c r="AZ134" s="2" t="e">
        <f ca="1">IF(NOT(COUNTA(D134:J134)), _xludf.IFS(AL134="W", 'Round Bonuses'!$F$14, AL134="X", 'Round Bonuses'!$F$13, AK134="X", 'Round Bonuses'!$F$12, AJ134="X", 'Round Bonuses'!$F$11, AI134="X", 'Round Bonuses'!$F$10, AH134="X", 'Round Bonuses'!$F$9, AG134="X", 'Round Bonuses'!$F$8, AF134="X", 'Round Bonuses'!$F$7, AE134="X", 'Round Bonuses'!$F$6, AD134="X", 'Round Bonuses'!$F$5, AC134="X", 'Round Bonuses'!$F$4, AB134="X", 'Round Bonuses'!$F$3, TRUE, 0), IF(AA134="X", _xludf.IFS(AD134="X", 'Round Bonuses'!$E$4, AF134="X",'Round Bonuses'!$E$6,TRUE, 'Round Bonuses'!$E$7), 0) +IF(AB134="X", 'Round Bonuses'!$E$3, 0)+IF(AC134="X",'Round Bonuses'!$E$4, 0)+IF(AD134="X", 'Round Bonuses'!$E$5, 0)+IF(AE134="X", 'Round Bonuses'!$E$6, 0)+IF(AF134="X", 'Round Bonuses'!$E$7, 0)+IF(AG134="X", 'Round Bonuses'!$E$8, 0)+_xludf.IFS(AL134="W", 'Round Bonuses'!$G$14, AL134="X", 'Round Bonuses'!$G$13, AK134="X", 'Round Bonuses'!$G$12, AJ134="X", 'Round Bonuses'!$G$11, AI134="X", 'Round Bonuses'!$G$10, AH134="X", 'Round Bonuses'!$G$9, TRUE, 0))+_xludf.IFS(N134="W", 'Round Bonuses'!$C$13, N134="X", 'Round Bonuses'!$C$12, M134="X", 'Round Bonuses'!$C$11, L134="X", 'Round Bonuses'!$C$10, K134="X", 'Round Bonuses'!$C$9, J134="X", 'Round Bonuses'!$C$8, I134="X", 'Round Bonuses'!$C$7, H134="X", 'Round Bonuses'!$C$6, G134="X", 'Round Bonuses'!$C$5, F134="X", 'Round Bonuses'!$C$4, E134="X", 'Round Bonuses'!$C$3, D134="X", 'Round Bonuses'!$C$3, TRUE, 0)</f>
        <v>#NAME?</v>
      </c>
      <c r="BA134" s="2">
        <f t="shared" ca="1" si="1"/>
        <v>6.7074999999999996</v>
      </c>
      <c r="BB134" s="10" t="e">
        <f t="shared" ca="1" si="2"/>
        <v>#NAME?</v>
      </c>
      <c r="BD134" s="11" t="str">
        <f t="shared" ca="1" si="3"/>
        <v>Marseille</v>
      </c>
      <c r="BE134" s="2" t="str">
        <f t="shared" ca="1" si="4"/>
        <v>France</v>
      </c>
      <c r="BF134" s="2" t="e">
        <f t="shared" ca="1" si="5"/>
        <v>#NAME?</v>
      </c>
      <c r="BG134" s="2">
        <f t="shared" ca="1" si="6"/>
        <v>6</v>
      </c>
      <c r="BH134" s="2" t="s">
        <v>195</v>
      </c>
      <c r="BI134" s="2" t="s">
        <v>173</v>
      </c>
      <c r="BJ134" s="7">
        <v>2.2850000000000001</v>
      </c>
      <c r="BK134" s="2">
        <v>2</v>
      </c>
      <c r="BL134" s="2">
        <f t="shared" si="10"/>
        <v>132</v>
      </c>
      <c r="BM134" s="2" t="str">
        <f t="shared" si="7"/>
        <v>Sfîntul Gheorghe</v>
      </c>
      <c r="BN134" s="7">
        <f t="shared" ref="BN134:BO134" si="141">BJ134</f>
        <v>2.2850000000000001</v>
      </c>
      <c r="BO134" s="2">
        <f t="shared" si="141"/>
        <v>2</v>
      </c>
      <c r="BS134" s="2" t="str">
        <f t="shared" si="9"/>
        <v>Moldova</v>
      </c>
    </row>
    <row r="135" spans="1:71" ht="13.8" x14ac:dyDescent="0.45">
      <c r="A135" s="2" t="str">
        <f ca="1">IFERROR(__xludf.DUMMYFUNCTION("""COMPUTED_VALUE"""),"Midtjylland")</f>
        <v>Midtjylland</v>
      </c>
      <c r="B135" s="2">
        <f ca="1">IFERROR(__xludf.DUMMYFUNCTION("""COMPUTED_VALUE"""),0.84)</f>
        <v>0.84</v>
      </c>
      <c r="C135" s="2" t="str">
        <f ca="1">IFERROR(__xludf.DUMMYFUNCTION("""COMPUTED_VALUE"""),"Denmark")</f>
        <v>Denmark</v>
      </c>
      <c r="D135" s="2"/>
      <c r="E135" s="2"/>
      <c r="F135" s="2"/>
      <c r="G135" s="2" t="str">
        <f ca="1">IFERROR(__xludf.DUMMYFUNCTION("""COMPUTED_VALUE"""),"X")</f>
        <v>X</v>
      </c>
      <c r="H135" s="2" t="str">
        <f ca="1">IFERROR(__xludf.DUMMYFUNCTION("""COMPUTED_VALUE"""),"X")</f>
        <v>X</v>
      </c>
      <c r="I135" s="2" t="str">
        <f ca="1">IFERROR(__xludf.DUMMYFUNCTION("""COMPUTED_VALUE"""),"X")</f>
        <v>X</v>
      </c>
      <c r="J135" s="2" t="str">
        <f ca="1">IFERROR(__xludf.DUMMYFUNCTION("""COMPUTED_VALUE"""),"X")</f>
        <v>X</v>
      </c>
      <c r="K135" s="2"/>
      <c r="L135" s="2"/>
      <c r="M135" s="2"/>
      <c r="N135" s="2"/>
      <c r="O135" s="5">
        <f ca="1">IFERROR(__xludf.DUMMYFUNCTION("""COMPUTED_VALUE"""),0)</f>
        <v>0</v>
      </c>
      <c r="P135" s="2">
        <f ca="1">IFERROR(__xludf.DUMMYFUNCTION("""COMPUTED_VALUE"""),0)</f>
        <v>0</v>
      </c>
      <c r="Q135" s="2">
        <f ca="1">IFERROR(__xludf.DUMMYFUNCTION("""COMPUTED_VALUE"""),0)</f>
        <v>0</v>
      </c>
      <c r="R135" s="2">
        <f ca="1">IFERROR(__xludf.DUMMYFUNCTION("""COMPUTED_VALUE"""),2.96999999999999)</f>
        <v>2.96999999999999</v>
      </c>
      <c r="S135" s="2">
        <f ca="1">IFERROR(__xludf.DUMMYFUNCTION("""COMPUTED_VALUE"""),3.63125)</f>
        <v>3.6312500000000001</v>
      </c>
      <c r="T135" s="2">
        <f ca="1">IFERROR(__xludf.DUMMYFUNCTION("""COMPUTED_VALUE"""),5.54625)</f>
        <v>5.5462499999999997</v>
      </c>
      <c r="U135" s="2">
        <f ca="1">IFERROR(__xludf.DUMMYFUNCTION("""COMPUTED_VALUE"""),6.445)</f>
        <v>6.4450000000000003</v>
      </c>
      <c r="V135" s="2">
        <f ca="1">IFERROR(__xludf.DUMMYFUNCTION("""COMPUTED_VALUE"""),0)</f>
        <v>0</v>
      </c>
      <c r="W135" s="2">
        <f ca="1">IFERROR(__xludf.DUMMYFUNCTION("""COMPUTED_VALUE"""),0)</f>
        <v>0</v>
      </c>
      <c r="X135" s="2">
        <f ca="1">IFERROR(__xludf.DUMMYFUNCTION("""COMPUTED_VALUE"""),0)</f>
        <v>0</v>
      </c>
      <c r="Y135" s="2">
        <f ca="1">IFERROR(__xludf.DUMMYFUNCTION("""COMPUTED_VALUE"""),0)</f>
        <v>0</v>
      </c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>
        <f ca="1">IFERROR(__xludf.DUMMYFUNCTION("""COMPUTED_VALUE"""),0)</f>
        <v>0</v>
      </c>
      <c r="AN135" s="2">
        <f ca="1">IFERROR(__xludf.DUMMYFUNCTION("""COMPUTED_VALUE"""),0)</f>
        <v>0</v>
      </c>
      <c r="AO135" s="2">
        <f ca="1">IFERROR(__xludf.DUMMYFUNCTION("""COMPUTED_VALUE"""),0)</f>
        <v>0</v>
      </c>
      <c r="AP135" s="2">
        <f ca="1">IFERROR(__xludf.DUMMYFUNCTION("""COMPUTED_VALUE"""),0)</f>
        <v>0</v>
      </c>
      <c r="AQ135" s="2">
        <f ca="1">IFERROR(__xludf.DUMMYFUNCTION("""COMPUTED_VALUE"""),0)</f>
        <v>0</v>
      </c>
      <c r="AR135" s="2">
        <f ca="1">IFERROR(__xludf.DUMMYFUNCTION("""COMPUTED_VALUE"""),0)</f>
        <v>0</v>
      </c>
      <c r="AS135" s="2">
        <f ca="1">IFERROR(__xludf.DUMMYFUNCTION("""COMPUTED_VALUE"""),0)</f>
        <v>0</v>
      </c>
      <c r="AT135" s="2">
        <f ca="1">IFERROR(__xludf.DUMMYFUNCTION("""COMPUTED_VALUE"""),0)</f>
        <v>0</v>
      </c>
      <c r="AU135" s="2">
        <f ca="1">IFERROR(__xludf.DUMMYFUNCTION("""COMPUTED_VALUE"""),0)</f>
        <v>0</v>
      </c>
      <c r="AV135" s="2">
        <f ca="1">IFERROR(__xludf.DUMMYFUNCTION("""COMPUTED_VALUE"""),0)</f>
        <v>0</v>
      </c>
      <c r="AW135" s="2">
        <f ca="1">IFERROR(__xludf.DUMMYFUNCTION("""COMPUTED_VALUE"""),0)</f>
        <v>0</v>
      </c>
      <c r="AY135" s="2">
        <f t="shared" ca="1" si="0"/>
        <v>10</v>
      </c>
      <c r="AZ135" s="2" t="e">
        <f ca="1">IF(NOT(COUNTA(D135:J135)), _xludf.IFS(AL135="W", 'Round Bonuses'!$F$14, AL135="X", 'Round Bonuses'!$F$13, AK135="X", 'Round Bonuses'!$F$12, AJ135="X", 'Round Bonuses'!$F$11, AI135="X", 'Round Bonuses'!$F$10, AH135="X", 'Round Bonuses'!$F$9, AG135="X", 'Round Bonuses'!$F$8, AF135="X", 'Round Bonuses'!$F$7, AE135="X", 'Round Bonuses'!$F$6, AD135="X", 'Round Bonuses'!$F$5, AC135="X", 'Round Bonuses'!$F$4, AB135="X", 'Round Bonuses'!$F$3, TRUE, 0), IF(AA135="X", _xludf.IFS(AD135="X", 'Round Bonuses'!$E$4, AF135="X",'Round Bonuses'!$E$6,TRUE, 'Round Bonuses'!$E$7), 0) +IF(AB135="X", 'Round Bonuses'!$E$3, 0)+IF(AC135="X",'Round Bonuses'!$E$4, 0)+IF(AD135="X", 'Round Bonuses'!$E$5, 0)+IF(AE135="X", 'Round Bonuses'!$E$6, 0)+IF(AF135="X", 'Round Bonuses'!$E$7, 0)+IF(AG135="X", 'Round Bonuses'!$E$8, 0)+_xludf.IFS(AL135="W", 'Round Bonuses'!$G$14, AL135="X", 'Round Bonuses'!$G$13, AK135="X", 'Round Bonuses'!$G$12, AJ135="X", 'Round Bonuses'!$G$11, AI135="X", 'Round Bonuses'!$G$10, AH135="X", 'Round Bonuses'!$G$9, TRUE, 0))+_xludf.IFS(N135="W", 'Round Bonuses'!$C$13, N135="X", 'Round Bonuses'!$C$12, M135="X", 'Round Bonuses'!$C$11, L135="X", 'Round Bonuses'!$C$10, K135="X", 'Round Bonuses'!$C$9, J135="X", 'Round Bonuses'!$C$8, I135="X", 'Round Bonuses'!$C$7, H135="X", 'Round Bonuses'!$C$6, G135="X", 'Round Bonuses'!$C$5, F135="X", 'Round Bonuses'!$C$4, E135="X", 'Round Bonuses'!$C$3, D135="X", 'Round Bonuses'!$C$3, TRUE, 0)</f>
        <v>#NAME?</v>
      </c>
      <c r="BA135" s="2">
        <f t="shared" ca="1" si="1"/>
        <v>18.59249999999999</v>
      </c>
      <c r="BB135" s="10" t="e">
        <f t="shared" ca="1" si="2"/>
        <v>#NAME?</v>
      </c>
      <c r="BD135" s="11" t="str">
        <f t="shared" ca="1" si="3"/>
        <v>Midtjylland</v>
      </c>
      <c r="BE135" s="2" t="str">
        <f t="shared" ca="1" si="4"/>
        <v>Denmark</v>
      </c>
      <c r="BF135" s="2" t="e">
        <f t="shared" ca="1" si="5"/>
        <v>#NAME?</v>
      </c>
      <c r="BG135" s="2">
        <f t="shared" ca="1" si="6"/>
        <v>10</v>
      </c>
      <c r="BH135" s="2" t="s">
        <v>196</v>
      </c>
      <c r="BI135" s="2" t="s">
        <v>76</v>
      </c>
      <c r="BJ135" s="7">
        <v>2.2837499999999995</v>
      </c>
      <c r="BK135" s="2">
        <v>2</v>
      </c>
      <c r="BL135" s="2">
        <f t="shared" si="10"/>
        <v>133</v>
      </c>
      <c r="BM135" s="2" t="str">
        <f t="shared" si="7"/>
        <v>TSC Bačka Topola</v>
      </c>
      <c r="BN135" s="7">
        <f t="shared" ref="BN135:BO135" si="142">BJ135</f>
        <v>2.2837499999999995</v>
      </c>
      <c r="BO135" s="2">
        <f t="shared" si="142"/>
        <v>2</v>
      </c>
      <c r="BS135" s="2" t="str">
        <f t="shared" si="9"/>
        <v>Serbia</v>
      </c>
    </row>
    <row r="136" spans="1:71" ht="13.8" x14ac:dyDescent="0.45">
      <c r="A136" s="2" t="str">
        <f ca="1">IFERROR(__xludf.DUMMYFUNCTION("""COMPUTED_VALUE"""),"Milan")</f>
        <v>Milan</v>
      </c>
      <c r="B136" s="2">
        <f ca="1">IFERROR(__xludf.DUMMYFUNCTION("""COMPUTED_VALUE"""),0.919999999999999)</f>
        <v>0.91999999999999904</v>
      </c>
      <c r="C136" s="2" t="str">
        <f ca="1">IFERROR(__xludf.DUMMYFUNCTION("""COMPUTED_VALUE"""),"Italy")</f>
        <v>Italy</v>
      </c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5">
        <f ca="1">IFERROR(__xludf.DUMMYFUNCTION("""COMPUTED_VALUE"""),0)</f>
        <v>0</v>
      </c>
      <c r="P136" s="2">
        <f ca="1">IFERROR(__xludf.DUMMYFUNCTION("""COMPUTED_VALUE"""),0)</f>
        <v>0</v>
      </c>
      <c r="Q136" s="2">
        <f ca="1">IFERROR(__xludf.DUMMYFUNCTION("""COMPUTED_VALUE"""),0)</f>
        <v>0</v>
      </c>
      <c r="R136" s="2">
        <f ca="1">IFERROR(__xludf.DUMMYFUNCTION("""COMPUTED_VALUE"""),0)</f>
        <v>0</v>
      </c>
      <c r="S136" s="2">
        <f ca="1">IFERROR(__xludf.DUMMYFUNCTION("""COMPUTED_VALUE"""),0)</f>
        <v>0</v>
      </c>
      <c r="T136" s="2">
        <f ca="1">IFERROR(__xludf.DUMMYFUNCTION("""COMPUTED_VALUE"""),0)</f>
        <v>0</v>
      </c>
      <c r="U136" s="2">
        <f ca="1">IFERROR(__xludf.DUMMYFUNCTION("""COMPUTED_VALUE"""),0)</f>
        <v>0</v>
      </c>
      <c r="V136" s="2">
        <f ca="1">IFERROR(__xludf.DUMMYFUNCTION("""COMPUTED_VALUE"""),0)</f>
        <v>0</v>
      </c>
      <c r="W136" s="2">
        <f ca="1">IFERROR(__xludf.DUMMYFUNCTION("""COMPUTED_VALUE"""),0)</f>
        <v>0</v>
      </c>
      <c r="X136" s="2">
        <f ca="1">IFERROR(__xludf.DUMMYFUNCTION("""COMPUTED_VALUE"""),0)</f>
        <v>0</v>
      </c>
      <c r="Y136" s="2">
        <f ca="1">IFERROR(__xludf.DUMMYFUNCTION("""COMPUTED_VALUE"""),0)</f>
        <v>0</v>
      </c>
      <c r="AB136" s="2"/>
      <c r="AC136" s="2"/>
      <c r="AD136" s="2" t="str">
        <f ca="1">IFERROR(__xludf.DUMMYFUNCTION("""COMPUTED_VALUE"""),"X")</f>
        <v>X</v>
      </c>
      <c r="AE136" s="2" t="str">
        <f ca="1">IFERROR(__xludf.DUMMYFUNCTION("""COMPUTED_VALUE"""),"X")</f>
        <v>X</v>
      </c>
      <c r="AF136" s="2" t="str">
        <f ca="1">IFERROR(__xludf.DUMMYFUNCTION("""COMPUTED_VALUE"""),"X")</f>
        <v>X</v>
      </c>
      <c r="AG136" s="2" t="str">
        <f ca="1">IFERROR(__xludf.DUMMYFUNCTION("""COMPUTED_VALUE"""),"X")</f>
        <v>X</v>
      </c>
      <c r="AH136" s="2" t="str">
        <f ca="1">IFERROR(__xludf.DUMMYFUNCTION("""COMPUTED_VALUE"""),"X")</f>
        <v>X</v>
      </c>
      <c r="AI136" s="2" t="str">
        <f ca="1">IFERROR(__xludf.DUMMYFUNCTION("""COMPUTED_VALUE"""),"X")</f>
        <v>X</v>
      </c>
      <c r="AJ136" s="2"/>
      <c r="AK136" s="2"/>
      <c r="AL136" s="2"/>
      <c r="AM136" s="2">
        <f ca="1">IFERROR(__xludf.DUMMYFUNCTION("""COMPUTED_VALUE"""),0)</f>
        <v>0</v>
      </c>
      <c r="AN136" s="2">
        <f ca="1">IFERROR(__xludf.DUMMYFUNCTION("""COMPUTED_VALUE"""),0)</f>
        <v>0</v>
      </c>
      <c r="AO136" s="2">
        <f ca="1">IFERROR(__xludf.DUMMYFUNCTION("""COMPUTED_VALUE"""),2.5925)</f>
        <v>2.5924999999999998</v>
      </c>
      <c r="AP136" s="2">
        <f ca="1">IFERROR(__xludf.DUMMYFUNCTION("""COMPUTED_VALUE"""),3.135)</f>
        <v>3.1349999999999998</v>
      </c>
      <c r="AQ136" s="2">
        <f ca="1">IFERROR(__xludf.DUMMYFUNCTION("""COMPUTED_VALUE"""),3.11499999999999)</f>
        <v>3.11499999999999</v>
      </c>
      <c r="AR136" s="2">
        <f ca="1">IFERROR(__xludf.DUMMYFUNCTION("""COMPUTED_VALUE"""),16.325)</f>
        <v>16.324999999999999</v>
      </c>
      <c r="AS136" s="2">
        <f ca="1">IFERROR(__xludf.DUMMYFUNCTION("""COMPUTED_VALUE"""),3.24)</f>
        <v>3.24</v>
      </c>
      <c r="AT136" s="2">
        <f ca="1">IFERROR(__xludf.DUMMYFUNCTION("""COMPUTED_VALUE"""),2.755)</f>
        <v>2.7549999999999999</v>
      </c>
      <c r="AU136" s="2">
        <f ca="1">IFERROR(__xludf.DUMMYFUNCTION("""COMPUTED_VALUE"""),0)</f>
        <v>0</v>
      </c>
      <c r="AV136" s="2">
        <f ca="1">IFERROR(__xludf.DUMMYFUNCTION("""COMPUTED_VALUE"""),0)</f>
        <v>0</v>
      </c>
      <c r="AW136" s="2">
        <f ca="1">IFERROR(__xludf.DUMMYFUNCTION("""COMPUTED_VALUE"""),0)</f>
        <v>0</v>
      </c>
      <c r="AY136" s="2">
        <f t="shared" ca="1" si="0"/>
        <v>13</v>
      </c>
      <c r="AZ136" s="2" t="e">
        <f ca="1">IF(NOT(COUNTA(D136:J136)), _xludf.IFS(AL136="W", 'Round Bonuses'!$F$14, AL136="X", 'Round Bonuses'!$F$13, AK136="X", 'Round Bonuses'!$F$12, AJ136="X", 'Round Bonuses'!$F$11, AI136="X", 'Round Bonuses'!$F$10, AH136="X", 'Round Bonuses'!$F$9, AG136="X", 'Round Bonuses'!$F$8, AF136="X", 'Round Bonuses'!$F$7, AE136="X", 'Round Bonuses'!$F$6, AD136="X", 'Round Bonuses'!$F$5, AC136="X", 'Round Bonuses'!$F$4, AB136="X", 'Round Bonuses'!$F$3, TRUE, 0), IF(AA136="X", _xludf.IFS(AD136="X", 'Round Bonuses'!$E$4, AF136="X",'Round Bonuses'!$E$6,TRUE, 'Round Bonuses'!$E$7), 0) +IF(AB136="X", 'Round Bonuses'!$E$3, 0)+IF(AC136="X",'Round Bonuses'!$E$4, 0)+IF(AD136="X", 'Round Bonuses'!$E$5, 0)+IF(AE136="X", 'Round Bonuses'!$E$6, 0)+IF(AF136="X", 'Round Bonuses'!$E$7, 0)+IF(AG136="X", 'Round Bonuses'!$E$8, 0)+_xludf.IFS(AL136="W", 'Round Bonuses'!$G$14, AL136="X", 'Round Bonuses'!$G$13, AK136="X", 'Round Bonuses'!$G$12, AJ136="X", 'Round Bonuses'!$G$11, AI136="X", 'Round Bonuses'!$G$10, AH136="X", 'Round Bonuses'!$G$9, TRUE, 0))+_xludf.IFS(N136="W", 'Round Bonuses'!$C$13, N136="X", 'Round Bonuses'!$C$12, M136="X", 'Round Bonuses'!$C$11, L136="X", 'Round Bonuses'!$C$10, K136="X", 'Round Bonuses'!$C$9, J136="X", 'Round Bonuses'!$C$8, I136="X", 'Round Bonuses'!$C$7, H136="X", 'Round Bonuses'!$C$6, G136="X", 'Round Bonuses'!$C$5, F136="X", 'Round Bonuses'!$C$4, E136="X", 'Round Bonuses'!$C$3, D136="X", 'Round Bonuses'!$C$3, TRUE, 0)</f>
        <v>#NAME?</v>
      </c>
      <c r="BA136" s="2">
        <f t="shared" ca="1" si="1"/>
        <v>31.162499999999991</v>
      </c>
      <c r="BB136" s="10" t="e">
        <f t="shared" ca="1" si="2"/>
        <v>#NAME?</v>
      </c>
      <c r="BD136" s="11" t="str">
        <f t="shared" ca="1" si="3"/>
        <v>Milan</v>
      </c>
      <c r="BE136" s="2" t="str">
        <f t="shared" ca="1" si="4"/>
        <v>Italy</v>
      </c>
      <c r="BF136" s="2" t="e">
        <f t="shared" ca="1" si="5"/>
        <v>#NAME?</v>
      </c>
      <c r="BG136" s="2">
        <f t="shared" ca="1" si="6"/>
        <v>13</v>
      </c>
      <c r="BH136" s="2" t="s">
        <v>197</v>
      </c>
      <c r="BI136" s="2" t="s">
        <v>198</v>
      </c>
      <c r="BJ136" s="7">
        <v>2.2308333333333334</v>
      </c>
      <c r="BK136" s="2">
        <v>3</v>
      </c>
      <c r="BL136" s="2">
        <f t="shared" si="10"/>
        <v>134</v>
      </c>
      <c r="BM136" s="2" t="str">
        <f t="shared" si="7"/>
        <v>Coleraine</v>
      </c>
      <c r="BN136" s="7">
        <f t="shared" ref="BN136:BO136" si="143">BJ136</f>
        <v>2.2308333333333334</v>
      </c>
      <c r="BO136" s="2">
        <f t="shared" si="143"/>
        <v>3</v>
      </c>
      <c r="BS136" s="2" t="str">
        <f t="shared" si="9"/>
        <v>Northern Ireland</v>
      </c>
    </row>
    <row r="137" spans="1:71" ht="13.8" x14ac:dyDescent="0.45">
      <c r="A137" s="2" t="str">
        <f ca="1">IFERROR(__xludf.DUMMYFUNCTION("""COMPUTED_VALUE"""),"Molde")</f>
        <v>Molde</v>
      </c>
      <c r="B137" s="2">
        <f ca="1">IFERROR(__xludf.DUMMYFUNCTION("""COMPUTED_VALUE"""),0.77)</f>
        <v>0.77</v>
      </c>
      <c r="C137" s="2" t="str">
        <f ca="1">IFERROR(__xludf.DUMMYFUNCTION("""COMPUTED_VALUE"""),"Norway")</f>
        <v>Norway</v>
      </c>
      <c r="D137" s="2"/>
      <c r="E137" s="2"/>
      <c r="F137" s="2" t="str">
        <f ca="1">IFERROR(__xludf.DUMMYFUNCTION("""COMPUTED_VALUE"""),"X")</f>
        <v>X</v>
      </c>
      <c r="G137" s="2" t="str">
        <f ca="1">IFERROR(__xludf.DUMMYFUNCTION("""COMPUTED_VALUE"""),"X")</f>
        <v>X</v>
      </c>
      <c r="H137" s="2" t="str">
        <f ca="1">IFERROR(__xludf.DUMMYFUNCTION("""COMPUTED_VALUE"""),"X")</f>
        <v>X</v>
      </c>
      <c r="I137" s="2" t="str">
        <f ca="1">IFERROR(__xludf.DUMMYFUNCTION("""COMPUTED_VALUE"""),"X")</f>
        <v>X</v>
      </c>
      <c r="J137" s="2"/>
      <c r="K137" s="2"/>
      <c r="L137" s="2"/>
      <c r="M137" s="2"/>
      <c r="N137" s="2"/>
      <c r="O137" s="5">
        <f ca="1">IFERROR(__xludf.DUMMYFUNCTION("""COMPUTED_VALUE"""),0)</f>
        <v>0</v>
      </c>
      <c r="P137" s="2">
        <f ca="1">IFERROR(__xludf.DUMMYFUNCTION("""COMPUTED_VALUE"""),0)</f>
        <v>0</v>
      </c>
      <c r="Q137" s="2">
        <f ca="1">IFERROR(__xludf.DUMMYFUNCTION("""COMPUTED_VALUE"""),2.8675)</f>
        <v>2.8675000000000002</v>
      </c>
      <c r="R137" s="2">
        <f ca="1">IFERROR(__xludf.DUMMYFUNCTION("""COMPUTED_VALUE"""),2.84625)</f>
        <v>2.8462499999999999</v>
      </c>
      <c r="S137" s="2">
        <f ca="1">IFERROR(__xludf.DUMMYFUNCTION("""COMPUTED_VALUE"""),2.59)</f>
        <v>2.59</v>
      </c>
      <c r="T137" s="2">
        <f ca="1">IFERROR(__xludf.DUMMYFUNCTION("""COMPUTED_VALUE"""),2.67999999999999)</f>
        <v>2.6799999999999899</v>
      </c>
      <c r="U137" s="2">
        <f ca="1">IFERROR(__xludf.DUMMYFUNCTION("""COMPUTED_VALUE"""),0)</f>
        <v>0</v>
      </c>
      <c r="V137" s="2">
        <f ca="1">IFERROR(__xludf.DUMMYFUNCTION("""COMPUTED_VALUE"""),0)</f>
        <v>0</v>
      </c>
      <c r="W137" s="2">
        <f ca="1">IFERROR(__xludf.DUMMYFUNCTION("""COMPUTED_VALUE"""),0)</f>
        <v>0</v>
      </c>
      <c r="X137" s="2">
        <f ca="1">IFERROR(__xludf.DUMMYFUNCTION("""COMPUTED_VALUE"""),0)</f>
        <v>0</v>
      </c>
      <c r="Y137" s="2">
        <f ca="1">IFERROR(__xludf.DUMMYFUNCTION("""COMPUTED_VALUE"""),0)</f>
        <v>0</v>
      </c>
      <c r="AB137" s="2"/>
      <c r="AC137" s="2"/>
      <c r="AD137" s="2"/>
      <c r="AE137" s="2"/>
      <c r="AF137" s="2"/>
      <c r="AG137" s="2" t="str">
        <f ca="1">IFERROR(__xludf.DUMMYFUNCTION("""COMPUTED_VALUE"""),"X")</f>
        <v>X</v>
      </c>
      <c r="AH137" s="2" t="str">
        <f ca="1">IFERROR(__xludf.DUMMYFUNCTION("""COMPUTED_VALUE"""),"X")</f>
        <v>X</v>
      </c>
      <c r="AI137" s="2" t="str">
        <f ca="1">IFERROR(__xludf.DUMMYFUNCTION("""COMPUTED_VALUE"""),"X")</f>
        <v>X</v>
      </c>
      <c r="AJ137" s="2"/>
      <c r="AK137" s="2"/>
      <c r="AL137" s="2"/>
      <c r="AM137" s="2">
        <f ca="1">IFERROR(__xludf.DUMMYFUNCTION("""COMPUTED_VALUE"""),0)</f>
        <v>0</v>
      </c>
      <c r="AN137" s="2">
        <f ca="1">IFERROR(__xludf.DUMMYFUNCTION("""COMPUTED_VALUE"""),0)</f>
        <v>0</v>
      </c>
      <c r="AO137" s="2">
        <f ca="1">IFERROR(__xludf.DUMMYFUNCTION("""COMPUTED_VALUE"""),0)</f>
        <v>0</v>
      </c>
      <c r="AP137" s="2">
        <f ca="1">IFERROR(__xludf.DUMMYFUNCTION("""COMPUTED_VALUE"""),0)</f>
        <v>0</v>
      </c>
      <c r="AQ137" s="2">
        <f ca="1">IFERROR(__xludf.DUMMYFUNCTION("""COMPUTED_VALUE"""),0)</f>
        <v>0</v>
      </c>
      <c r="AR137" s="2">
        <f ca="1">IFERROR(__xludf.DUMMYFUNCTION("""COMPUTED_VALUE"""),11.715)</f>
        <v>11.715</v>
      </c>
      <c r="AS137" s="2">
        <f ca="1">IFERROR(__xludf.DUMMYFUNCTION("""COMPUTED_VALUE"""),5.6875)</f>
        <v>5.6875</v>
      </c>
      <c r="AT137" s="2">
        <f ca="1">IFERROR(__xludf.DUMMYFUNCTION("""COMPUTED_VALUE"""),4.51624999999999)</f>
        <v>4.5162499999999897</v>
      </c>
      <c r="AU137" s="2">
        <f ca="1">IFERROR(__xludf.DUMMYFUNCTION("""COMPUTED_VALUE"""),0)</f>
        <v>0</v>
      </c>
      <c r="AV137" s="2">
        <f ca="1">IFERROR(__xludf.DUMMYFUNCTION("""COMPUTED_VALUE"""),0)</f>
        <v>0</v>
      </c>
      <c r="AW137" s="2">
        <f ca="1">IFERROR(__xludf.DUMMYFUNCTION("""COMPUTED_VALUE"""),0)</f>
        <v>0</v>
      </c>
      <c r="AY137" s="2">
        <f t="shared" ca="1" si="0"/>
        <v>15</v>
      </c>
      <c r="AZ137" s="2" t="e">
        <f ca="1">IF(NOT(COUNTA(D137:J137)), _xludf.IFS(AL137="W", 'Round Bonuses'!$F$14, AL137="X", 'Round Bonuses'!$F$13, AK137="X", 'Round Bonuses'!$F$12, AJ137="X", 'Round Bonuses'!$F$11, AI137="X", 'Round Bonuses'!$F$10, AH137="X", 'Round Bonuses'!$F$9, AG137="X", 'Round Bonuses'!$F$8, AF137="X", 'Round Bonuses'!$F$7, AE137="X", 'Round Bonuses'!$F$6, AD137="X", 'Round Bonuses'!$F$5, AC137="X", 'Round Bonuses'!$F$4, AB137="X", 'Round Bonuses'!$F$3, TRUE, 0), IF(AA137="X", _xludf.IFS(AD137="X", 'Round Bonuses'!$E$4, AF137="X",'Round Bonuses'!$E$6,TRUE, 'Round Bonuses'!$E$7), 0) +IF(AB137="X", 'Round Bonuses'!$E$3, 0)+IF(AC137="X",'Round Bonuses'!$E$4, 0)+IF(AD137="X", 'Round Bonuses'!$E$5, 0)+IF(AE137="X", 'Round Bonuses'!$E$6, 0)+IF(AF137="X", 'Round Bonuses'!$E$7, 0)+IF(AG137="X", 'Round Bonuses'!$E$8, 0)+_xludf.IFS(AL137="W", 'Round Bonuses'!$G$14, AL137="X", 'Round Bonuses'!$G$13, AK137="X", 'Round Bonuses'!$G$12, AJ137="X", 'Round Bonuses'!$G$11, AI137="X", 'Round Bonuses'!$G$10, AH137="X", 'Round Bonuses'!$G$9, TRUE, 0))+_xludf.IFS(N137="W", 'Round Bonuses'!$C$13, N137="X", 'Round Bonuses'!$C$12, M137="X", 'Round Bonuses'!$C$11, L137="X", 'Round Bonuses'!$C$10, K137="X", 'Round Bonuses'!$C$9, J137="X", 'Round Bonuses'!$C$8, I137="X", 'Round Bonuses'!$C$7, H137="X", 'Round Bonuses'!$C$6, G137="X", 'Round Bonuses'!$C$5, F137="X", 'Round Bonuses'!$C$4, E137="X", 'Round Bonuses'!$C$3, D137="X", 'Round Bonuses'!$C$3, TRUE, 0)</f>
        <v>#NAME?</v>
      </c>
      <c r="BA137" s="2">
        <f t="shared" ca="1" si="1"/>
        <v>32.902499999999975</v>
      </c>
      <c r="BB137" s="10" t="e">
        <f t="shared" ca="1" si="2"/>
        <v>#NAME?</v>
      </c>
      <c r="BD137" s="11" t="str">
        <f t="shared" ca="1" si="3"/>
        <v>Molde</v>
      </c>
      <c r="BE137" s="2" t="str">
        <f t="shared" ca="1" si="4"/>
        <v>Norway</v>
      </c>
      <c r="BF137" s="2" t="e">
        <f t="shared" ca="1" si="5"/>
        <v>#NAME?</v>
      </c>
      <c r="BG137" s="2">
        <f t="shared" ca="1" si="6"/>
        <v>15</v>
      </c>
      <c r="BH137" s="2" t="s">
        <v>199</v>
      </c>
      <c r="BI137" s="2" t="s">
        <v>148</v>
      </c>
      <c r="BJ137" s="7">
        <v>2.223125</v>
      </c>
      <c r="BK137" s="2">
        <v>2</v>
      </c>
      <c r="BL137" s="2">
        <f t="shared" si="10"/>
        <v>135</v>
      </c>
      <c r="BM137" s="2" t="str">
        <f t="shared" si="7"/>
        <v>Kukësi</v>
      </c>
      <c r="BN137" s="7">
        <f t="shared" ref="BN137:BO137" si="144">BJ137</f>
        <v>2.223125</v>
      </c>
      <c r="BO137" s="2">
        <f t="shared" si="144"/>
        <v>2</v>
      </c>
      <c r="BS137" s="2" t="str">
        <f t="shared" si="9"/>
        <v>Albania</v>
      </c>
    </row>
    <row r="138" spans="1:71" ht="13.8" x14ac:dyDescent="0.45">
      <c r="A138" s="2" t="str">
        <f ca="1">IFERROR(__xludf.DUMMYFUNCTION("""COMPUTED_VALUE"""),"Motherwell")</f>
        <v>Motherwell</v>
      </c>
      <c r="B138" s="2">
        <f ca="1">IFERROR(__xludf.DUMMYFUNCTION("""COMPUTED_VALUE"""),0.78)</f>
        <v>0.78</v>
      </c>
      <c r="C138" s="2" t="str">
        <f ca="1">IFERROR(__xludf.DUMMYFUNCTION("""COMPUTED_VALUE"""),"Scotland")</f>
        <v>Scotland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5">
        <f ca="1">IFERROR(__xludf.DUMMYFUNCTION("""COMPUTED_VALUE"""),0)</f>
        <v>0</v>
      </c>
      <c r="P138" s="2">
        <f ca="1">IFERROR(__xludf.DUMMYFUNCTION("""COMPUTED_VALUE"""),0)</f>
        <v>0</v>
      </c>
      <c r="Q138" s="2">
        <f ca="1">IFERROR(__xludf.DUMMYFUNCTION("""COMPUTED_VALUE"""),0)</f>
        <v>0</v>
      </c>
      <c r="R138" s="2">
        <f ca="1">IFERROR(__xludf.DUMMYFUNCTION("""COMPUTED_VALUE"""),0)</f>
        <v>0</v>
      </c>
      <c r="S138" s="2">
        <f ca="1">IFERROR(__xludf.DUMMYFUNCTION("""COMPUTED_VALUE"""),0)</f>
        <v>0</v>
      </c>
      <c r="T138" s="2">
        <f ca="1">IFERROR(__xludf.DUMMYFUNCTION("""COMPUTED_VALUE"""),0)</f>
        <v>0</v>
      </c>
      <c r="U138" s="2">
        <f ca="1">IFERROR(__xludf.DUMMYFUNCTION("""COMPUTED_VALUE"""),0)</f>
        <v>0</v>
      </c>
      <c r="V138" s="2">
        <f ca="1">IFERROR(__xludf.DUMMYFUNCTION("""COMPUTED_VALUE"""),0)</f>
        <v>0</v>
      </c>
      <c r="W138" s="2">
        <f ca="1">IFERROR(__xludf.DUMMYFUNCTION("""COMPUTED_VALUE"""),0)</f>
        <v>0</v>
      </c>
      <c r="X138" s="2">
        <f ca="1">IFERROR(__xludf.DUMMYFUNCTION("""COMPUTED_VALUE"""),0)</f>
        <v>0</v>
      </c>
      <c r="Y138" s="2">
        <f ca="1">IFERROR(__xludf.DUMMYFUNCTION("""COMPUTED_VALUE"""),0)</f>
        <v>0</v>
      </c>
      <c r="AB138" s="2"/>
      <c r="AC138" s="2" t="str">
        <f ca="1">IFERROR(__xludf.DUMMYFUNCTION("""COMPUTED_VALUE"""),"X")</f>
        <v>X</v>
      </c>
      <c r="AD138" s="2" t="str">
        <f ca="1">IFERROR(__xludf.DUMMYFUNCTION("""COMPUTED_VALUE"""),"X")</f>
        <v>X</v>
      </c>
      <c r="AE138" s="2" t="str">
        <f ca="1">IFERROR(__xludf.DUMMYFUNCTION("""COMPUTED_VALUE"""),"X")</f>
        <v>X</v>
      </c>
      <c r="AF138" s="2"/>
      <c r="AG138" s="2"/>
      <c r="AH138" s="2"/>
      <c r="AI138" s="2"/>
      <c r="AJ138" s="2"/>
      <c r="AK138" s="2"/>
      <c r="AL138" s="2"/>
      <c r="AM138" s="2">
        <f ca="1">IFERROR(__xludf.DUMMYFUNCTION("""COMPUTED_VALUE"""),0)</f>
        <v>0</v>
      </c>
      <c r="AN138" s="2">
        <f ca="1">IFERROR(__xludf.DUMMYFUNCTION("""COMPUTED_VALUE"""),2.115)</f>
        <v>2.1150000000000002</v>
      </c>
      <c r="AO138" s="2">
        <f ca="1">IFERROR(__xludf.DUMMYFUNCTION("""COMPUTED_VALUE"""),1.64499999999999)</f>
        <v>1.64499999999999</v>
      </c>
      <c r="AP138" s="2">
        <f ca="1">IFERROR(__xludf.DUMMYFUNCTION("""COMPUTED_VALUE"""),0.334999999999999)</f>
        <v>0.33499999999999902</v>
      </c>
      <c r="AQ138" s="2">
        <f ca="1">IFERROR(__xludf.DUMMYFUNCTION("""COMPUTED_VALUE"""),0)</f>
        <v>0</v>
      </c>
      <c r="AR138" s="2">
        <f ca="1">IFERROR(__xludf.DUMMYFUNCTION("""COMPUTED_VALUE"""),0)</f>
        <v>0</v>
      </c>
      <c r="AS138" s="2">
        <f ca="1">IFERROR(__xludf.DUMMYFUNCTION("""COMPUTED_VALUE"""),0)</f>
        <v>0</v>
      </c>
      <c r="AT138" s="2">
        <f ca="1">IFERROR(__xludf.DUMMYFUNCTION("""COMPUTED_VALUE"""),0)</f>
        <v>0</v>
      </c>
      <c r="AU138" s="2">
        <f ca="1">IFERROR(__xludf.DUMMYFUNCTION("""COMPUTED_VALUE"""),0)</f>
        <v>0</v>
      </c>
      <c r="AV138" s="2">
        <f ca="1">IFERROR(__xludf.DUMMYFUNCTION("""COMPUTED_VALUE"""),0)</f>
        <v>0</v>
      </c>
      <c r="AW138" s="2">
        <f ca="1">IFERROR(__xludf.DUMMYFUNCTION("""COMPUTED_VALUE"""),0)</f>
        <v>0</v>
      </c>
      <c r="AY138" s="2">
        <f t="shared" ca="1" si="0"/>
        <v>3</v>
      </c>
      <c r="AZ138" s="2" t="e">
        <f ca="1">IF(NOT(COUNTA(D138:J138)), _xludf.IFS(AL138="W", 'Round Bonuses'!$F$14, AL138="X", 'Round Bonuses'!$F$13, AK138="X", 'Round Bonuses'!$F$12, AJ138="X", 'Round Bonuses'!$F$11, AI138="X", 'Round Bonuses'!$F$10, AH138="X", 'Round Bonuses'!$F$9, AG138="X", 'Round Bonuses'!$F$8, AF138="X", 'Round Bonuses'!$F$7, AE138="X", 'Round Bonuses'!$F$6, AD138="X", 'Round Bonuses'!$F$5, AC138="X", 'Round Bonuses'!$F$4, AB138="X", 'Round Bonuses'!$F$3, TRUE, 0), IF(AA138="X", _xludf.IFS(AD138="X", 'Round Bonuses'!$E$4, AF138="X",'Round Bonuses'!$E$6,TRUE, 'Round Bonuses'!$E$7), 0) +IF(AB138="X", 'Round Bonuses'!$E$3, 0)+IF(AC138="X",'Round Bonuses'!$E$4, 0)+IF(AD138="X", 'Round Bonuses'!$E$5, 0)+IF(AE138="X", 'Round Bonuses'!$E$6, 0)+IF(AF138="X", 'Round Bonuses'!$E$7, 0)+IF(AG138="X", 'Round Bonuses'!$E$8, 0)+_xludf.IFS(AL138="W", 'Round Bonuses'!$G$14, AL138="X", 'Round Bonuses'!$G$13, AK138="X", 'Round Bonuses'!$G$12, AJ138="X", 'Round Bonuses'!$G$11, AI138="X", 'Round Bonuses'!$G$10, AH138="X", 'Round Bonuses'!$G$9, TRUE, 0))+_xludf.IFS(N138="W", 'Round Bonuses'!$C$13, N138="X", 'Round Bonuses'!$C$12, M138="X", 'Round Bonuses'!$C$11, L138="X", 'Round Bonuses'!$C$10, K138="X", 'Round Bonuses'!$C$9, J138="X", 'Round Bonuses'!$C$8, I138="X", 'Round Bonuses'!$C$7, H138="X", 'Round Bonuses'!$C$6, G138="X", 'Round Bonuses'!$C$5, F138="X", 'Round Bonuses'!$C$4, E138="X", 'Round Bonuses'!$C$3, D138="X", 'Round Bonuses'!$C$3, TRUE, 0)</f>
        <v>#NAME?</v>
      </c>
      <c r="BA138" s="2">
        <f t="shared" ca="1" si="1"/>
        <v>4.0949999999999891</v>
      </c>
      <c r="BB138" s="10" t="e">
        <f t="shared" ca="1" si="2"/>
        <v>#NAME?</v>
      </c>
      <c r="BD138" s="11" t="str">
        <f t="shared" ca="1" si="3"/>
        <v>Motherwell</v>
      </c>
      <c r="BE138" s="2" t="str">
        <f t="shared" ca="1" si="4"/>
        <v>Scotland</v>
      </c>
      <c r="BF138" s="2" t="e">
        <f t="shared" ca="1" si="5"/>
        <v>#NAME?</v>
      </c>
      <c r="BG138" s="2">
        <f t="shared" ca="1" si="6"/>
        <v>3</v>
      </c>
      <c r="BH138" s="2" t="s">
        <v>200</v>
      </c>
      <c r="BI138" s="2" t="s">
        <v>126</v>
      </c>
      <c r="BJ138" s="7">
        <v>2.2043749999999998</v>
      </c>
      <c r="BK138" s="2">
        <v>2</v>
      </c>
      <c r="BL138" s="2">
        <f t="shared" si="10"/>
        <v>136</v>
      </c>
      <c r="BM138" s="2" t="str">
        <f t="shared" si="7"/>
        <v>Hammarby IF</v>
      </c>
      <c r="BN138" s="7">
        <f t="shared" ref="BN138:BO138" si="145">BJ138</f>
        <v>2.2043749999999998</v>
      </c>
      <c r="BO138" s="2">
        <f t="shared" si="145"/>
        <v>2</v>
      </c>
      <c r="BS138" s="2" t="str">
        <f t="shared" si="9"/>
        <v>Sweden</v>
      </c>
    </row>
    <row r="139" spans="1:71" ht="13.8" x14ac:dyDescent="0.45">
      <c r="A139" s="2" t="str">
        <f ca="1">IFERROR(__xludf.DUMMYFUNCTION("""COMPUTED_VALUE"""),"Mura")</f>
        <v>Mura</v>
      </c>
      <c r="B139" s="2">
        <f ca="1">IFERROR(__xludf.DUMMYFUNCTION("""COMPUTED_VALUE"""),0.669999999999999)</f>
        <v>0.66999999999999904</v>
      </c>
      <c r="C139" s="2" t="str">
        <f ca="1">IFERROR(__xludf.DUMMYFUNCTION("""COMPUTED_VALUE"""),"Slovenia")</f>
        <v>Slovenia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5">
        <f ca="1">IFERROR(__xludf.DUMMYFUNCTION("""COMPUTED_VALUE"""),0)</f>
        <v>0</v>
      </c>
      <c r="P139" s="2">
        <f ca="1">IFERROR(__xludf.DUMMYFUNCTION("""COMPUTED_VALUE"""),0)</f>
        <v>0</v>
      </c>
      <c r="Q139" s="2">
        <f ca="1">IFERROR(__xludf.DUMMYFUNCTION("""COMPUTED_VALUE"""),0)</f>
        <v>0</v>
      </c>
      <c r="R139" s="2">
        <f ca="1">IFERROR(__xludf.DUMMYFUNCTION("""COMPUTED_VALUE"""),0)</f>
        <v>0</v>
      </c>
      <c r="S139" s="2">
        <f ca="1">IFERROR(__xludf.DUMMYFUNCTION("""COMPUTED_VALUE"""),0)</f>
        <v>0</v>
      </c>
      <c r="T139" s="2">
        <f ca="1">IFERROR(__xludf.DUMMYFUNCTION("""COMPUTED_VALUE"""),0)</f>
        <v>0</v>
      </c>
      <c r="U139" s="2">
        <f ca="1">IFERROR(__xludf.DUMMYFUNCTION("""COMPUTED_VALUE"""),0)</f>
        <v>0</v>
      </c>
      <c r="V139" s="2">
        <f ca="1">IFERROR(__xludf.DUMMYFUNCTION("""COMPUTED_VALUE"""),0)</f>
        <v>0</v>
      </c>
      <c r="W139" s="2">
        <f ca="1">IFERROR(__xludf.DUMMYFUNCTION("""COMPUTED_VALUE"""),0)</f>
        <v>0</v>
      </c>
      <c r="X139" s="2">
        <f ca="1">IFERROR(__xludf.DUMMYFUNCTION("""COMPUTED_VALUE"""),0)</f>
        <v>0</v>
      </c>
      <c r="Y139" s="2">
        <f ca="1">IFERROR(__xludf.DUMMYFUNCTION("""COMPUTED_VALUE"""),0)</f>
        <v>0</v>
      </c>
      <c r="AB139" s="2"/>
      <c r="AC139" s="2" t="str">
        <f ca="1">IFERROR(__xludf.DUMMYFUNCTION("""COMPUTED_VALUE"""),"X")</f>
        <v>X</v>
      </c>
      <c r="AD139" s="2" t="str">
        <f ca="1">IFERROR(__xludf.DUMMYFUNCTION("""COMPUTED_VALUE"""),"X")</f>
        <v>X</v>
      </c>
      <c r="AE139" s="2" t="str">
        <f ca="1">IFERROR(__xludf.DUMMYFUNCTION("""COMPUTED_VALUE"""),"X")</f>
        <v>X</v>
      </c>
      <c r="AF139" s="2"/>
      <c r="AG139" s="2"/>
      <c r="AH139" s="2"/>
      <c r="AI139" s="2"/>
      <c r="AJ139" s="2"/>
      <c r="AK139" s="2"/>
      <c r="AL139" s="2"/>
      <c r="AM139" s="2">
        <f ca="1">IFERROR(__xludf.DUMMYFUNCTION("""COMPUTED_VALUE"""),0)</f>
        <v>0</v>
      </c>
      <c r="AN139" s="2">
        <f ca="1">IFERROR(__xludf.DUMMYFUNCTION("""COMPUTED_VALUE"""),2.34)</f>
        <v>2.34</v>
      </c>
      <c r="AO139" s="2">
        <f ca="1">IFERROR(__xludf.DUMMYFUNCTION("""COMPUTED_VALUE"""),3.54374999999999)</f>
        <v>3.54374999999999</v>
      </c>
      <c r="AP139" s="2">
        <f ca="1">IFERROR(__xludf.DUMMYFUNCTION("""COMPUTED_VALUE"""),0.36)</f>
        <v>0.36</v>
      </c>
      <c r="AQ139" s="2">
        <f ca="1">IFERROR(__xludf.DUMMYFUNCTION("""COMPUTED_VALUE"""),0)</f>
        <v>0</v>
      </c>
      <c r="AR139" s="2">
        <f ca="1">IFERROR(__xludf.DUMMYFUNCTION("""COMPUTED_VALUE"""),0)</f>
        <v>0</v>
      </c>
      <c r="AS139" s="2">
        <f ca="1">IFERROR(__xludf.DUMMYFUNCTION("""COMPUTED_VALUE"""),0)</f>
        <v>0</v>
      </c>
      <c r="AT139" s="2">
        <f ca="1">IFERROR(__xludf.DUMMYFUNCTION("""COMPUTED_VALUE"""),0)</f>
        <v>0</v>
      </c>
      <c r="AU139" s="2">
        <f ca="1">IFERROR(__xludf.DUMMYFUNCTION("""COMPUTED_VALUE"""),0)</f>
        <v>0</v>
      </c>
      <c r="AV139" s="2">
        <f ca="1">IFERROR(__xludf.DUMMYFUNCTION("""COMPUTED_VALUE"""),0)</f>
        <v>0</v>
      </c>
      <c r="AW139" s="2">
        <f ca="1">IFERROR(__xludf.DUMMYFUNCTION("""COMPUTED_VALUE"""),0)</f>
        <v>0</v>
      </c>
      <c r="AY139" s="2">
        <f t="shared" ca="1" si="0"/>
        <v>3</v>
      </c>
      <c r="AZ139" s="2" t="e">
        <f ca="1">IF(NOT(COUNTA(D139:J139)), _xludf.IFS(AL139="W", 'Round Bonuses'!$F$14, AL139="X", 'Round Bonuses'!$F$13, AK139="X", 'Round Bonuses'!$F$12, AJ139="X", 'Round Bonuses'!$F$11, AI139="X", 'Round Bonuses'!$F$10, AH139="X", 'Round Bonuses'!$F$9, AG139="X", 'Round Bonuses'!$F$8, AF139="X", 'Round Bonuses'!$F$7, AE139="X", 'Round Bonuses'!$F$6, AD139="X", 'Round Bonuses'!$F$5, AC139="X", 'Round Bonuses'!$F$4, AB139="X", 'Round Bonuses'!$F$3, TRUE, 0), IF(AA139="X", _xludf.IFS(AD139="X", 'Round Bonuses'!$E$4, AF139="X",'Round Bonuses'!$E$6,TRUE, 'Round Bonuses'!$E$7), 0) +IF(AB139="X", 'Round Bonuses'!$E$3, 0)+IF(AC139="X",'Round Bonuses'!$E$4, 0)+IF(AD139="X", 'Round Bonuses'!$E$5, 0)+IF(AE139="X", 'Round Bonuses'!$E$6, 0)+IF(AF139="X", 'Round Bonuses'!$E$7, 0)+IF(AG139="X", 'Round Bonuses'!$E$8, 0)+_xludf.IFS(AL139="W", 'Round Bonuses'!$G$14, AL139="X", 'Round Bonuses'!$G$13, AK139="X", 'Round Bonuses'!$G$12, AJ139="X", 'Round Bonuses'!$G$11, AI139="X", 'Round Bonuses'!$G$10, AH139="X", 'Round Bonuses'!$G$9, TRUE, 0))+_xludf.IFS(N139="W", 'Round Bonuses'!$C$13, N139="X", 'Round Bonuses'!$C$12, M139="X", 'Round Bonuses'!$C$11, L139="X", 'Round Bonuses'!$C$10, K139="X", 'Round Bonuses'!$C$9, J139="X", 'Round Bonuses'!$C$8, I139="X", 'Round Bonuses'!$C$7, H139="X", 'Round Bonuses'!$C$6, G139="X", 'Round Bonuses'!$C$5, F139="X", 'Round Bonuses'!$C$4, E139="X", 'Round Bonuses'!$C$3, D139="X", 'Round Bonuses'!$C$3, TRUE, 0)</f>
        <v>#NAME?</v>
      </c>
      <c r="BA139" s="2">
        <f t="shared" ca="1" si="1"/>
        <v>6.2437499999999906</v>
      </c>
      <c r="BB139" s="10" t="e">
        <f t="shared" ca="1" si="2"/>
        <v>#NAME?</v>
      </c>
      <c r="BD139" s="11" t="str">
        <f t="shared" ca="1" si="3"/>
        <v>Mura</v>
      </c>
      <c r="BE139" s="2" t="str">
        <f t="shared" ca="1" si="4"/>
        <v>Slovenia</v>
      </c>
      <c r="BF139" s="2" t="e">
        <f t="shared" ca="1" si="5"/>
        <v>#NAME?</v>
      </c>
      <c r="BG139" s="2">
        <f t="shared" ca="1" si="6"/>
        <v>3</v>
      </c>
      <c r="BH139" s="2" t="s">
        <v>201</v>
      </c>
      <c r="BI139" s="2" t="s">
        <v>159</v>
      </c>
      <c r="BJ139" s="7">
        <v>2.2043749999999998</v>
      </c>
      <c r="BK139" s="2">
        <v>2</v>
      </c>
      <c r="BL139" s="2">
        <f t="shared" si="10"/>
        <v>137</v>
      </c>
      <c r="BM139" s="2" t="str">
        <f t="shared" si="7"/>
        <v>Olimpija Ljubljana</v>
      </c>
      <c r="BN139" s="7">
        <f t="shared" ref="BN139:BO139" si="146">BJ139</f>
        <v>2.2043749999999998</v>
      </c>
      <c r="BO139" s="2">
        <f t="shared" si="146"/>
        <v>2</v>
      </c>
      <c r="BS139" s="2" t="str">
        <f t="shared" si="9"/>
        <v>Slovenia</v>
      </c>
    </row>
    <row r="140" spans="1:71" ht="13.8" x14ac:dyDescent="0.45">
      <c r="A140" s="2" t="str">
        <f ca="1">IFERROR(__xludf.DUMMYFUNCTION("""COMPUTED_VALUE"""),"Napoli")</f>
        <v>Napoli</v>
      </c>
      <c r="B140" s="2">
        <f ca="1">IFERROR(__xludf.DUMMYFUNCTION("""COMPUTED_VALUE"""),0.919999999999999)</f>
        <v>0.91999999999999904</v>
      </c>
      <c r="C140" s="2" t="str">
        <f ca="1">IFERROR(__xludf.DUMMYFUNCTION("""COMPUTED_VALUE"""),"Italy")</f>
        <v>Italy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5">
        <f ca="1">IFERROR(__xludf.DUMMYFUNCTION("""COMPUTED_VALUE"""),0)</f>
        <v>0</v>
      </c>
      <c r="P140" s="2">
        <f ca="1">IFERROR(__xludf.DUMMYFUNCTION("""COMPUTED_VALUE"""),0)</f>
        <v>0</v>
      </c>
      <c r="Q140" s="2">
        <f ca="1">IFERROR(__xludf.DUMMYFUNCTION("""COMPUTED_VALUE"""),0)</f>
        <v>0</v>
      </c>
      <c r="R140" s="2">
        <f ca="1">IFERROR(__xludf.DUMMYFUNCTION("""COMPUTED_VALUE"""),0)</f>
        <v>0</v>
      </c>
      <c r="S140" s="2">
        <f ca="1">IFERROR(__xludf.DUMMYFUNCTION("""COMPUTED_VALUE"""),0)</f>
        <v>0</v>
      </c>
      <c r="T140" s="2">
        <f ca="1">IFERROR(__xludf.DUMMYFUNCTION("""COMPUTED_VALUE"""),0)</f>
        <v>0</v>
      </c>
      <c r="U140" s="2">
        <f ca="1">IFERROR(__xludf.DUMMYFUNCTION("""COMPUTED_VALUE"""),0)</f>
        <v>0</v>
      </c>
      <c r="V140" s="2">
        <f ca="1">IFERROR(__xludf.DUMMYFUNCTION("""COMPUTED_VALUE"""),0)</f>
        <v>0</v>
      </c>
      <c r="W140" s="2">
        <f ca="1">IFERROR(__xludf.DUMMYFUNCTION("""COMPUTED_VALUE"""),0)</f>
        <v>0</v>
      </c>
      <c r="X140" s="2">
        <f ca="1">IFERROR(__xludf.DUMMYFUNCTION("""COMPUTED_VALUE"""),0)</f>
        <v>0</v>
      </c>
      <c r="Y140" s="2">
        <f ca="1">IFERROR(__xludf.DUMMYFUNCTION("""COMPUTED_VALUE"""),0)</f>
        <v>0</v>
      </c>
      <c r="AB140" s="2"/>
      <c r="AC140" s="2"/>
      <c r="AD140" s="2"/>
      <c r="AE140" s="2"/>
      <c r="AF140" s="2"/>
      <c r="AG140" s="2" t="str">
        <f ca="1">IFERROR(__xludf.DUMMYFUNCTION("""COMPUTED_VALUE"""),"X")</f>
        <v>X</v>
      </c>
      <c r="AH140" s="2" t="str">
        <f ca="1">IFERROR(__xludf.DUMMYFUNCTION("""COMPUTED_VALUE"""),"X")</f>
        <v>X</v>
      </c>
      <c r="AI140" s="2"/>
      <c r="AJ140" s="2"/>
      <c r="AK140" s="2"/>
      <c r="AL140" s="2"/>
      <c r="AM140" s="2">
        <f ca="1">IFERROR(__xludf.DUMMYFUNCTION("""COMPUTED_VALUE"""),0)</f>
        <v>0</v>
      </c>
      <c r="AN140" s="2">
        <f ca="1">IFERROR(__xludf.DUMMYFUNCTION("""COMPUTED_VALUE"""),0)</f>
        <v>0</v>
      </c>
      <c r="AO140" s="2">
        <f ca="1">IFERROR(__xludf.DUMMYFUNCTION("""COMPUTED_VALUE"""),0)</f>
        <v>0</v>
      </c>
      <c r="AP140" s="2">
        <f ca="1">IFERROR(__xludf.DUMMYFUNCTION("""COMPUTED_VALUE"""),0)</f>
        <v>0</v>
      </c>
      <c r="AQ140" s="2">
        <f ca="1">IFERROR(__xludf.DUMMYFUNCTION("""COMPUTED_VALUE"""),0)</f>
        <v>0</v>
      </c>
      <c r="AR140" s="2">
        <f ca="1">IFERROR(__xludf.DUMMYFUNCTION("""COMPUTED_VALUE"""),15.1399999999999)</f>
        <v>15.139999999999899</v>
      </c>
      <c r="AS140" s="2">
        <f ca="1">IFERROR(__xludf.DUMMYFUNCTION("""COMPUTED_VALUE"""),4.51624999999999)</f>
        <v>4.5162499999999897</v>
      </c>
      <c r="AT140" s="2">
        <f ca="1">IFERROR(__xludf.DUMMYFUNCTION("""COMPUTED_VALUE"""),0)</f>
        <v>0</v>
      </c>
      <c r="AU140" s="2">
        <f ca="1">IFERROR(__xludf.DUMMYFUNCTION("""COMPUTED_VALUE"""),0)</f>
        <v>0</v>
      </c>
      <c r="AV140" s="2">
        <f ca="1">IFERROR(__xludf.DUMMYFUNCTION("""COMPUTED_VALUE"""),0)</f>
        <v>0</v>
      </c>
      <c r="AW140" s="2">
        <f ca="1">IFERROR(__xludf.DUMMYFUNCTION("""COMPUTED_VALUE"""),0)</f>
        <v>0</v>
      </c>
      <c r="AY140" s="2">
        <f t="shared" ca="1" si="0"/>
        <v>8</v>
      </c>
      <c r="AZ140" s="2" t="e">
        <f ca="1">IF(NOT(COUNTA(D140:J140)), _xludf.IFS(AL140="W", 'Round Bonuses'!$F$14, AL140="X", 'Round Bonuses'!$F$13, AK140="X", 'Round Bonuses'!$F$12, AJ140="X", 'Round Bonuses'!$F$11, AI140="X", 'Round Bonuses'!$F$10, AH140="X", 'Round Bonuses'!$F$9, AG140="X", 'Round Bonuses'!$F$8, AF140="X", 'Round Bonuses'!$F$7, AE140="X", 'Round Bonuses'!$F$6, AD140="X", 'Round Bonuses'!$F$5, AC140="X", 'Round Bonuses'!$F$4, AB140="X", 'Round Bonuses'!$F$3, TRUE, 0), IF(AA140="X", _xludf.IFS(AD140="X", 'Round Bonuses'!$E$4, AF140="X",'Round Bonuses'!$E$6,TRUE, 'Round Bonuses'!$E$7), 0) +IF(AB140="X", 'Round Bonuses'!$E$3, 0)+IF(AC140="X",'Round Bonuses'!$E$4, 0)+IF(AD140="X", 'Round Bonuses'!$E$5, 0)+IF(AE140="X", 'Round Bonuses'!$E$6, 0)+IF(AF140="X", 'Round Bonuses'!$E$7, 0)+IF(AG140="X", 'Round Bonuses'!$E$8, 0)+_xludf.IFS(AL140="W", 'Round Bonuses'!$G$14, AL140="X", 'Round Bonuses'!$G$13, AK140="X", 'Round Bonuses'!$G$12, AJ140="X", 'Round Bonuses'!$G$11, AI140="X", 'Round Bonuses'!$G$10, AH140="X", 'Round Bonuses'!$G$9, TRUE, 0))+_xludf.IFS(N140="W", 'Round Bonuses'!$C$13, N140="X", 'Round Bonuses'!$C$12, M140="X", 'Round Bonuses'!$C$11, L140="X", 'Round Bonuses'!$C$10, K140="X", 'Round Bonuses'!$C$9, J140="X", 'Round Bonuses'!$C$8, I140="X", 'Round Bonuses'!$C$7, H140="X", 'Round Bonuses'!$C$6, G140="X", 'Round Bonuses'!$C$5, F140="X", 'Round Bonuses'!$C$4, E140="X", 'Round Bonuses'!$C$3, D140="X", 'Round Bonuses'!$C$3, TRUE, 0)</f>
        <v>#NAME?</v>
      </c>
      <c r="BA140" s="2">
        <f t="shared" ca="1" si="1"/>
        <v>19.65624999999989</v>
      </c>
      <c r="BB140" s="10" t="e">
        <f t="shared" ca="1" si="2"/>
        <v>#NAME?</v>
      </c>
      <c r="BD140" s="11" t="str">
        <f t="shared" ca="1" si="3"/>
        <v>Napoli</v>
      </c>
      <c r="BE140" s="2" t="str">
        <f t="shared" ca="1" si="4"/>
        <v>Italy</v>
      </c>
      <c r="BF140" s="2" t="e">
        <f t="shared" ca="1" si="5"/>
        <v>#NAME?</v>
      </c>
      <c r="BG140" s="2">
        <f t="shared" ca="1" si="6"/>
        <v>8</v>
      </c>
      <c r="BH140" s="2" t="s">
        <v>202</v>
      </c>
      <c r="BI140" s="2" t="s">
        <v>102</v>
      </c>
      <c r="BJ140" s="7">
        <v>2.1787499999999995</v>
      </c>
      <c r="BK140" s="2">
        <v>2</v>
      </c>
      <c r="BL140" s="2">
        <f t="shared" si="10"/>
        <v>138</v>
      </c>
      <c r="BM140" s="2" t="str">
        <f t="shared" si="7"/>
        <v>Neftçi Baku</v>
      </c>
      <c r="BN140" s="7">
        <f t="shared" ref="BN140:BO140" si="147">BJ140</f>
        <v>2.1787499999999995</v>
      </c>
      <c r="BO140" s="2">
        <f t="shared" si="147"/>
        <v>2</v>
      </c>
      <c r="BS140" s="2" t="str">
        <f t="shared" si="9"/>
        <v>Azerbaijan</v>
      </c>
    </row>
    <row r="141" spans="1:71" ht="13.8" x14ac:dyDescent="0.45">
      <c r="A141" s="2" t="str">
        <f ca="1">IFERROR(__xludf.DUMMYFUNCTION("""COMPUTED_VALUE"""),"Neftçi Baku")</f>
        <v>Neftçi Baku</v>
      </c>
      <c r="B141" s="2">
        <f ca="1">IFERROR(__xludf.DUMMYFUNCTION("""COMPUTED_VALUE"""),0.73)</f>
        <v>0.73</v>
      </c>
      <c r="C141" s="2" t="str">
        <f ca="1">IFERROR(__xludf.DUMMYFUNCTION("""COMPUTED_VALUE"""),"Azerbaijan")</f>
        <v>Azerbaijan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5">
        <f ca="1">IFERROR(__xludf.DUMMYFUNCTION("""COMPUTED_VALUE"""),0)</f>
        <v>0</v>
      </c>
      <c r="P141" s="2">
        <f ca="1">IFERROR(__xludf.DUMMYFUNCTION("""COMPUTED_VALUE"""),0)</f>
        <v>0</v>
      </c>
      <c r="Q141" s="2">
        <f ca="1">IFERROR(__xludf.DUMMYFUNCTION("""COMPUTED_VALUE"""),0)</f>
        <v>0</v>
      </c>
      <c r="R141" s="2">
        <f ca="1">IFERROR(__xludf.DUMMYFUNCTION("""COMPUTED_VALUE"""),0)</f>
        <v>0</v>
      </c>
      <c r="S141" s="2">
        <f ca="1">IFERROR(__xludf.DUMMYFUNCTION("""COMPUTED_VALUE"""),0)</f>
        <v>0</v>
      </c>
      <c r="T141" s="2">
        <f ca="1">IFERROR(__xludf.DUMMYFUNCTION("""COMPUTED_VALUE"""),0)</f>
        <v>0</v>
      </c>
      <c r="U141" s="2">
        <f ca="1">IFERROR(__xludf.DUMMYFUNCTION("""COMPUTED_VALUE"""),0)</f>
        <v>0</v>
      </c>
      <c r="V141" s="2">
        <f ca="1">IFERROR(__xludf.DUMMYFUNCTION("""COMPUTED_VALUE"""),0)</f>
        <v>0</v>
      </c>
      <c r="W141" s="2">
        <f ca="1">IFERROR(__xludf.DUMMYFUNCTION("""COMPUTED_VALUE"""),0)</f>
        <v>0</v>
      </c>
      <c r="X141" s="2">
        <f ca="1">IFERROR(__xludf.DUMMYFUNCTION("""COMPUTED_VALUE"""),0)</f>
        <v>0</v>
      </c>
      <c r="Y141" s="2">
        <f ca="1">IFERROR(__xludf.DUMMYFUNCTION("""COMPUTED_VALUE"""),0)</f>
        <v>0</v>
      </c>
      <c r="AB141" s="2"/>
      <c r="AC141" s="2" t="str">
        <f ca="1">IFERROR(__xludf.DUMMYFUNCTION("""COMPUTED_VALUE"""),"X")</f>
        <v>X</v>
      </c>
      <c r="AD141" s="2" t="str">
        <f ca="1">IFERROR(__xludf.DUMMYFUNCTION("""COMPUTED_VALUE"""),"X")</f>
        <v>X</v>
      </c>
      <c r="AE141" s="2"/>
      <c r="AF141" s="2"/>
      <c r="AG141" s="2"/>
      <c r="AH141" s="2"/>
      <c r="AI141" s="2"/>
      <c r="AJ141" s="2"/>
      <c r="AK141" s="2"/>
      <c r="AL141" s="2"/>
      <c r="AM141" s="2">
        <f ca="1">IFERROR(__xludf.DUMMYFUNCTION("""COMPUTED_VALUE"""),0)</f>
        <v>0</v>
      </c>
      <c r="AN141" s="2">
        <f ca="1">IFERROR(__xludf.DUMMYFUNCTION("""COMPUTED_VALUE"""),2.55749999999999)</f>
        <v>2.5574999999999899</v>
      </c>
      <c r="AO141" s="2">
        <f ca="1">IFERROR(__xludf.DUMMYFUNCTION("""COMPUTED_VALUE"""),0.6)</f>
        <v>0.6</v>
      </c>
      <c r="AP141" s="2">
        <f ca="1">IFERROR(__xludf.DUMMYFUNCTION("""COMPUTED_VALUE"""),0)</f>
        <v>0</v>
      </c>
      <c r="AQ141" s="2">
        <f ca="1">IFERROR(__xludf.DUMMYFUNCTION("""COMPUTED_VALUE"""),0)</f>
        <v>0</v>
      </c>
      <c r="AR141" s="2">
        <f ca="1">IFERROR(__xludf.DUMMYFUNCTION("""COMPUTED_VALUE"""),0)</f>
        <v>0</v>
      </c>
      <c r="AS141" s="2">
        <f ca="1">IFERROR(__xludf.DUMMYFUNCTION("""COMPUTED_VALUE"""),0)</f>
        <v>0</v>
      </c>
      <c r="AT141" s="2">
        <f ca="1">IFERROR(__xludf.DUMMYFUNCTION("""COMPUTED_VALUE"""),0)</f>
        <v>0</v>
      </c>
      <c r="AU141" s="2">
        <f ca="1">IFERROR(__xludf.DUMMYFUNCTION("""COMPUTED_VALUE"""),0)</f>
        <v>0</v>
      </c>
      <c r="AV141" s="2">
        <f ca="1">IFERROR(__xludf.DUMMYFUNCTION("""COMPUTED_VALUE"""),0)</f>
        <v>0</v>
      </c>
      <c r="AW141" s="2">
        <f ca="1">IFERROR(__xludf.DUMMYFUNCTION("""COMPUTED_VALUE"""),0)</f>
        <v>0</v>
      </c>
      <c r="AY141" s="2">
        <f t="shared" ca="1" si="0"/>
        <v>2</v>
      </c>
      <c r="AZ141" s="2" t="e">
        <f ca="1">IF(NOT(COUNTA(D141:J141)), _xludf.IFS(AL141="W", 'Round Bonuses'!$F$14, AL141="X", 'Round Bonuses'!$F$13, AK141="X", 'Round Bonuses'!$F$12, AJ141="X", 'Round Bonuses'!$F$11, AI141="X", 'Round Bonuses'!$F$10, AH141="X", 'Round Bonuses'!$F$9, AG141="X", 'Round Bonuses'!$F$8, AF141="X", 'Round Bonuses'!$F$7, AE141="X", 'Round Bonuses'!$F$6, AD141="X", 'Round Bonuses'!$F$5, AC141="X", 'Round Bonuses'!$F$4, AB141="X", 'Round Bonuses'!$F$3, TRUE, 0), IF(AA141="X", _xludf.IFS(AD141="X", 'Round Bonuses'!$E$4, AF141="X",'Round Bonuses'!$E$6,TRUE, 'Round Bonuses'!$E$7), 0) +IF(AB141="X", 'Round Bonuses'!$E$3, 0)+IF(AC141="X",'Round Bonuses'!$E$4, 0)+IF(AD141="X", 'Round Bonuses'!$E$5, 0)+IF(AE141="X", 'Round Bonuses'!$E$6, 0)+IF(AF141="X", 'Round Bonuses'!$E$7, 0)+IF(AG141="X", 'Round Bonuses'!$E$8, 0)+_xludf.IFS(AL141="W", 'Round Bonuses'!$G$14, AL141="X", 'Round Bonuses'!$G$13, AK141="X", 'Round Bonuses'!$G$12, AJ141="X", 'Round Bonuses'!$G$11, AI141="X", 'Round Bonuses'!$G$10, AH141="X", 'Round Bonuses'!$G$9, TRUE, 0))+_xludf.IFS(N141="W", 'Round Bonuses'!$C$13, N141="X", 'Round Bonuses'!$C$12, M141="X", 'Round Bonuses'!$C$11, L141="X", 'Round Bonuses'!$C$10, K141="X", 'Round Bonuses'!$C$9, J141="X", 'Round Bonuses'!$C$8, I141="X", 'Round Bonuses'!$C$7, H141="X", 'Round Bonuses'!$C$6, G141="X", 'Round Bonuses'!$C$5, F141="X", 'Round Bonuses'!$C$4, E141="X", 'Round Bonuses'!$C$3, D141="X", 'Round Bonuses'!$C$3, TRUE, 0)</f>
        <v>#NAME?</v>
      </c>
      <c r="BA141" s="2">
        <f t="shared" ca="1" si="1"/>
        <v>3.15749999999999</v>
      </c>
      <c r="BB141" s="10" t="e">
        <f t="shared" ca="1" si="2"/>
        <v>#NAME?</v>
      </c>
      <c r="BD141" s="11" t="str">
        <f t="shared" ca="1" si="3"/>
        <v>Neftçi Baku</v>
      </c>
      <c r="BE141" s="2" t="str">
        <f t="shared" ca="1" si="4"/>
        <v>Azerbaijan</v>
      </c>
      <c r="BF141" s="2" t="e">
        <f t="shared" ca="1" si="5"/>
        <v>#NAME?</v>
      </c>
      <c r="BG141" s="2">
        <f t="shared" ca="1" si="6"/>
        <v>2</v>
      </c>
      <c r="BH141" s="2" t="s">
        <v>203</v>
      </c>
      <c r="BI141" s="2" t="s">
        <v>154</v>
      </c>
      <c r="BJ141" s="7">
        <v>2.1533333333333333</v>
      </c>
      <c r="BK141" s="2">
        <v>3</v>
      </c>
      <c r="BL141" s="2">
        <f t="shared" si="10"/>
        <v>139</v>
      </c>
      <c r="BM141" s="2" t="str">
        <f t="shared" si="7"/>
        <v>Dinamo Tbilisi</v>
      </c>
      <c r="BN141" s="7">
        <f t="shared" ref="BN141:BO141" si="148">BJ141</f>
        <v>2.1533333333333333</v>
      </c>
      <c r="BO141" s="2">
        <f t="shared" si="148"/>
        <v>3</v>
      </c>
      <c r="BS141" s="2" t="str">
        <f t="shared" si="9"/>
        <v>Georgia</v>
      </c>
    </row>
    <row r="142" spans="1:71" ht="13.8" x14ac:dyDescent="0.45">
      <c r="A142" s="2" t="str">
        <f ca="1">IFERROR(__xludf.DUMMYFUNCTION("""COMPUTED_VALUE"""),"Nice")</f>
        <v>Nice</v>
      </c>
      <c r="B142" s="2">
        <f ca="1">IFERROR(__xludf.DUMMYFUNCTION("""COMPUTED_VALUE"""),0.909999999999999)</f>
        <v>0.90999999999999903</v>
      </c>
      <c r="C142" s="2" t="str">
        <f ca="1">IFERROR(__xludf.DUMMYFUNCTION("""COMPUTED_VALUE"""),"France")</f>
        <v>France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5">
        <f ca="1">IFERROR(__xludf.DUMMYFUNCTION("""COMPUTED_VALUE"""),0)</f>
        <v>0</v>
      </c>
      <c r="P142" s="2">
        <f ca="1">IFERROR(__xludf.DUMMYFUNCTION("""COMPUTED_VALUE"""),0)</f>
        <v>0</v>
      </c>
      <c r="Q142" s="2">
        <f ca="1">IFERROR(__xludf.DUMMYFUNCTION("""COMPUTED_VALUE"""),0)</f>
        <v>0</v>
      </c>
      <c r="R142" s="2">
        <f ca="1">IFERROR(__xludf.DUMMYFUNCTION("""COMPUTED_VALUE"""),0)</f>
        <v>0</v>
      </c>
      <c r="S142" s="2">
        <f ca="1">IFERROR(__xludf.DUMMYFUNCTION("""COMPUTED_VALUE"""),0)</f>
        <v>0</v>
      </c>
      <c r="T142" s="2">
        <f ca="1">IFERROR(__xludf.DUMMYFUNCTION("""COMPUTED_VALUE"""),0)</f>
        <v>0</v>
      </c>
      <c r="U142" s="2">
        <f ca="1">IFERROR(__xludf.DUMMYFUNCTION("""COMPUTED_VALUE"""),0)</f>
        <v>0</v>
      </c>
      <c r="V142" s="2">
        <f ca="1">IFERROR(__xludf.DUMMYFUNCTION("""COMPUTED_VALUE"""),0)</f>
        <v>0</v>
      </c>
      <c r="W142" s="2">
        <f ca="1">IFERROR(__xludf.DUMMYFUNCTION("""COMPUTED_VALUE"""),0)</f>
        <v>0</v>
      </c>
      <c r="X142" s="2">
        <f ca="1">IFERROR(__xludf.DUMMYFUNCTION("""COMPUTED_VALUE"""),0)</f>
        <v>0</v>
      </c>
      <c r="Y142" s="2">
        <f ca="1">IFERROR(__xludf.DUMMYFUNCTION("""COMPUTED_VALUE"""),0)</f>
        <v>0</v>
      </c>
      <c r="AB142" s="2"/>
      <c r="AC142" s="2"/>
      <c r="AD142" s="2"/>
      <c r="AE142" s="2"/>
      <c r="AF142" s="2"/>
      <c r="AG142" s="2" t="str">
        <f ca="1">IFERROR(__xludf.DUMMYFUNCTION("""COMPUTED_VALUE"""),"X")</f>
        <v>X</v>
      </c>
      <c r="AH142" s="2"/>
      <c r="AI142" s="2"/>
      <c r="AJ142" s="2"/>
      <c r="AK142" s="2"/>
      <c r="AL142" s="2"/>
      <c r="AM142" s="2">
        <f ca="1">IFERROR(__xludf.DUMMYFUNCTION("""COMPUTED_VALUE"""),0)</f>
        <v>0</v>
      </c>
      <c r="AN142" s="2">
        <f ca="1">IFERROR(__xludf.DUMMYFUNCTION("""COMPUTED_VALUE"""),0)</f>
        <v>0</v>
      </c>
      <c r="AO142" s="2">
        <f ca="1">IFERROR(__xludf.DUMMYFUNCTION("""COMPUTED_VALUE"""),0)</f>
        <v>0</v>
      </c>
      <c r="AP142" s="2">
        <f ca="1">IFERROR(__xludf.DUMMYFUNCTION("""COMPUTED_VALUE"""),0)</f>
        <v>0</v>
      </c>
      <c r="AQ142" s="2">
        <f ca="1">IFERROR(__xludf.DUMMYFUNCTION("""COMPUTED_VALUE"""),0)</f>
        <v>0</v>
      </c>
      <c r="AR142" s="2">
        <f ca="1">IFERROR(__xludf.DUMMYFUNCTION("""COMPUTED_VALUE"""),6.09375)</f>
        <v>6.09375</v>
      </c>
      <c r="AS142" s="2">
        <f ca="1">IFERROR(__xludf.DUMMYFUNCTION("""COMPUTED_VALUE"""),0)</f>
        <v>0</v>
      </c>
      <c r="AT142" s="2">
        <f ca="1">IFERROR(__xludf.DUMMYFUNCTION("""COMPUTED_VALUE"""),0)</f>
        <v>0</v>
      </c>
      <c r="AU142" s="2">
        <f ca="1">IFERROR(__xludf.DUMMYFUNCTION("""COMPUTED_VALUE"""),0)</f>
        <v>0</v>
      </c>
      <c r="AV142" s="2">
        <f ca="1">IFERROR(__xludf.DUMMYFUNCTION("""COMPUTED_VALUE"""),0)</f>
        <v>0</v>
      </c>
      <c r="AW142" s="2">
        <f ca="1">IFERROR(__xludf.DUMMYFUNCTION("""COMPUTED_VALUE"""),0)</f>
        <v>0</v>
      </c>
      <c r="AY142" s="2">
        <f t="shared" ca="1" si="0"/>
        <v>6</v>
      </c>
      <c r="AZ142" s="2" t="e">
        <f ca="1">IF(NOT(COUNTA(D142:J142)), _xludf.IFS(AL142="W", 'Round Bonuses'!$F$14, AL142="X", 'Round Bonuses'!$F$13, AK142="X", 'Round Bonuses'!$F$12, AJ142="X", 'Round Bonuses'!$F$11, AI142="X", 'Round Bonuses'!$F$10, AH142="X", 'Round Bonuses'!$F$9, AG142="X", 'Round Bonuses'!$F$8, AF142="X", 'Round Bonuses'!$F$7, AE142="X", 'Round Bonuses'!$F$6, AD142="X", 'Round Bonuses'!$F$5, AC142="X", 'Round Bonuses'!$F$4, AB142="X", 'Round Bonuses'!$F$3, TRUE, 0), IF(AA142="X", _xludf.IFS(AD142="X", 'Round Bonuses'!$E$4, AF142="X",'Round Bonuses'!$E$6,TRUE, 'Round Bonuses'!$E$7), 0) +IF(AB142="X", 'Round Bonuses'!$E$3, 0)+IF(AC142="X",'Round Bonuses'!$E$4, 0)+IF(AD142="X", 'Round Bonuses'!$E$5, 0)+IF(AE142="X", 'Round Bonuses'!$E$6, 0)+IF(AF142="X", 'Round Bonuses'!$E$7, 0)+IF(AG142="X", 'Round Bonuses'!$E$8, 0)+_xludf.IFS(AL142="W", 'Round Bonuses'!$G$14, AL142="X", 'Round Bonuses'!$G$13, AK142="X", 'Round Bonuses'!$G$12, AJ142="X", 'Round Bonuses'!$G$11, AI142="X", 'Round Bonuses'!$G$10, AH142="X", 'Round Bonuses'!$G$9, TRUE, 0))+_xludf.IFS(N142="W", 'Round Bonuses'!$C$13, N142="X", 'Round Bonuses'!$C$12, M142="X", 'Round Bonuses'!$C$11, L142="X", 'Round Bonuses'!$C$10, K142="X", 'Round Bonuses'!$C$9, J142="X", 'Round Bonuses'!$C$8, I142="X", 'Round Bonuses'!$C$7, H142="X", 'Round Bonuses'!$C$6, G142="X", 'Round Bonuses'!$C$5, F142="X", 'Round Bonuses'!$C$4, E142="X", 'Round Bonuses'!$C$3, D142="X", 'Round Bonuses'!$C$3, TRUE, 0)</f>
        <v>#NAME?</v>
      </c>
      <c r="BA142" s="2">
        <f t="shared" ca="1" si="1"/>
        <v>6.09375</v>
      </c>
      <c r="BB142" s="10" t="e">
        <f t="shared" ca="1" si="2"/>
        <v>#NAME?</v>
      </c>
      <c r="BD142" s="11" t="str">
        <f t="shared" ca="1" si="3"/>
        <v>Nice</v>
      </c>
      <c r="BE142" s="2" t="str">
        <f t="shared" ca="1" si="4"/>
        <v>France</v>
      </c>
      <c r="BF142" s="2" t="e">
        <f t="shared" ca="1" si="5"/>
        <v>#NAME?</v>
      </c>
      <c r="BG142" s="2">
        <f t="shared" ca="1" si="6"/>
        <v>6</v>
      </c>
      <c r="BH142" s="2" t="s">
        <v>204</v>
      </c>
      <c r="BI142" s="2" t="s">
        <v>148</v>
      </c>
      <c r="BJ142" s="7">
        <v>2.1524999999999999</v>
      </c>
      <c r="BK142" s="2">
        <v>2</v>
      </c>
      <c r="BL142" s="2">
        <f t="shared" si="10"/>
        <v>140</v>
      </c>
      <c r="BM142" s="2" t="str">
        <f t="shared" si="7"/>
        <v>Laçi</v>
      </c>
      <c r="BN142" s="7">
        <f t="shared" ref="BN142:BO142" si="149">BJ142</f>
        <v>2.1524999999999999</v>
      </c>
      <c r="BO142" s="2">
        <f t="shared" si="149"/>
        <v>2</v>
      </c>
      <c r="BS142" s="2" t="str">
        <f t="shared" si="9"/>
        <v>Albania</v>
      </c>
    </row>
    <row r="143" spans="1:71" ht="13.8" x14ac:dyDescent="0.45">
      <c r="A143" s="2" t="str">
        <f ca="1">IFERROR(__xludf.DUMMYFUNCTION("""COMPUTED_VALUE"""),"Noah")</f>
        <v>Noah</v>
      </c>
      <c r="B143" s="2">
        <f ca="1">IFERROR(__xludf.DUMMYFUNCTION("""COMPUTED_VALUE"""),0.54)</f>
        <v>0.54</v>
      </c>
      <c r="C143" s="2" t="str">
        <f ca="1">IFERROR(__xludf.DUMMYFUNCTION("""COMPUTED_VALUE"""),"Armenia")</f>
        <v>Armenia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5">
        <f ca="1">IFERROR(__xludf.DUMMYFUNCTION("""COMPUTED_VALUE"""),0)</f>
        <v>0</v>
      </c>
      <c r="P143" s="2">
        <f ca="1">IFERROR(__xludf.DUMMYFUNCTION("""COMPUTED_VALUE"""),0)</f>
        <v>0</v>
      </c>
      <c r="Q143" s="2">
        <f ca="1">IFERROR(__xludf.DUMMYFUNCTION("""COMPUTED_VALUE"""),0)</f>
        <v>0</v>
      </c>
      <c r="R143" s="2">
        <f ca="1">IFERROR(__xludf.DUMMYFUNCTION("""COMPUTED_VALUE"""),0)</f>
        <v>0</v>
      </c>
      <c r="S143" s="2">
        <f ca="1">IFERROR(__xludf.DUMMYFUNCTION("""COMPUTED_VALUE"""),0)</f>
        <v>0</v>
      </c>
      <c r="T143" s="2">
        <f ca="1">IFERROR(__xludf.DUMMYFUNCTION("""COMPUTED_VALUE"""),0)</f>
        <v>0</v>
      </c>
      <c r="U143" s="2">
        <f ca="1">IFERROR(__xludf.DUMMYFUNCTION("""COMPUTED_VALUE"""),0)</f>
        <v>0</v>
      </c>
      <c r="V143" s="2">
        <f ca="1">IFERROR(__xludf.DUMMYFUNCTION("""COMPUTED_VALUE"""),0)</f>
        <v>0</v>
      </c>
      <c r="W143" s="2">
        <f ca="1">IFERROR(__xludf.DUMMYFUNCTION("""COMPUTED_VALUE"""),0)</f>
        <v>0</v>
      </c>
      <c r="X143" s="2">
        <f ca="1">IFERROR(__xludf.DUMMYFUNCTION("""COMPUTED_VALUE"""),0)</f>
        <v>0</v>
      </c>
      <c r="Y143" s="2">
        <f ca="1">IFERROR(__xludf.DUMMYFUNCTION("""COMPUTED_VALUE"""),0)</f>
        <v>0</v>
      </c>
      <c r="AB143" s="2"/>
      <c r="AC143" s="2" t="str">
        <f ca="1">IFERROR(__xludf.DUMMYFUNCTION("""COMPUTED_VALUE"""),"X")</f>
        <v>X</v>
      </c>
      <c r="AD143" s="2"/>
      <c r="AE143" s="2"/>
      <c r="AF143" s="2"/>
      <c r="AG143" s="2"/>
      <c r="AH143" s="2"/>
      <c r="AI143" s="2"/>
      <c r="AJ143" s="2"/>
      <c r="AK143" s="2"/>
      <c r="AL143" s="2"/>
      <c r="AM143" s="2">
        <f ca="1">IFERROR(__xludf.DUMMYFUNCTION("""COMPUTED_VALUE"""),0)</f>
        <v>0</v>
      </c>
      <c r="AN143" s="2">
        <f ca="1">IFERROR(__xludf.DUMMYFUNCTION("""COMPUTED_VALUE"""),0.375)</f>
        <v>0.375</v>
      </c>
      <c r="AO143" s="2">
        <f ca="1">IFERROR(__xludf.DUMMYFUNCTION("""COMPUTED_VALUE"""),0)</f>
        <v>0</v>
      </c>
      <c r="AP143" s="2">
        <f ca="1">IFERROR(__xludf.DUMMYFUNCTION("""COMPUTED_VALUE"""),0)</f>
        <v>0</v>
      </c>
      <c r="AQ143" s="2">
        <f ca="1">IFERROR(__xludf.DUMMYFUNCTION("""COMPUTED_VALUE"""),0)</f>
        <v>0</v>
      </c>
      <c r="AR143" s="2">
        <f ca="1">IFERROR(__xludf.DUMMYFUNCTION("""COMPUTED_VALUE"""),0)</f>
        <v>0</v>
      </c>
      <c r="AS143" s="2">
        <f ca="1">IFERROR(__xludf.DUMMYFUNCTION("""COMPUTED_VALUE"""),0)</f>
        <v>0</v>
      </c>
      <c r="AT143" s="2">
        <f ca="1">IFERROR(__xludf.DUMMYFUNCTION("""COMPUTED_VALUE"""),0)</f>
        <v>0</v>
      </c>
      <c r="AU143" s="2">
        <f ca="1">IFERROR(__xludf.DUMMYFUNCTION("""COMPUTED_VALUE"""),0)</f>
        <v>0</v>
      </c>
      <c r="AV143" s="2">
        <f ca="1">IFERROR(__xludf.DUMMYFUNCTION("""COMPUTED_VALUE"""),0)</f>
        <v>0</v>
      </c>
      <c r="AW143" s="2">
        <f ca="1">IFERROR(__xludf.DUMMYFUNCTION("""COMPUTED_VALUE"""),0)</f>
        <v>0</v>
      </c>
      <c r="AY143" s="2">
        <f t="shared" ca="1" si="0"/>
        <v>1</v>
      </c>
      <c r="AZ143" s="2" t="e">
        <f ca="1">IF(NOT(COUNTA(D143:J143)), _xludf.IFS(AL143="W", 'Round Bonuses'!$F$14, AL143="X", 'Round Bonuses'!$F$13, AK143="X", 'Round Bonuses'!$F$12, AJ143="X", 'Round Bonuses'!$F$11, AI143="X", 'Round Bonuses'!$F$10, AH143="X", 'Round Bonuses'!$F$9, AG143="X", 'Round Bonuses'!$F$8, AF143="X", 'Round Bonuses'!$F$7, AE143="X", 'Round Bonuses'!$F$6, AD143="X", 'Round Bonuses'!$F$5, AC143="X", 'Round Bonuses'!$F$4, AB143="X", 'Round Bonuses'!$F$3, TRUE, 0), IF(AA143="X", _xludf.IFS(AD143="X", 'Round Bonuses'!$E$4, AF143="X",'Round Bonuses'!$E$6,TRUE, 'Round Bonuses'!$E$7), 0) +IF(AB143="X", 'Round Bonuses'!$E$3, 0)+IF(AC143="X",'Round Bonuses'!$E$4, 0)+IF(AD143="X", 'Round Bonuses'!$E$5, 0)+IF(AE143="X", 'Round Bonuses'!$E$6, 0)+IF(AF143="X", 'Round Bonuses'!$E$7, 0)+IF(AG143="X", 'Round Bonuses'!$E$8, 0)+_xludf.IFS(AL143="W", 'Round Bonuses'!$G$14, AL143="X", 'Round Bonuses'!$G$13, AK143="X", 'Round Bonuses'!$G$12, AJ143="X", 'Round Bonuses'!$G$11, AI143="X", 'Round Bonuses'!$G$10, AH143="X", 'Round Bonuses'!$G$9, TRUE, 0))+_xludf.IFS(N143="W", 'Round Bonuses'!$C$13, N143="X", 'Round Bonuses'!$C$12, M143="X", 'Round Bonuses'!$C$11, L143="X", 'Round Bonuses'!$C$10, K143="X", 'Round Bonuses'!$C$9, J143="X", 'Round Bonuses'!$C$8, I143="X", 'Round Bonuses'!$C$7, H143="X", 'Round Bonuses'!$C$6, G143="X", 'Round Bonuses'!$C$5, F143="X", 'Round Bonuses'!$C$4, E143="X", 'Round Bonuses'!$C$3, D143="X", 'Round Bonuses'!$C$3, TRUE, 0)</f>
        <v>#NAME?</v>
      </c>
      <c r="BA143" s="2">
        <f t="shared" ca="1" si="1"/>
        <v>0.375</v>
      </c>
      <c r="BB143" s="10" t="e">
        <f t="shared" ca="1" si="2"/>
        <v>#NAME?</v>
      </c>
      <c r="BD143" s="11" t="str">
        <f t="shared" ca="1" si="3"/>
        <v>Noah</v>
      </c>
      <c r="BE143" s="2" t="str">
        <f t="shared" ca="1" si="4"/>
        <v>Armenia</v>
      </c>
      <c r="BF143" s="2" t="e">
        <f t="shared" ca="1" si="5"/>
        <v>#NAME?</v>
      </c>
      <c r="BG143" s="2">
        <f t="shared" ca="1" si="6"/>
        <v>1</v>
      </c>
      <c r="BH143" s="2" t="s">
        <v>205</v>
      </c>
      <c r="BI143" s="2" t="s">
        <v>73</v>
      </c>
      <c r="BJ143" s="7">
        <v>2.118125</v>
      </c>
      <c r="BK143" s="2">
        <v>2</v>
      </c>
      <c r="BL143" s="2">
        <f t="shared" si="10"/>
        <v>141</v>
      </c>
      <c r="BM143" s="2" t="str">
        <f t="shared" si="7"/>
        <v>Honvéd</v>
      </c>
      <c r="BN143" s="7">
        <f t="shared" ref="BN143:BO143" si="150">BJ143</f>
        <v>2.118125</v>
      </c>
      <c r="BO143" s="2">
        <f t="shared" si="150"/>
        <v>2</v>
      </c>
      <c r="BS143" s="2" t="str">
        <f t="shared" si="9"/>
        <v>Hungary</v>
      </c>
    </row>
    <row r="144" spans="1:71" ht="13.8" x14ac:dyDescent="0.45">
      <c r="A144" s="2" t="str">
        <f ca="1">IFERROR(__xludf.DUMMYFUNCTION("""COMPUTED_VALUE"""),"Nõmme Kalju")</f>
        <v>Nõmme Kalju</v>
      </c>
      <c r="B144" s="2">
        <f ca="1">IFERROR(__xludf.DUMMYFUNCTION("""COMPUTED_VALUE"""),0.52)</f>
        <v>0.52</v>
      </c>
      <c r="C144" s="2" t="str">
        <f ca="1">IFERROR(__xludf.DUMMYFUNCTION("""COMPUTED_VALUE"""),"Estonia")</f>
        <v>Estonia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5">
        <f ca="1">IFERROR(__xludf.DUMMYFUNCTION("""COMPUTED_VALUE"""),0)</f>
        <v>0</v>
      </c>
      <c r="P144" s="2">
        <f ca="1">IFERROR(__xludf.DUMMYFUNCTION("""COMPUTED_VALUE"""),0)</f>
        <v>0</v>
      </c>
      <c r="Q144" s="2">
        <f ca="1">IFERROR(__xludf.DUMMYFUNCTION("""COMPUTED_VALUE"""),0)</f>
        <v>0</v>
      </c>
      <c r="R144" s="2">
        <f ca="1">IFERROR(__xludf.DUMMYFUNCTION("""COMPUTED_VALUE"""),0)</f>
        <v>0</v>
      </c>
      <c r="S144" s="2">
        <f ca="1">IFERROR(__xludf.DUMMYFUNCTION("""COMPUTED_VALUE"""),0)</f>
        <v>0</v>
      </c>
      <c r="T144" s="2">
        <f ca="1">IFERROR(__xludf.DUMMYFUNCTION("""COMPUTED_VALUE"""),0)</f>
        <v>0</v>
      </c>
      <c r="U144" s="2">
        <f ca="1">IFERROR(__xludf.DUMMYFUNCTION("""COMPUTED_VALUE"""),0)</f>
        <v>0</v>
      </c>
      <c r="V144" s="2">
        <f ca="1">IFERROR(__xludf.DUMMYFUNCTION("""COMPUTED_VALUE"""),0)</f>
        <v>0</v>
      </c>
      <c r="W144" s="2">
        <f ca="1">IFERROR(__xludf.DUMMYFUNCTION("""COMPUTED_VALUE"""),0)</f>
        <v>0</v>
      </c>
      <c r="X144" s="2">
        <f ca="1">IFERROR(__xludf.DUMMYFUNCTION("""COMPUTED_VALUE"""),0)</f>
        <v>0</v>
      </c>
      <c r="Y144" s="2">
        <f ca="1">IFERROR(__xludf.DUMMYFUNCTION("""COMPUTED_VALUE"""),0)</f>
        <v>0</v>
      </c>
      <c r="AB144" s="2"/>
      <c r="AC144" s="2" t="str">
        <f ca="1">IFERROR(__xludf.DUMMYFUNCTION("""COMPUTED_VALUE"""),"X")</f>
        <v>X</v>
      </c>
      <c r="AD144" s="2"/>
      <c r="AE144" s="2"/>
      <c r="AF144" s="2"/>
      <c r="AG144" s="2"/>
      <c r="AH144" s="2"/>
      <c r="AI144" s="2"/>
      <c r="AJ144" s="2"/>
      <c r="AK144" s="2"/>
      <c r="AL144" s="2"/>
      <c r="AM144" s="2">
        <f ca="1">IFERROR(__xludf.DUMMYFUNCTION("""COMPUTED_VALUE"""),0)</f>
        <v>0</v>
      </c>
      <c r="AN144" s="2">
        <f ca="1">IFERROR(__xludf.DUMMYFUNCTION("""COMPUTED_VALUE"""),0.169999999999999)</f>
        <v>0.16999999999999901</v>
      </c>
      <c r="AO144" s="2">
        <f ca="1">IFERROR(__xludf.DUMMYFUNCTION("""COMPUTED_VALUE"""),0)</f>
        <v>0</v>
      </c>
      <c r="AP144" s="2">
        <f ca="1">IFERROR(__xludf.DUMMYFUNCTION("""COMPUTED_VALUE"""),0)</f>
        <v>0</v>
      </c>
      <c r="AQ144" s="2">
        <f ca="1">IFERROR(__xludf.DUMMYFUNCTION("""COMPUTED_VALUE"""),0)</f>
        <v>0</v>
      </c>
      <c r="AR144" s="2">
        <f ca="1">IFERROR(__xludf.DUMMYFUNCTION("""COMPUTED_VALUE"""),0)</f>
        <v>0</v>
      </c>
      <c r="AS144" s="2">
        <f ca="1">IFERROR(__xludf.DUMMYFUNCTION("""COMPUTED_VALUE"""),0)</f>
        <v>0</v>
      </c>
      <c r="AT144" s="2">
        <f ca="1">IFERROR(__xludf.DUMMYFUNCTION("""COMPUTED_VALUE"""),0)</f>
        <v>0</v>
      </c>
      <c r="AU144" s="2">
        <f ca="1">IFERROR(__xludf.DUMMYFUNCTION("""COMPUTED_VALUE"""),0)</f>
        <v>0</v>
      </c>
      <c r="AV144" s="2">
        <f ca="1">IFERROR(__xludf.DUMMYFUNCTION("""COMPUTED_VALUE"""),0)</f>
        <v>0</v>
      </c>
      <c r="AW144" s="2">
        <f ca="1">IFERROR(__xludf.DUMMYFUNCTION("""COMPUTED_VALUE"""),0)</f>
        <v>0</v>
      </c>
      <c r="AY144" s="2">
        <f t="shared" ca="1" si="0"/>
        <v>1</v>
      </c>
      <c r="AZ144" s="2" t="e">
        <f ca="1">IF(NOT(COUNTA(D144:J144)), _xludf.IFS(AL144="W", 'Round Bonuses'!$F$14, AL144="X", 'Round Bonuses'!$F$13, AK144="X", 'Round Bonuses'!$F$12, AJ144="X", 'Round Bonuses'!$F$11, AI144="X", 'Round Bonuses'!$F$10, AH144="X", 'Round Bonuses'!$F$9, AG144="X", 'Round Bonuses'!$F$8, AF144="X", 'Round Bonuses'!$F$7, AE144="X", 'Round Bonuses'!$F$6, AD144="X", 'Round Bonuses'!$F$5, AC144="X", 'Round Bonuses'!$F$4, AB144="X", 'Round Bonuses'!$F$3, TRUE, 0), IF(AA144="X", _xludf.IFS(AD144="X", 'Round Bonuses'!$E$4, AF144="X",'Round Bonuses'!$E$6,TRUE, 'Round Bonuses'!$E$7), 0) +IF(AB144="X", 'Round Bonuses'!$E$3, 0)+IF(AC144="X",'Round Bonuses'!$E$4, 0)+IF(AD144="X", 'Round Bonuses'!$E$5, 0)+IF(AE144="X", 'Round Bonuses'!$E$6, 0)+IF(AF144="X", 'Round Bonuses'!$E$7, 0)+IF(AG144="X", 'Round Bonuses'!$E$8, 0)+_xludf.IFS(AL144="W", 'Round Bonuses'!$G$14, AL144="X", 'Round Bonuses'!$G$13, AK144="X", 'Round Bonuses'!$G$12, AJ144="X", 'Round Bonuses'!$G$11, AI144="X", 'Round Bonuses'!$G$10, AH144="X", 'Round Bonuses'!$G$9, TRUE, 0))+_xludf.IFS(N144="W", 'Round Bonuses'!$C$13, N144="X", 'Round Bonuses'!$C$12, M144="X", 'Round Bonuses'!$C$11, L144="X", 'Round Bonuses'!$C$10, K144="X", 'Round Bonuses'!$C$9, J144="X", 'Round Bonuses'!$C$8, I144="X", 'Round Bonuses'!$C$7, H144="X", 'Round Bonuses'!$C$6, G144="X", 'Round Bonuses'!$C$5, F144="X", 'Round Bonuses'!$C$4, E144="X", 'Round Bonuses'!$C$3, D144="X", 'Round Bonuses'!$C$3, TRUE, 0)</f>
        <v>#NAME?</v>
      </c>
      <c r="BA144" s="2">
        <f t="shared" ca="1" si="1"/>
        <v>0.16999999999999901</v>
      </c>
      <c r="BB144" s="10" t="e">
        <f t="shared" ca="1" si="2"/>
        <v>#NAME?</v>
      </c>
      <c r="BD144" s="11" t="str">
        <f t="shared" ca="1" si="3"/>
        <v>Nõmme Kalju</v>
      </c>
      <c r="BE144" s="2" t="str">
        <f t="shared" ca="1" si="4"/>
        <v>Estonia</v>
      </c>
      <c r="BF144" s="2" t="e">
        <f t="shared" ca="1" si="5"/>
        <v>#NAME?</v>
      </c>
      <c r="BG144" s="2">
        <f t="shared" ca="1" si="6"/>
        <v>1</v>
      </c>
      <c r="BH144" s="2" t="s">
        <v>206</v>
      </c>
      <c r="BI144" s="2" t="s">
        <v>191</v>
      </c>
      <c r="BJ144" s="7">
        <v>2.1</v>
      </c>
      <c r="BK144" s="2">
        <v>2</v>
      </c>
      <c r="BL144" s="2">
        <f t="shared" si="10"/>
        <v>142</v>
      </c>
      <c r="BM144" s="2" t="str">
        <f t="shared" si="7"/>
        <v>Hibernians</v>
      </c>
      <c r="BN144" s="7">
        <f t="shared" ref="BN144:BO144" si="151">BJ144</f>
        <v>2.1</v>
      </c>
      <c r="BO144" s="2">
        <f t="shared" si="151"/>
        <v>2</v>
      </c>
      <c r="BS144" s="2" t="str">
        <f t="shared" si="9"/>
        <v>Malta</v>
      </c>
    </row>
    <row r="145" spans="1:71" ht="13.8" x14ac:dyDescent="0.45">
      <c r="A145" s="2" t="str">
        <f ca="1">IFERROR(__xludf.DUMMYFUNCTION("""COMPUTED_VALUE"""),"NSÍ Runavík")</f>
        <v>NSÍ Runavík</v>
      </c>
      <c r="B145" s="2">
        <f ca="1">IFERROR(__xludf.DUMMYFUNCTION("""COMPUTED_VALUE"""),0.48)</f>
        <v>0.48</v>
      </c>
      <c r="C145" s="2" t="str">
        <f ca="1">IFERROR(__xludf.DUMMYFUNCTION("""COMPUTED_VALUE"""),"Faroe Islands")</f>
        <v>Faroe Islands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5">
        <f ca="1">IFERROR(__xludf.DUMMYFUNCTION("""COMPUTED_VALUE"""),0)</f>
        <v>0</v>
      </c>
      <c r="P145" s="2">
        <f ca="1">IFERROR(__xludf.DUMMYFUNCTION("""COMPUTED_VALUE"""),0)</f>
        <v>0</v>
      </c>
      <c r="Q145" s="2">
        <f ca="1">IFERROR(__xludf.DUMMYFUNCTION("""COMPUTED_VALUE"""),0)</f>
        <v>0</v>
      </c>
      <c r="R145" s="2">
        <f ca="1">IFERROR(__xludf.DUMMYFUNCTION("""COMPUTED_VALUE"""),0)</f>
        <v>0</v>
      </c>
      <c r="S145" s="2">
        <f ca="1">IFERROR(__xludf.DUMMYFUNCTION("""COMPUTED_VALUE"""),0)</f>
        <v>0</v>
      </c>
      <c r="T145" s="2">
        <f ca="1">IFERROR(__xludf.DUMMYFUNCTION("""COMPUTED_VALUE"""),0)</f>
        <v>0</v>
      </c>
      <c r="U145" s="2">
        <f ca="1">IFERROR(__xludf.DUMMYFUNCTION("""COMPUTED_VALUE"""),0)</f>
        <v>0</v>
      </c>
      <c r="V145" s="2">
        <f ca="1">IFERROR(__xludf.DUMMYFUNCTION("""COMPUTED_VALUE"""),0)</f>
        <v>0</v>
      </c>
      <c r="W145" s="2">
        <f ca="1">IFERROR(__xludf.DUMMYFUNCTION("""COMPUTED_VALUE"""),0)</f>
        <v>0</v>
      </c>
      <c r="X145" s="2">
        <f ca="1">IFERROR(__xludf.DUMMYFUNCTION("""COMPUTED_VALUE"""),0)</f>
        <v>0</v>
      </c>
      <c r="Y145" s="2">
        <f ca="1">IFERROR(__xludf.DUMMYFUNCTION("""COMPUTED_VALUE"""),0)</f>
        <v>0</v>
      </c>
      <c r="AB145" s="2" t="str">
        <f ca="1">IFERROR(__xludf.DUMMYFUNCTION("""COMPUTED_VALUE"""),"X")</f>
        <v>X</v>
      </c>
      <c r="AC145" s="2" t="str">
        <f ca="1">IFERROR(__xludf.DUMMYFUNCTION("""COMPUTED_VALUE"""),"X")</f>
        <v>X</v>
      </c>
      <c r="AD145" s="2"/>
      <c r="AE145" s="2"/>
      <c r="AF145" s="2"/>
      <c r="AG145" s="2"/>
      <c r="AH145" s="2"/>
      <c r="AI145" s="2"/>
      <c r="AJ145" s="2"/>
      <c r="AK145" s="2"/>
      <c r="AL145" s="2"/>
      <c r="AM145" s="2">
        <f ca="1">IFERROR(__xludf.DUMMYFUNCTION("""COMPUTED_VALUE"""),2.205)</f>
        <v>2.2050000000000001</v>
      </c>
      <c r="AN145" s="2">
        <f ca="1">IFERROR(__xludf.DUMMYFUNCTION("""COMPUTED_VALUE"""),0.02)</f>
        <v>0.02</v>
      </c>
      <c r="AO145" s="2">
        <f ca="1">IFERROR(__xludf.DUMMYFUNCTION("""COMPUTED_VALUE"""),0)</f>
        <v>0</v>
      </c>
      <c r="AP145" s="2">
        <f ca="1">IFERROR(__xludf.DUMMYFUNCTION("""COMPUTED_VALUE"""),0)</f>
        <v>0</v>
      </c>
      <c r="AQ145" s="2">
        <f ca="1">IFERROR(__xludf.DUMMYFUNCTION("""COMPUTED_VALUE"""),0)</f>
        <v>0</v>
      </c>
      <c r="AR145" s="2">
        <f ca="1">IFERROR(__xludf.DUMMYFUNCTION("""COMPUTED_VALUE"""),0)</f>
        <v>0</v>
      </c>
      <c r="AS145" s="2">
        <f ca="1">IFERROR(__xludf.DUMMYFUNCTION("""COMPUTED_VALUE"""),0)</f>
        <v>0</v>
      </c>
      <c r="AT145" s="2">
        <f ca="1">IFERROR(__xludf.DUMMYFUNCTION("""COMPUTED_VALUE"""),0)</f>
        <v>0</v>
      </c>
      <c r="AU145" s="2">
        <f ca="1">IFERROR(__xludf.DUMMYFUNCTION("""COMPUTED_VALUE"""),0)</f>
        <v>0</v>
      </c>
      <c r="AV145" s="2">
        <f ca="1">IFERROR(__xludf.DUMMYFUNCTION("""COMPUTED_VALUE"""),0)</f>
        <v>0</v>
      </c>
      <c r="AW145" s="2">
        <f ca="1">IFERROR(__xludf.DUMMYFUNCTION("""COMPUTED_VALUE"""),0)</f>
        <v>0</v>
      </c>
      <c r="AY145" s="2">
        <f t="shared" ca="1" si="0"/>
        <v>2</v>
      </c>
      <c r="AZ145" s="2" t="e">
        <f ca="1">IF(NOT(COUNTA(D145:J145)), _xludf.IFS(AL145="W", 'Round Bonuses'!$F$14, AL145="X", 'Round Bonuses'!$F$13, AK145="X", 'Round Bonuses'!$F$12, AJ145="X", 'Round Bonuses'!$F$11, AI145="X", 'Round Bonuses'!$F$10, AH145="X", 'Round Bonuses'!$F$9, AG145="X", 'Round Bonuses'!$F$8, AF145="X", 'Round Bonuses'!$F$7, AE145="X", 'Round Bonuses'!$F$6, AD145="X", 'Round Bonuses'!$F$5, AC145="X", 'Round Bonuses'!$F$4, AB145="X", 'Round Bonuses'!$F$3, TRUE, 0), IF(AA145="X", _xludf.IFS(AD145="X", 'Round Bonuses'!$E$4, AF145="X",'Round Bonuses'!$E$6,TRUE, 'Round Bonuses'!$E$7), 0) +IF(AB145="X", 'Round Bonuses'!$E$3, 0)+IF(AC145="X",'Round Bonuses'!$E$4, 0)+IF(AD145="X", 'Round Bonuses'!$E$5, 0)+IF(AE145="X", 'Round Bonuses'!$E$6, 0)+IF(AF145="X", 'Round Bonuses'!$E$7, 0)+IF(AG145="X", 'Round Bonuses'!$E$8, 0)+_xludf.IFS(AL145="W", 'Round Bonuses'!$G$14, AL145="X", 'Round Bonuses'!$G$13, AK145="X", 'Round Bonuses'!$G$12, AJ145="X", 'Round Bonuses'!$G$11, AI145="X", 'Round Bonuses'!$G$10, AH145="X", 'Round Bonuses'!$G$9, TRUE, 0))+_xludf.IFS(N145="W", 'Round Bonuses'!$C$13, N145="X", 'Round Bonuses'!$C$12, M145="X", 'Round Bonuses'!$C$11, L145="X", 'Round Bonuses'!$C$10, K145="X", 'Round Bonuses'!$C$9, J145="X", 'Round Bonuses'!$C$8, I145="X", 'Round Bonuses'!$C$7, H145="X", 'Round Bonuses'!$C$6, G145="X", 'Round Bonuses'!$C$5, F145="X", 'Round Bonuses'!$C$4, E145="X", 'Round Bonuses'!$C$3, D145="X", 'Round Bonuses'!$C$3, TRUE, 0)</f>
        <v>#NAME?</v>
      </c>
      <c r="BA145" s="2">
        <f t="shared" ca="1" si="1"/>
        <v>2.2250000000000001</v>
      </c>
      <c r="BB145" s="10" t="e">
        <f t="shared" ca="1" si="2"/>
        <v>#NAME?</v>
      </c>
      <c r="BD145" s="11" t="str">
        <f t="shared" ca="1" si="3"/>
        <v>NSÍ Runavík</v>
      </c>
      <c r="BE145" s="2" t="str">
        <f t="shared" ca="1" si="4"/>
        <v>Faroe Islands</v>
      </c>
      <c r="BF145" s="2" t="e">
        <f t="shared" ca="1" si="5"/>
        <v>#NAME?</v>
      </c>
      <c r="BG145" s="2">
        <f t="shared" ca="1" si="6"/>
        <v>2</v>
      </c>
      <c r="BH145" s="2" t="s">
        <v>207</v>
      </c>
      <c r="BI145" s="2" t="s">
        <v>198</v>
      </c>
      <c r="BJ145" s="7">
        <v>2.0959374999999998</v>
      </c>
      <c r="BK145" s="2">
        <v>4</v>
      </c>
      <c r="BL145" s="2">
        <f t="shared" si="10"/>
        <v>143</v>
      </c>
      <c r="BM145" s="2" t="str">
        <f t="shared" si="7"/>
        <v>Linfield</v>
      </c>
      <c r="BN145" s="7">
        <f t="shared" ref="BN145:BO145" si="152">BJ145</f>
        <v>2.0959374999999998</v>
      </c>
      <c r="BO145" s="2">
        <f t="shared" si="152"/>
        <v>4</v>
      </c>
      <c r="BS145" s="2" t="str">
        <f t="shared" si="9"/>
        <v>Northern Ireland</v>
      </c>
    </row>
    <row r="146" spans="1:71" ht="13.8" x14ac:dyDescent="0.45">
      <c r="A146" s="2" t="str">
        <f ca="1">IFERROR(__xludf.DUMMYFUNCTION("""COMPUTED_VALUE"""),"OFI")</f>
        <v>OFI</v>
      </c>
      <c r="B146" s="2">
        <f ca="1">IFERROR(__xludf.DUMMYFUNCTION("""COMPUTED_VALUE"""),0.81)</f>
        <v>0.81</v>
      </c>
      <c r="C146" s="2" t="str">
        <f ca="1">IFERROR(__xludf.DUMMYFUNCTION("""COMPUTED_VALUE"""),"Greece")</f>
        <v>Greece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5">
        <f ca="1">IFERROR(__xludf.DUMMYFUNCTION("""COMPUTED_VALUE"""),0)</f>
        <v>0</v>
      </c>
      <c r="P146" s="2">
        <f ca="1">IFERROR(__xludf.DUMMYFUNCTION("""COMPUTED_VALUE"""),0)</f>
        <v>0</v>
      </c>
      <c r="Q146" s="2">
        <f ca="1">IFERROR(__xludf.DUMMYFUNCTION("""COMPUTED_VALUE"""),0)</f>
        <v>0</v>
      </c>
      <c r="R146" s="2">
        <f ca="1">IFERROR(__xludf.DUMMYFUNCTION("""COMPUTED_VALUE"""),0)</f>
        <v>0</v>
      </c>
      <c r="S146" s="2">
        <f ca="1">IFERROR(__xludf.DUMMYFUNCTION("""COMPUTED_VALUE"""),0)</f>
        <v>0</v>
      </c>
      <c r="T146" s="2">
        <f ca="1">IFERROR(__xludf.DUMMYFUNCTION("""COMPUTED_VALUE"""),0)</f>
        <v>0</v>
      </c>
      <c r="U146" s="2">
        <f ca="1">IFERROR(__xludf.DUMMYFUNCTION("""COMPUTED_VALUE"""),0)</f>
        <v>0</v>
      </c>
      <c r="V146" s="2">
        <f ca="1">IFERROR(__xludf.DUMMYFUNCTION("""COMPUTED_VALUE"""),0)</f>
        <v>0</v>
      </c>
      <c r="W146" s="2">
        <f ca="1">IFERROR(__xludf.DUMMYFUNCTION("""COMPUTED_VALUE"""),0)</f>
        <v>0</v>
      </c>
      <c r="X146" s="2">
        <f ca="1">IFERROR(__xludf.DUMMYFUNCTION("""COMPUTED_VALUE"""),0)</f>
        <v>0</v>
      </c>
      <c r="Y146" s="2">
        <f ca="1">IFERROR(__xludf.DUMMYFUNCTION("""COMPUTED_VALUE"""),0)</f>
        <v>0</v>
      </c>
      <c r="AB146" s="2"/>
      <c r="AC146" s="2"/>
      <c r="AD146" s="2" t="str">
        <f ca="1">IFERROR(__xludf.DUMMYFUNCTION("""COMPUTED_VALUE"""),"X")</f>
        <v>X</v>
      </c>
      <c r="AE146" s="2"/>
      <c r="AF146" s="2"/>
      <c r="AG146" s="2"/>
      <c r="AH146" s="2"/>
      <c r="AI146" s="2"/>
      <c r="AJ146" s="2"/>
      <c r="AK146" s="2"/>
      <c r="AL146" s="2"/>
      <c r="AM146" s="2">
        <f ca="1">IFERROR(__xludf.DUMMYFUNCTION("""COMPUTED_VALUE"""),0)</f>
        <v>0</v>
      </c>
      <c r="AN146" s="2">
        <f ca="1">IFERROR(__xludf.DUMMYFUNCTION("""COMPUTED_VALUE"""),0)</f>
        <v>0</v>
      </c>
      <c r="AO146" s="2">
        <f ca="1">IFERROR(__xludf.DUMMYFUNCTION("""COMPUTED_VALUE"""),0.665)</f>
        <v>0.66500000000000004</v>
      </c>
      <c r="AP146" s="2">
        <f ca="1">IFERROR(__xludf.DUMMYFUNCTION("""COMPUTED_VALUE"""),0)</f>
        <v>0</v>
      </c>
      <c r="AQ146" s="2">
        <f ca="1">IFERROR(__xludf.DUMMYFUNCTION("""COMPUTED_VALUE"""),0)</f>
        <v>0</v>
      </c>
      <c r="AR146" s="2">
        <f ca="1">IFERROR(__xludf.DUMMYFUNCTION("""COMPUTED_VALUE"""),0)</f>
        <v>0</v>
      </c>
      <c r="AS146" s="2">
        <f ca="1">IFERROR(__xludf.DUMMYFUNCTION("""COMPUTED_VALUE"""),0)</f>
        <v>0</v>
      </c>
      <c r="AT146" s="2">
        <f ca="1">IFERROR(__xludf.DUMMYFUNCTION("""COMPUTED_VALUE"""),0)</f>
        <v>0</v>
      </c>
      <c r="AU146" s="2">
        <f ca="1">IFERROR(__xludf.DUMMYFUNCTION("""COMPUTED_VALUE"""),0)</f>
        <v>0</v>
      </c>
      <c r="AV146" s="2">
        <f ca="1">IFERROR(__xludf.DUMMYFUNCTION("""COMPUTED_VALUE"""),0)</f>
        <v>0</v>
      </c>
      <c r="AW146" s="2">
        <f ca="1">IFERROR(__xludf.DUMMYFUNCTION("""COMPUTED_VALUE"""),0)</f>
        <v>0</v>
      </c>
      <c r="AY146" s="2">
        <f t="shared" ca="1" si="0"/>
        <v>1</v>
      </c>
      <c r="AZ146" s="2" t="e">
        <f ca="1">IF(NOT(COUNTA(D146:J146)), _xludf.IFS(AL146="W", 'Round Bonuses'!$F$14, AL146="X", 'Round Bonuses'!$F$13, AK146="X", 'Round Bonuses'!$F$12, AJ146="X", 'Round Bonuses'!$F$11, AI146="X", 'Round Bonuses'!$F$10, AH146="X", 'Round Bonuses'!$F$9, AG146="X", 'Round Bonuses'!$F$8, AF146="X", 'Round Bonuses'!$F$7, AE146="X", 'Round Bonuses'!$F$6, AD146="X", 'Round Bonuses'!$F$5, AC146="X", 'Round Bonuses'!$F$4, AB146="X", 'Round Bonuses'!$F$3, TRUE, 0), IF(AA146="X", _xludf.IFS(AD146="X", 'Round Bonuses'!$E$4, AF146="X",'Round Bonuses'!$E$6,TRUE, 'Round Bonuses'!$E$7), 0) +IF(AB146="X", 'Round Bonuses'!$E$3, 0)+IF(AC146="X",'Round Bonuses'!$E$4, 0)+IF(AD146="X", 'Round Bonuses'!$E$5, 0)+IF(AE146="X", 'Round Bonuses'!$E$6, 0)+IF(AF146="X", 'Round Bonuses'!$E$7, 0)+IF(AG146="X", 'Round Bonuses'!$E$8, 0)+_xludf.IFS(AL146="W", 'Round Bonuses'!$G$14, AL146="X", 'Round Bonuses'!$G$13, AK146="X", 'Round Bonuses'!$G$12, AJ146="X", 'Round Bonuses'!$G$11, AI146="X", 'Round Bonuses'!$G$10, AH146="X", 'Round Bonuses'!$G$9, TRUE, 0))+_xludf.IFS(N146="W", 'Round Bonuses'!$C$13, N146="X", 'Round Bonuses'!$C$12, M146="X", 'Round Bonuses'!$C$11, L146="X", 'Round Bonuses'!$C$10, K146="X", 'Round Bonuses'!$C$9, J146="X", 'Round Bonuses'!$C$8, I146="X", 'Round Bonuses'!$C$7, H146="X", 'Round Bonuses'!$C$6, G146="X", 'Round Bonuses'!$C$5, F146="X", 'Round Bonuses'!$C$4, E146="X", 'Round Bonuses'!$C$3, D146="X", 'Round Bonuses'!$C$3, TRUE, 0)</f>
        <v>#NAME?</v>
      </c>
      <c r="BA146" s="2">
        <f t="shared" ca="1" si="1"/>
        <v>0.66500000000000004</v>
      </c>
      <c r="BB146" s="10" t="e">
        <f t="shared" ca="1" si="2"/>
        <v>#NAME?</v>
      </c>
      <c r="BD146" s="11" t="str">
        <f t="shared" ca="1" si="3"/>
        <v>OFI</v>
      </c>
      <c r="BE146" s="2" t="str">
        <f t="shared" ca="1" si="4"/>
        <v>Greece</v>
      </c>
      <c r="BF146" s="2" t="e">
        <f t="shared" ca="1" si="5"/>
        <v>#NAME?</v>
      </c>
      <c r="BG146" s="2">
        <f t="shared" ca="1" si="6"/>
        <v>1</v>
      </c>
      <c r="BH146" s="2" t="s">
        <v>208</v>
      </c>
      <c r="BI146" s="2" t="s">
        <v>52</v>
      </c>
      <c r="BJ146" s="7">
        <v>2.0949999999999998</v>
      </c>
      <c r="BK146" s="2">
        <v>2</v>
      </c>
      <c r="BL146" s="2">
        <f t="shared" si="10"/>
        <v>144</v>
      </c>
      <c r="BM146" s="2" t="str">
        <f t="shared" si="7"/>
        <v>Lokomotiva</v>
      </c>
      <c r="BN146" s="7">
        <f t="shared" ref="BN146:BO146" si="153">BJ146</f>
        <v>2.0949999999999998</v>
      </c>
      <c r="BO146" s="2">
        <f t="shared" si="153"/>
        <v>2</v>
      </c>
      <c r="BS146" s="2" t="str">
        <f t="shared" si="9"/>
        <v>Croatia</v>
      </c>
    </row>
    <row r="147" spans="1:71" ht="13.8" x14ac:dyDescent="0.45">
      <c r="A147" s="2" t="str">
        <f ca="1">IFERROR(__xludf.DUMMYFUNCTION("""COMPUTED_VALUE"""),"Olimpija Ljubljana")</f>
        <v>Olimpija Ljubljana</v>
      </c>
      <c r="B147" s="2">
        <f ca="1">IFERROR(__xludf.DUMMYFUNCTION("""COMPUTED_VALUE"""),0.669999999999999)</f>
        <v>0.66999999999999904</v>
      </c>
      <c r="C147" s="2" t="str">
        <f ca="1">IFERROR(__xludf.DUMMYFUNCTION("""COMPUTED_VALUE"""),"Slovenia")</f>
        <v>Slovenia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5">
        <f ca="1">IFERROR(__xludf.DUMMYFUNCTION("""COMPUTED_VALUE"""),0)</f>
        <v>0</v>
      </c>
      <c r="P147" s="2">
        <f ca="1">IFERROR(__xludf.DUMMYFUNCTION("""COMPUTED_VALUE"""),0)</f>
        <v>0</v>
      </c>
      <c r="Q147" s="2">
        <f ca="1">IFERROR(__xludf.DUMMYFUNCTION("""COMPUTED_VALUE"""),0)</f>
        <v>0</v>
      </c>
      <c r="R147" s="2">
        <f ca="1">IFERROR(__xludf.DUMMYFUNCTION("""COMPUTED_VALUE"""),0)</f>
        <v>0</v>
      </c>
      <c r="S147" s="2">
        <f ca="1">IFERROR(__xludf.DUMMYFUNCTION("""COMPUTED_VALUE"""),0)</f>
        <v>0</v>
      </c>
      <c r="T147" s="2">
        <f ca="1">IFERROR(__xludf.DUMMYFUNCTION("""COMPUTED_VALUE"""),0)</f>
        <v>0</v>
      </c>
      <c r="U147" s="2">
        <f ca="1">IFERROR(__xludf.DUMMYFUNCTION("""COMPUTED_VALUE"""),0)</f>
        <v>0</v>
      </c>
      <c r="V147" s="2">
        <f ca="1">IFERROR(__xludf.DUMMYFUNCTION("""COMPUTED_VALUE"""),0)</f>
        <v>0</v>
      </c>
      <c r="W147" s="2">
        <f ca="1">IFERROR(__xludf.DUMMYFUNCTION("""COMPUTED_VALUE"""),0)</f>
        <v>0</v>
      </c>
      <c r="X147" s="2">
        <f ca="1">IFERROR(__xludf.DUMMYFUNCTION("""COMPUTED_VALUE"""),0)</f>
        <v>0</v>
      </c>
      <c r="Y147" s="2">
        <f ca="1">IFERROR(__xludf.DUMMYFUNCTION("""COMPUTED_VALUE"""),0)</f>
        <v>0</v>
      </c>
      <c r="AB147" s="2"/>
      <c r="AC147" s="2" t="str">
        <f ca="1">IFERROR(__xludf.DUMMYFUNCTION("""COMPUTED_VALUE"""),"X")</f>
        <v>X</v>
      </c>
      <c r="AD147" s="2" t="str">
        <f ca="1">IFERROR(__xludf.DUMMYFUNCTION("""COMPUTED_VALUE"""),"X")</f>
        <v>X</v>
      </c>
      <c r="AE147" s="2"/>
      <c r="AF147" s="2"/>
      <c r="AG147" s="2"/>
      <c r="AH147" s="2"/>
      <c r="AI147" s="2"/>
      <c r="AJ147" s="2"/>
      <c r="AK147" s="2"/>
      <c r="AL147" s="2"/>
      <c r="AM147" s="2">
        <f ca="1">IFERROR(__xludf.DUMMYFUNCTION("""COMPUTED_VALUE"""),0)</f>
        <v>0</v>
      </c>
      <c r="AN147" s="2">
        <f ca="1">IFERROR(__xludf.DUMMYFUNCTION("""COMPUTED_VALUE"""),2.43375)</f>
        <v>2.4337499999999999</v>
      </c>
      <c r="AO147" s="2">
        <f ca="1">IFERROR(__xludf.DUMMYFUNCTION("""COMPUTED_VALUE"""),0.775)</f>
        <v>0.77500000000000002</v>
      </c>
      <c r="AP147" s="2">
        <f ca="1">IFERROR(__xludf.DUMMYFUNCTION("""COMPUTED_VALUE"""),0)</f>
        <v>0</v>
      </c>
      <c r="AQ147" s="2">
        <f ca="1">IFERROR(__xludf.DUMMYFUNCTION("""COMPUTED_VALUE"""),0)</f>
        <v>0</v>
      </c>
      <c r="AR147" s="2">
        <f ca="1">IFERROR(__xludf.DUMMYFUNCTION("""COMPUTED_VALUE"""),0)</f>
        <v>0</v>
      </c>
      <c r="AS147" s="2">
        <f ca="1">IFERROR(__xludf.DUMMYFUNCTION("""COMPUTED_VALUE"""),0)</f>
        <v>0</v>
      </c>
      <c r="AT147" s="2">
        <f ca="1">IFERROR(__xludf.DUMMYFUNCTION("""COMPUTED_VALUE"""),0)</f>
        <v>0</v>
      </c>
      <c r="AU147" s="2">
        <f ca="1">IFERROR(__xludf.DUMMYFUNCTION("""COMPUTED_VALUE"""),0)</f>
        <v>0</v>
      </c>
      <c r="AV147" s="2">
        <f ca="1">IFERROR(__xludf.DUMMYFUNCTION("""COMPUTED_VALUE"""),0)</f>
        <v>0</v>
      </c>
      <c r="AW147" s="2">
        <f ca="1">IFERROR(__xludf.DUMMYFUNCTION("""COMPUTED_VALUE"""),0)</f>
        <v>0</v>
      </c>
      <c r="AY147" s="2">
        <f t="shared" ca="1" si="0"/>
        <v>2</v>
      </c>
      <c r="AZ147" s="2" t="e">
        <f ca="1">IF(NOT(COUNTA(D147:J147)), _xludf.IFS(AL147="W", 'Round Bonuses'!$F$14, AL147="X", 'Round Bonuses'!$F$13, AK147="X", 'Round Bonuses'!$F$12, AJ147="X", 'Round Bonuses'!$F$11, AI147="X", 'Round Bonuses'!$F$10, AH147="X", 'Round Bonuses'!$F$9, AG147="X", 'Round Bonuses'!$F$8, AF147="X", 'Round Bonuses'!$F$7, AE147="X", 'Round Bonuses'!$F$6, AD147="X", 'Round Bonuses'!$F$5, AC147="X", 'Round Bonuses'!$F$4, AB147="X", 'Round Bonuses'!$F$3, TRUE, 0), IF(AA147="X", _xludf.IFS(AD147="X", 'Round Bonuses'!$E$4, AF147="X",'Round Bonuses'!$E$6,TRUE, 'Round Bonuses'!$E$7), 0) +IF(AB147="X", 'Round Bonuses'!$E$3, 0)+IF(AC147="X",'Round Bonuses'!$E$4, 0)+IF(AD147="X", 'Round Bonuses'!$E$5, 0)+IF(AE147="X", 'Round Bonuses'!$E$6, 0)+IF(AF147="X", 'Round Bonuses'!$E$7, 0)+IF(AG147="X", 'Round Bonuses'!$E$8, 0)+_xludf.IFS(AL147="W", 'Round Bonuses'!$G$14, AL147="X", 'Round Bonuses'!$G$13, AK147="X", 'Round Bonuses'!$G$12, AJ147="X", 'Round Bonuses'!$G$11, AI147="X", 'Round Bonuses'!$G$10, AH147="X", 'Round Bonuses'!$G$9, TRUE, 0))+_xludf.IFS(N147="W", 'Round Bonuses'!$C$13, N147="X", 'Round Bonuses'!$C$12, M147="X", 'Round Bonuses'!$C$11, L147="X", 'Round Bonuses'!$C$10, K147="X", 'Round Bonuses'!$C$9, J147="X", 'Round Bonuses'!$C$8, I147="X", 'Round Bonuses'!$C$7, H147="X", 'Round Bonuses'!$C$6, G147="X", 'Round Bonuses'!$C$5, F147="X", 'Round Bonuses'!$C$4, E147="X", 'Round Bonuses'!$C$3, D147="X", 'Round Bonuses'!$C$3, TRUE, 0)</f>
        <v>#NAME?</v>
      </c>
      <c r="BA147" s="2">
        <f t="shared" ca="1" si="1"/>
        <v>3.2087499999999998</v>
      </c>
      <c r="BB147" s="10" t="e">
        <f t="shared" ca="1" si="2"/>
        <v>#NAME?</v>
      </c>
      <c r="BD147" s="11" t="str">
        <f t="shared" ca="1" si="3"/>
        <v>Olimpija Ljubljana</v>
      </c>
      <c r="BE147" s="2" t="str">
        <f t="shared" ca="1" si="4"/>
        <v>Slovenia</v>
      </c>
      <c r="BF147" s="2" t="e">
        <f t="shared" ca="1" si="5"/>
        <v>#NAME?</v>
      </c>
      <c r="BG147" s="2">
        <f t="shared" ca="1" si="6"/>
        <v>2</v>
      </c>
      <c r="BH147" s="2" t="s">
        <v>209</v>
      </c>
      <c r="BI147" s="2" t="s">
        <v>210</v>
      </c>
      <c r="BJ147" s="7">
        <v>2.0908333333333329</v>
      </c>
      <c r="BK147" s="2">
        <v>3</v>
      </c>
      <c r="BL147" s="2">
        <f t="shared" si="10"/>
        <v>145</v>
      </c>
      <c r="BM147" s="2" t="str">
        <f t="shared" si="7"/>
        <v>Lincoln Red Imps</v>
      </c>
      <c r="BN147" s="7">
        <f t="shared" ref="BN147:BO147" si="154">BJ147</f>
        <v>2.0908333333333329</v>
      </c>
      <c r="BO147" s="2">
        <f t="shared" si="154"/>
        <v>3</v>
      </c>
      <c r="BS147" s="2" t="str">
        <f t="shared" si="9"/>
        <v>Gibraltar</v>
      </c>
    </row>
    <row r="148" spans="1:71" ht="13.8" x14ac:dyDescent="0.45">
      <c r="A148" s="2" t="str">
        <f ca="1">IFERROR(__xludf.DUMMYFUNCTION("""COMPUTED_VALUE"""),"Olympiacos")</f>
        <v>Olympiacos</v>
      </c>
      <c r="B148" s="2">
        <f ca="1">IFERROR(__xludf.DUMMYFUNCTION("""COMPUTED_VALUE"""),0.86)</f>
        <v>0.86</v>
      </c>
      <c r="C148" s="2" t="str">
        <f ca="1">IFERROR(__xludf.DUMMYFUNCTION("""COMPUTED_VALUE"""),"Greece")</f>
        <v>Greece</v>
      </c>
      <c r="D148" s="2"/>
      <c r="E148" s="2"/>
      <c r="F148" s="2"/>
      <c r="G148" s="2"/>
      <c r="H148" s="2"/>
      <c r="I148" s="2" t="str">
        <f ca="1">IFERROR(__xludf.DUMMYFUNCTION("""COMPUTED_VALUE"""),"X")</f>
        <v>X</v>
      </c>
      <c r="J148" s="2" t="str">
        <f ca="1">IFERROR(__xludf.DUMMYFUNCTION("""COMPUTED_VALUE"""),"X")</f>
        <v>X</v>
      </c>
      <c r="K148" s="2"/>
      <c r="L148" s="2"/>
      <c r="M148" s="2"/>
      <c r="N148" s="2"/>
      <c r="O148" s="5">
        <f ca="1">IFERROR(__xludf.DUMMYFUNCTION("""COMPUTED_VALUE"""),0)</f>
        <v>0</v>
      </c>
      <c r="P148" s="2">
        <f ca="1">IFERROR(__xludf.DUMMYFUNCTION("""COMPUTED_VALUE"""),0)</f>
        <v>0</v>
      </c>
      <c r="Q148" s="2">
        <f ca="1">IFERROR(__xludf.DUMMYFUNCTION("""COMPUTED_VALUE"""),0)</f>
        <v>0</v>
      </c>
      <c r="R148" s="2">
        <f ca="1">IFERROR(__xludf.DUMMYFUNCTION("""COMPUTED_VALUE"""),0)</f>
        <v>0</v>
      </c>
      <c r="S148" s="2">
        <f ca="1">IFERROR(__xludf.DUMMYFUNCTION("""COMPUTED_VALUE"""),0)</f>
        <v>0</v>
      </c>
      <c r="T148" s="2">
        <f ca="1">IFERROR(__xludf.DUMMYFUNCTION("""COMPUTED_VALUE"""),5.125)</f>
        <v>5.125</v>
      </c>
      <c r="U148" s="2">
        <f ca="1">IFERROR(__xludf.DUMMYFUNCTION("""COMPUTED_VALUE"""),7.49249999999999)</f>
        <v>7.4924999999999899</v>
      </c>
      <c r="V148" s="2">
        <f ca="1">IFERROR(__xludf.DUMMYFUNCTION("""COMPUTED_VALUE"""),0)</f>
        <v>0</v>
      </c>
      <c r="W148" s="2">
        <f ca="1">IFERROR(__xludf.DUMMYFUNCTION("""COMPUTED_VALUE"""),0)</f>
        <v>0</v>
      </c>
      <c r="X148" s="2">
        <f ca="1">IFERROR(__xludf.DUMMYFUNCTION("""COMPUTED_VALUE"""),0)</f>
        <v>0</v>
      </c>
      <c r="Y148" s="2">
        <f ca="1">IFERROR(__xludf.DUMMYFUNCTION("""COMPUTED_VALUE"""),0)</f>
        <v>0</v>
      </c>
      <c r="AB148" s="2"/>
      <c r="AC148" s="2"/>
      <c r="AD148" s="2"/>
      <c r="AE148" s="2"/>
      <c r="AF148" s="2"/>
      <c r="AG148" s="2"/>
      <c r="AH148" s="2" t="str">
        <f ca="1">IFERROR(__xludf.DUMMYFUNCTION("""COMPUTED_VALUE"""),"X")</f>
        <v>X</v>
      </c>
      <c r="AI148" s="2" t="str">
        <f ca="1">IFERROR(__xludf.DUMMYFUNCTION("""COMPUTED_VALUE"""),"X")</f>
        <v>X</v>
      </c>
      <c r="AJ148" s="2"/>
      <c r="AK148" s="2"/>
      <c r="AL148" s="2"/>
      <c r="AM148" s="2">
        <f ca="1">IFERROR(__xludf.DUMMYFUNCTION("""COMPUTED_VALUE"""),0)</f>
        <v>0</v>
      </c>
      <c r="AN148" s="2">
        <f ca="1">IFERROR(__xludf.DUMMYFUNCTION("""COMPUTED_VALUE"""),0)</f>
        <v>0</v>
      </c>
      <c r="AO148" s="2">
        <f ca="1">IFERROR(__xludf.DUMMYFUNCTION("""COMPUTED_VALUE"""),0)</f>
        <v>0</v>
      </c>
      <c r="AP148" s="2">
        <f ca="1">IFERROR(__xludf.DUMMYFUNCTION("""COMPUTED_VALUE"""),0)</f>
        <v>0</v>
      </c>
      <c r="AQ148" s="2">
        <f ca="1">IFERROR(__xludf.DUMMYFUNCTION("""COMPUTED_VALUE"""),0)</f>
        <v>0</v>
      </c>
      <c r="AR148" s="2">
        <f ca="1">IFERROR(__xludf.DUMMYFUNCTION("""COMPUTED_VALUE"""),0)</f>
        <v>0</v>
      </c>
      <c r="AS148" s="2">
        <f ca="1">IFERROR(__xludf.DUMMYFUNCTION("""COMPUTED_VALUE"""),4.39)</f>
        <v>4.3899999999999997</v>
      </c>
      <c r="AT148" s="2">
        <f ca="1">IFERROR(__xludf.DUMMYFUNCTION("""COMPUTED_VALUE"""),4.51624999999999)</f>
        <v>4.5162499999999897</v>
      </c>
      <c r="AU148" s="2">
        <f ca="1">IFERROR(__xludf.DUMMYFUNCTION("""COMPUTED_VALUE"""),0)</f>
        <v>0</v>
      </c>
      <c r="AV148" s="2">
        <f ca="1">IFERROR(__xludf.DUMMYFUNCTION("""COMPUTED_VALUE"""),0)</f>
        <v>0</v>
      </c>
      <c r="AW148" s="2">
        <f ca="1">IFERROR(__xludf.DUMMYFUNCTION("""COMPUTED_VALUE"""),0)</f>
        <v>0</v>
      </c>
      <c r="AY148" s="2">
        <f t="shared" ca="1" si="0"/>
        <v>12</v>
      </c>
      <c r="AZ148" s="2" t="e">
        <f ca="1">IF(NOT(COUNTA(D148:J148)), _xludf.IFS(AL148="W", 'Round Bonuses'!$F$14, AL148="X", 'Round Bonuses'!$F$13, AK148="X", 'Round Bonuses'!$F$12, AJ148="X", 'Round Bonuses'!$F$11, AI148="X", 'Round Bonuses'!$F$10, AH148="X", 'Round Bonuses'!$F$9, AG148="X", 'Round Bonuses'!$F$8, AF148="X", 'Round Bonuses'!$F$7, AE148="X", 'Round Bonuses'!$F$6, AD148="X", 'Round Bonuses'!$F$5, AC148="X", 'Round Bonuses'!$F$4, AB148="X", 'Round Bonuses'!$F$3, TRUE, 0), IF(AA148="X", _xludf.IFS(AD148="X", 'Round Bonuses'!$E$4, AF148="X",'Round Bonuses'!$E$6,TRUE, 'Round Bonuses'!$E$7), 0) +IF(AB148="X", 'Round Bonuses'!$E$3, 0)+IF(AC148="X",'Round Bonuses'!$E$4, 0)+IF(AD148="X", 'Round Bonuses'!$E$5, 0)+IF(AE148="X", 'Round Bonuses'!$E$6, 0)+IF(AF148="X", 'Round Bonuses'!$E$7, 0)+IF(AG148="X", 'Round Bonuses'!$E$8, 0)+_xludf.IFS(AL148="W", 'Round Bonuses'!$G$14, AL148="X", 'Round Bonuses'!$G$13, AK148="X", 'Round Bonuses'!$G$12, AJ148="X", 'Round Bonuses'!$G$11, AI148="X", 'Round Bonuses'!$G$10, AH148="X", 'Round Bonuses'!$G$9, TRUE, 0))+_xludf.IFS(N148="W", 'Round Bonuses'!$C$13, N148="X", 'Round Bonuses'!$C$12, M148="X", 'Round Bonuses'!$C$11, L148="X", 'Round Bonuses'!$C$10, K148="X", 'Round Bonuses'!$C$9, J148="X", 'Round Bonuses'!$C$8, I148="X", 'Round Bonuses'!$C$7, H148="X", 'Round Bonuses'!$C$6, G148="X", 'Round Bonuses'!$C$5, F148="X", 'Round Bonuses'!$C$4, E148="X", 'Round Bonuses'!$C$3, D148="X", 'Round Bonuses'!$C$3, TRUE, 0)</f>
        <v>#NAME?</v>
      </c>
      <c r="BA148" s="2">
        <f t="shared" ca="1" si="1"/>
        <v>21.523749999999978</v>
      </c>
      <c r="BB148" s="10" t="e">
        <f t="shared" ca="1" si="2"/>
        <v>#NAME?</v>
      </c>
      <c r="BD148" s="11" t="str">
        <f t="shared" ca="1" si="3"/>
        <v>Olympiacos</v>
      </c>
      <c r="BE148" s="2" t="str">
        <f t="shared" ca="1" si="4"/>
        <v>Greece</v>
      </c>
      <c r="BF148" s="2" t="e">
        <f t="shared" ca="1" si="5"/>
        <v>#NAME?</v>
      </c>
      <c r="BG148" s="2">
        <f t="shared" ca="1" si="6"/>
        <v>12</v>
      </c>
      <c r="BH148" s="2" t="s">
        <v>211</v>
      </c>
      <c r="BI148" s="2" t="s">
        <v>212</v>
      </c>
      <c r="BJ148" s="7">
        <v>2.0787500000000003</v>
      </c>
      <c r="BK148" s="2">
        <v>2</v>
      </c>
      <c r="BL148" s="2">
        <f t="shared" si="10"/>
        <v>146</v>
      </c>
      <c r="BM148" s="2" t="str">
        <f t="shared" si="7"/>
        <v>Kairat</v>
      </c>
      <c r="BN148" s="7">
        <f t="shared" ref="BN148:BO148" si="155">BJ148</f>
        <v>2.0787500000000003</v>
      </c>
      <c r="BO148" s="2">
        <f t="shared" si="155"/>
        <v>2</v>
      </c>
      <c r="BS148" s="2" t="str">
        <f t="shared" si="9"/>
        <v>Kazakhstan</v>
      </c>
    </row>
    <row r="149" spans="1:71" ht="13.8" x14ac:dyDescent="0.45">
      <c r="A149" s="2" t="str">
        <f ca="1">IFERROR(__xludf.DUMMYFUNCTION("""COMPUTED_VALUE"""),"Omonia")</f>
        <v>Omonia</v>
      </c>
      <c r="B149" s="2">
        <f ca="1">IFERROR(__xludf.DUMMYFUNCTION("""COMPUTED_VALUE"""),0.82)</f>
        <v>0.82</v>
      </c>
      <c r="C149" s="2" t="str">
        <f ca="1">IFERROR(__xludf.DUMMYFUNCTION("""COMPUTED_VALUE"""),"Cyprus")</f>
        <v>Cyprus</v>
      </c>
      <c r="D149" s="2"/>
      <c r="E149" s="2"/>
      <c r="F149" s="2" t="str">
        <f ca="1">IFERROR(__xludf.DUMMYFUNCTION("""COMPUTED_VALUE"""),"X")</f>
        <v>X</v>
      </c>
      <c r="G149" s="2" t="str">
        <f ca="1">IFERROR(__xludf.DUMMYFUNCTION("""COMPUTED_VALUE"""),"X")</f>
        <v>X</v>
      </c>
      <c r="H149" s="2" t="str">
        <f ca="1">IFERROR(__xludf.DUMMYFUNCTION("""COMPUTED_VALUE"""),"X")</f>
        <v>X</v>
      </c>
      <c r="I149" s="2" t="str">
        <f ca="1">IFERROR(__xludf.DUMMYFUNCTION("""COMPUTED_VALUE"""),"X")</f>
        <v>X</v>
      </c>
      <c r="J149" s="2"/>
      <c r="K149" s="2"/>
      <c r="L149" s="2"/>
      <c r="M149" s="2"/>
      <c r="N149" s="2"/>
      <c r="O149" s="5">
        <f ca="1">IFERROR(__xludf.DUMMYFUNCTION("""COMPUTED_VALUE"""),0)</f>
        <v>0</v>
      </c>
      <c r="P149" s="2">
        <f ca="1">IFERROR(__xludf.DUMMYFUNCTION("""COMPUTED_VALUE"""),0)</f>
        <v>0</v>
      </c>
      <c r="Q149" s="2">
        <f ca="1">IFERROR(__xludf.DUMMYFUNCTION("""COMPUTED_VALUE"""),2.31)</f>
        <v>2.31</v>
      </c>
      <c r="R149" s="2">
        <f ca="1">IFERROR(__xludf.DUMMYFUNCTION("""COMPUTED_VALUE"""),3.1875)</f>
        <v>3.1875</v>
      </c>
      <c r="S149" s="2">
        <f ca="1">IFERROR(__xludf.DUMMYFUNCTION("""COMPUTED_VALUE"""),2.835)</f>
        <v>2.835</v>
      </c>
      <c r="T149" s="2">
        <f ca="1">IFERROR(__xludf.DUMMYFUNCTION("""COMPUTED_VALUE"""),2.33)</f>
        <v>2.33</v>
      </c>
      <c r="U149" s="2">
        <f ca="1">IFERROR(__xludf.DUMMYFUNCTION("""COMPUTED_VALUE"""),0)</f>
        <v>0</v>
      </c>
      <c r="V149" s="2">
        <f ca="1">IFERROR(__xludf.DUMMYFUNCTION("""COMPUTED_VALUE"""),0)</f>
        <v>0</v>
      </c>
      <c r="W149" s="2">
        <f ca="1">IFERROR(__xludf.DUMMYFUNCTION("""COMPUTED_VALUE"""),0)</f>
        <v>0</v>
      </c>
      <c r="X149" s="2">
        <f ca="1">IFERROR(__xludf.DUMMYFUNCTION("""COMPUTED_VALUE"""),0)</f>
        <v>0</v>
      </c>
      <c r="Y149" s="2">
        <f ca="1">IFERROR(__xludf.DUMMYFUNCTION("""COMPUTED_VALUE"""),0)</f>
        <v>0</v>
      </c>
      <c r="AB149" s="2"/>
      <c r="AC149" s="2"/>
      <c r="AD149" s="2"/>
      <c r="AE149" s="2"/>
      <c r="AF149" s="2"/>
      <c r="AG149" s="2" t="str">
        <f ca="1">IFERROR(__xludf.DUMMYFUNCTION("""COMPUTED_VALUE"""),"X")</f>
        <v>X</v>
      </c>
      <c r="AH149" s="2"/>
      <c r="AI149" s="2"/>
      <c r="AJ149" s="2"/>
      <c r="AK149" s="2"/>
      <c r="AL149" s="2"/>
      <c r="AM149" s="2">
        <f ca="1">IFERROR(__xludf.DUMMYFUNCTION("""COMPUTED_VALUE"""),0)</f>
        <v>0</v>
      </c>
      <c r="AN149" s="2">
        <f ca="1">IFERROR(__xludf.DUMMYFUNCTION("""COMPUTED_VALUE"""),0)</f>
        <v>0</v>
      </c>
      <c r="AO149" s="2">
        <f ca="1">IFERROR(__xludf.DUMMYFUNCTION("""COMPUTED_VALUE"""),0)</f>
        <v>0</v>
      </c>
      <c r="AP149" s="2">
        <f ca="1">IFERROR(__xludf.DUMMYFUNCTION("""COMPUTED_VALUE"""),0)</f>
        <v>0</v>
      </c>
      <c r="AQ149" s="2">
        <f ca="1">IFERROR(__xludf.DUMMYFUNCTION("""COMPUTED_VALUE"""),0)</f>
        <v>0</v>
      </c>
      <c r="AR149" s="2">
        <f ca="1">IFERROR(__xludf.DUMMYFUNCTION("""COMPUTED_VALUE"""),7.78624999999999)</f>
        <v>7.7862499999999901</v>
      </c>
      <c r="AS149" s="2">
        <f ca="1">IFERROR(__xludf.DUMMYFUNCTION("""COMPUTED_VALUE"""),0)</f>
        <v>0</v>
      </c>
      <c r="AT149" s="2">
        <f ca="1">IFERROR(__xludf.DUMMYFUNCTION("""COMPUTED_VALUE"""),0)</f>
        <v>0</v>
      </c>
      <c r="AU149" s="2">
        <f ca="1">IFERROR(__xludf.DUMMYFUNCTION("""COMPUTED_VALUE"""),0)</f>
        <v>0</v>
      </c>
      <c r="AV149" s="2">
        <f ca="1">IFERROR(__xludf.DUMMYFUNCTION("""COMPUTED_VALUE"""),0)</f>
        <v>0</v>
      </c>
      <c r="AW149" s="2">
        <f ca="1">IFERROR(__xludf.DUMMYFUNCTION("""COMPUTED_VALUE"""),0)</f>
        <v>0</v>
      </c>
      <c r="AY149" s="2">
        <f t="shared" ca="1" si="0"/>
        <v>11</v>
      </c>
      <c r="AZ149" s="2" t="e">
        <f ca="1">IF(NOT(COUNTA(D149:J149)), _xludf.IFS(AL149="W", 'Round Bonuses'!$F$14, AL149="X", 'Round Bonuses'!$F$13, AK149="X", 'Round Bonuses'!$F$12, AJ149="X", 'Round Bonuses'!$F$11, AI149="X", 'Round Bonuses'!$F$10, AH149="X", 'Round Bonuses'!$F$9, AG149="X", 'Round Bonuses'!$F$8, AF149="X", 'Round Bonuses'!$F$7, AE149="X", 'Round Bonuses'!$F$6, AD149="X", 'Round Bonuses'!$F$5, AC149="X", 'Round Bonuses'!$F$4, AB149="X", 'Round Bonuses'!$F$3, TRUE, 0), IF(AA149="X", _xludf.IFS(AD149="X", 'Round Bonuses'!$E$4, AF149="X",'Round Bonuses'!$E$6,TRUE, 'Round Bonuses'!$E$7), 0) +IF(AB149="X", 'Round Bonuses'!$E$3, 0)+IF(AC149="X",'Round Bonuses'!$E$4, 0)+IF(AD149="X", 'Round Bonuses'!$E$5, 0)+IF(AE149="X", 'Round Bonuses'!$E$6, 0)+IF(AF149="X", 'Round Bonuses'!$E$7, 0)+IF(AG149="X", 'Round Bonuses'!$E$8, 0)+_xludf.IFS(AL149="W", 'Round Bonuses'!$G$14, AL149="X", 'Round Bonuses'!$G$13, AK149="X", 'Round Bonuses'!$G$12, AJ149="X", 'Round Bonuses'!$G$11, AI149="X", 'Round Bonuses'!$G$10, AH149="X", 'Round Bonuses'!$G$9, TRUE, 0))+_xludf.IFS(N149="W", 'Round Bonuses'!$C$13, N149="X", 'Round Bonuses'!$C$12, M149="X", 'Round Bonuses'!$C$11, L149="X", 'Round Bonuses'!$C$10, K149="X", 'Round Bonuses'!$C$9, J149="X", 'Round Bonuses'!$C$8, I149="X", 'Round Bonuses'!$C$7, H149="X", 'Round Bonuses'!$C$6, G149="X", 'Round Bonuses'!$C$5, F149="X", 'Round Bonuses'!$C$4, E149="X", 'Round Bonuses'!$C$3, D149="X", 'Round Bonuses'!$C$3, TRUE, 0)</f>
        <v>#NAME?</v>
      </c>
      <c r="BA149" s="2">
        <f t="shared" ca="1" si="1"/>
        <v>18.44874999999999</v>
      </c>
      <c r="BB149" s="10" t="e">
        <f t="shared" ca="1" si="2"/>
        <v>#NAME?</v>
      </c>
      <c r="BD149" s="11" t="str">
        <f t="shared" ca="1" si="3"/>
        <v>Omonia</v>
      </c>
      <c r="BE149" s="2" t="str">
        <f t="shared" ca="1" si="4"/>
        <v>Cyprus</v>
      </c>
      <c r="BF149" s="2" t="e">
        <f t="shared" ca="1" si="5"/>
        <v>#NAME?</v>
      </c>
      <c r="BG149" s="2">
        <f t="shared" ca="1" si="6"/>
        <v>11</v>
      </c>
      <c r="BH149" s="2" t="s">
        <v>213</v>
      </c>
      <c r="BI149" s="2" t="s">
        <v>157</v>
      </c>
      <c r="BJ149" s="7">
        <v>2.0562499999999999</v>
      </c>
      <c r="BK149" s="2">
        <v>2</v>
      </c>
      <c r="BL149" s="2">
        <f t="shared" si="10"/>
        <v>147</v>
      </c>
      <c r="BM149" s="2" t="str">
        <f t="shared" si="7"/>
        <v>Renova</v>
      </c>
      <c r="BN149" s="7">
        <f t="shared" ref="BN149:BO149" si="156">BJ149</f>
        <v>2.0562499999999999</v>
      </c>
      <c r="BO149" s="2">
        <f t="shared" si="156"/>
        <v>2</v>
      </c>
      <c r="BS149" s="2" t="str">
        <f t="shared" si="9"/>
        <v>North Macedonia</v>
      </c>
    </row>
    <row r="150" spans="1:71" ht="13.8" x14ac:dyDescent="0.45">
      <c r="A150" s="2" t="str">
        <f ca="1">IFERROR(__xludf.DUMMYFUNCTION("""COMPUTED_VALUE"""),"Ordabasy")</f>
        <v>Ordabasy</v>
      </c>
      <c r="B150" s="2">
        <f ca="1">IFERROR(__xludf.DUMMYFUNCTION("""COMPUTED_VALUE"""),0.74)</f>
        <v>0.74</v>
      </c>
      <c r="C150" s="2" t="str">
        <f ca="1">IFERROR(__xludf.DUMMYFUNCTION("""COMPUTED_VALUE"""),"Kazakhstan")</f>
        <v>Kazakhstan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5">
        <f ca="1">IFERROR(__xludf.DUMMYFUNCTION("""COMPUTED_VALUE"""),0)</f>
        <v>0</v>
      </c>
      <c r="P150" s="2">
        <f ca="1">IFERROR(__xludf.DUMMYFUNCTION("""COMPUTED_VALUE"""),0)</f>
        <v>0</v>
      </c>
      <c r="Q150" s="2">
        <f ca="1">IFERROR(__xludf.DUMMYFUNCTION("""COMPUTED_VALUE"""),0)</f>
        <v>0</v>
      </c>
      <c r="R150" s="2">
        <f ca="1">IFERROR(__xludf.DUMMYFUNCTION("""COMPUTED_VALUE"""),0)</f>
        <v>0</v>
      </c>
      <c r="S150" s="2">
        <f ca="1">IFERROR(__xludf.DUMMYFUNCTION("""COMPUTED_VALUE"""),0)</f>
        <v>0</v>
      </c>
      <c r="T150" s="2">
        <f ca="1">IFERROR(__xludf.DUMMYFUNCTION("""COMPUTED_VALUE"""),0)</f>
        <v>0</v>
      </c>
      <c r="U150" s="2">
        <f ca="1">IFERROR(__xludf.DUMMYFUNCTION("""COMPUTED_VALUE"""),0)</f>
        <v>0</v>
      </c>
      <c r="V150" s="2">
        <f ca="1">IFERROR(__xludf.DUMMYFUNCTION("""COMPUTED_VALUE"""),0)</f>
        <v>0</v>
      </c>
      <c r="W150" s="2">
        <f ca="1">IFERROR(__xludf.DUMMYFUNCTION("""COMPUTED_VALUE"""),0)</f>
        <v>0</v>
      </c>
      <c r="X150" s="2">
        <f ca="1">IFERROR(__xludf.DUMMYFUNCTION("""COMPUTED_VALUE"""),0)</f>
        <v>0</v>
      </c>
      <c r="Y150" s="2">
        <f ca="1">IFERROR(__xludf.DUMMYFUNCTION("""COMPUTED_VALUE"""),0)</f>
        <v>0</v>
      </c>
      <c r="AB150" s="2"/>
      <c r="AC150" s="2" t="str">
        <f ca="1">IFERROR(__xludf.DUMMYFUNCTION("""COMPUTED_VALUE"""),"X")</f>
        <v>X</v>
      </c>
      <c r="AD150" s="2"/>
      <c r="AE150" s="2"/>
      <c r="AF150" s="2"/>
      <c r="AG150" s="2"/>
      <c r="AH150" s="2"/>
      <c r="AI150" s="2"/>
      <c r="AJ150" s="2"/>
      <c r="AK150" s="2"/>
      <c r="AL150" s="2"/>
      <c r="AM150" s="2">
        <f ca="1">IFERROR(__xludf.DUMMYFUNCTION("""COMPUTED_VALUE"""),0)</f>
        <v>0</v>
      </c>
      <c r="AN150" s="2">
        <f ca="1">IFERROR(__xludf.DUMMYFUNCTION("""COMPUTED_VALUE"""),0.554999999999999)</f>
        <v>0.55499999999999905</v>
      </c>
      <c r="AO150" s="2">
        <f ca="1">IFERROR(__xludf.DUMMYFUNCTION("""COMPUTED_VALUE"""),0)</f>
        <v>0</v>
      </c>
      <c r="AP150" s="2">
        <f ca="1">IFERROR(__xludf.DUMMYFUNCTION("""COMPUTED_VALUE"""),0)</f>
        <v>0</v>
      </c>
      <c r="AQ150" s="2">
        <f ca="1">IFERROR(__xludf.DUMMYFUNCTION("""COMPUTED_VALUE"""),0)</f>
        <v>0</v>
      </c>
      <c r="AR150" s="2">
        <f ca="1">IFERROR(__xludf.DUMMYFUNCTION("""COMPUTED_VALUE"""),0)</f>
        <v>0</v>
      </c>
      <c r="AS150" s="2">
        <f ca="1">IFERROR(__xludf.DUMMYFUNCTION("""COMPUTED_VALUE"""),0)</f>
        <v>0</v>
      </c>
      <c r="AT150" s="2">
        <f ca="1">IFERROR(__xludf.DUMMYFUNCTION("""COMPUTED_VALUE"""),0)</f>
        <v>0</v>
      </c>
      <c r="AU150" s="2">
        <f ca="1">IFERROR(__xludf.DUMMYFUNCTION("""COMPUTED_VALUE"""),0)</f>
        <v>0</v>
      </c>
      <c r="AV150" s="2">
        <f ca="1">IFERROR(__xludf.DUMMYFUNCTION("""COMPUTED_VALUE"""),0)</f>
        <v>0</v>
      </c>
      <c r="AW150" s="2">
        <f ca="1">IFERROR(__xludf.DUMMYFUNCTION("""COMPUTED_VALUE"""),0)</f>
        <v>0</v>
      </c>
      <c r="AY150" s="2">
        <f t="shared" ca="1" si="0"/>
        <v>1</v>
      </c>
      <c r="AZ150" s="2" t="e">
        <f ca="1">IF(NOT(COUNTA(D150:J150)), _xludf.IFS(AL150="W", 'Round Bonuses'!$F$14, AL150="X", 'Round Bonuses'!$F$13, AK150="X", 'Round Bonuses'!$F$12, AJ150="X", 'Round Bonuses'!$F$11, AI150="X", 'Round Bonuses'!$F$10, AH150="X", 'Round Bonuses'!$F$9, AG150="X", 'Round Bonuses'!$F$8, AF150="X", 'Round Bonuses'!$F$7, AE150="X", 'Round Bonuses'!$F$6, AD150="X", 'Round Bonuses'!$F$5, AC150="X", 'Round Bonuses'!$F$4, AB150="X", 'Round Bonuses'!$F$3, TRUE, 0), IF(AA150="X", _xludf.IFS(AD150="X", 'Round Bonuses'!$E$4, AF150="X",'Round Bonuses'!$E$6,TRUE, 'Round Bonuses'!$E$7), 0) +IF(AB150="X", 'Round Bonuses'!$E$3, 0)+IF(AC150="X",'Round Bonuses'!$E$4, 0)+IF(AD150="X", 'Round Bonuses'!$E$5, 0)+IF(AE150="X", 'Round Bonuses'!$E$6, 0)+IF(AF150="X", 'Round Bonuses'!$E$7, 0)+IF(AG150="X", 'Round Bonuses'!$E$8, 0)+_xludf.IFS(AL150="W", 'Round Bonuses'!$G$14, AL150="X", 'Round Bonuses'!$G$13, AK150="X", 'Round Bonuses'!$G$12, AJ150="X", 'Round Bonuses'!$G$11, AI150="X", 'Round Bonuses'!$G$10, AH150="X", 'Round Bonuses'!$G$9, TRUE, 0))+_xludf.IFS(N150="W", 'Round Bonuses'!$C$13, N150="X", 'Round Bonuses'!$C$12, M150="X", 'Round Bonuses'!$C$11, L150="X", 'Round Bonuses'!$C$10, K150="X", 'Round Bonuses'!$C$9, J150="X", 'Round Bonuses'!$C$8, I150="X", 'Round Bonuses'!$C$7, H150="X", 'Round Bonuses'!$C$6, G150="X", 'Round Bonuses'!$C$5, F150="X", 'Round Bonuses'!$C$4, E150="X", 'Round Bonuses'!$C$3, D150="X", 'Round Bonuses'!$C$3, TRUE, 0)</f>
        <v>#NAME?</v>
      </c>
      <c r="BA150" s="2">
        <f t="shared" ca="1" si="1"/>
        <v>0.55499999999999905</v>
      </c>
      <c r="BB150" s="10" t="e">
        <f t="shared" ca="1" si="2"/>
        <v>#NAME?</v>
      </c>
      <c r="BD150" s="11" t="str">
        <f t="shared" ca="1" si="3"/>
        <v>Ordabasy</v>
      </c>
      <c r="BE150" s="2" t="str">
        <f t="shared" ca="1" si="4"/>
        <v>Kazakhstan</v>
      </c>
      <c r="BF150" s="2" t="e">
        <f t="shared" ca="1" si="5"/>
        <v>#NAME?</v>
      </c>
      <c r="BG150" s="2">
        <f t="shared" ca="1" si="6"/>
        <v>1</v>
      </c>
      <c r="BH150" s="2" t="s">
        <v>214</v>
      </c>
      <c r="BI150" s="2" t="s">
        <v>70</v>
      </c>
      <c r="BJ150" s="7">
        <v>2.038125</v>
      </c>
      <c r="BK150" s="2">
        <v>2</v>
      </c>
      <c r="BL150" s="2">
        <f t="shared" si="10"/>
        <v>148</v>
      </c>
      <c r="BM150" s="2" t="str">
        <f t="shared" si="7"/>
        <v>AGF</v>
      </c>
      <c r="BN150" s="7">
        <f t="shared" ref="BN150:BO150" si="157">BJ150</f>
        <v>2.038125</v>
      </c>
      <c r="BO150" s="2">
        <f t="shared" si="157"/>
        <v>2</v>
      </c>
      <c r="BS150" s="2" t="str">
        <f t="shared" si="9"/>
        <v>Denmark</v>
      </c>
    </row>
    <row r="151" spans="1:71" ht="13.8" x14ac:dyDescent="0.45">
      <c r="A151" s="2" t="str">
        <f ca="1">IFERROR(__xludf.DUMMYFUNCTION("""COMPUTED_VALUE"""),"Osijek")</f>
        <v>Osijek</v>
      </c>
      <c r="B151" s="2">
        <f ca="1">IFERROR(__xludf.DUMMYFUNCTION("""COMPUTED_VALUE"""),0.82)</f>
        <v>0.82</v>
      </c>
      <c r="C151" s="2" t="str">
        <f ca="1">IFERROR(__xludf.DUMMYFUNCTION("""COMPUTED_VALUE"""),"Croatia")</f>
        <v>Croatia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5">
        <f ca="1">IFERROR(__xludf.DUMMYFUNCTION("""COMPUTED_VALUE"""),0)</f>
        <v>0</v>
      </c>
      <c r="P151" s="2">
        <f ca="1">IFERROR(__xludf.DUMMYFUNCTION("""COMPUTED_VALUE"""),0)</f>
        <v>0</v>
      </c>
      <c r="Q151" s="2">
        <f ca="1">IFERROR(__xludf.DUMMYFUNCTION("""COMPUTED_VALUE"""),0)</f>
        <v>0</v>
      </c>
      <c r="R151" s="2">
        <f ca="1">IFERROR(__xludf.DUMMYFUNCTION("""COMPUTED_VALUE"""),0)</f>
        <v>0</v>
      </c>
      <c r="S151" s="2">
        <f ca="1">IFERROR(__xludf.DUMMYFUNCTION("""COMPUTED_VALUE"""),0)</f>
        <v>0</v>
      </c>
      <c r="T151" s="2">
        <f ca="1">IFERROR(__xludf.DUMMYFUNCTION("""COMPUTED_VALUE"""),0)</f>
        <v>0</v>
      </c>
      <c r="U151" s="2">
        <f ca="1">IFERROR(__xludf.DUMMYFUNCTION("""COMPUTED_VALUE"""),0)</f>
        <v>0</v>
      </c>
      <c r="V151" s="2">
        <f ca="1">IFERROR(__xludf.DUMMYFUNCTION("""COMPUTED_VALUE"""),0)</f>
        <v>0</v>
      </c>
      <c r="W151" s="2">
        <f ca="1">IFERROR(__xludf.DUMMYFUNCTION("""COMPUTED_VALUE"""),0)</f>
        <v>0</v>
      </c>
      <c r="X151" s="2">
        <f ca="1">IFERROR(__xludf.DUMMYFUNCTION("""COMPUTED_VALUE"""),0)</f>
        <v>0</v>
      </c>
      <c r="Y151" s="2">
        <f ca="1">IFERROR(__xludf.DUMMYFUNCTION("""COMPUTED_VALUE"""),0)</f>
        <v>0</v>
      </c>
      <c r="AB151" s="2"/>
      <c r="AC151" s="2"/>
      <c r="AD151" s="2" t="str">
        <f ca="1">IFERROR(__xludf.DUMMYFUNCTION("""COMPUTED_VALUE"""),"X")</f>
        <v>X</v>
      </c>
      <c r="AE151" s="2"/>
      <c r="AF151" s="2"/>
      <c r="AG151" s="2"/>
      <c r="AH151" s="2"/>
      <c r="AI151" s="2"/>
      <c r="AJ151" s="2"/>
      <c r="AK151" s="2"/>
      <c r="AL151" s="2"/>
      <c r="AM151" s="2">
        <f ca="1">IFERROR(__xludf.DUMMYFUNCTION("""COMPUTED_VALUE"""),0)</f>
        <v>0</v>
      </c>
      <c r="AN151" s="2">
        <f ca="1">IFERROR(__xludf.DUMMYFUNCTION("""COMPUTED_VALUE"""),0)</f>
        <v>0</v>
      </c>
      <c r="AO151" s="2">
        <f ca="1">IFERROR(__xludf.DUMMYFUNCTION("""COMPUTED_VALUE"""),0.684999999999999)</f>
        <v>0.68499999999999905</v>
      </c>
      <c r="AP151" s="2">
        <f ca="1">IFERROR(__xludf.DUMMYFUNCTION("""COMPUTED_VALUE"""),0)</f>
        <v>0</v>
      </c>
      <c r="AQ151" s="2">
        <f ca="1">IFERROR(__xludf.DUMMYFUNCTION("""COMPUTED_VALUE"""),0)</f>
        <v>0</v>
      </c>
      <c r="AR151" s="2">
        <f ca="1">IFERROR(__xludf.DUMMYFUNCTION("""COMPUTED_VALUE"""),0)</f>
        <v>0</v>
      </c>
      <c r="AS151" s="2">
        <f ca="1">IFERROR(__xludf.DUMMYFUNCTION("""COMPUTED_VALUE"""),0)</f>
        <v>0</v>
      </c>
      <c r="AT151" s="2">
        <f ca="1">IFERROR(__xludf.DUMMYFUNCTION("""COMPUTED_VALUE"""),0)</f>
        <v>0</v>
      </c>
      <c r="AU151" s="2">
        <f ca="1">IFERROR(__xludf.DUMMYFUNCTION("""COMPUTED_VALUE"""),0)</f>
        <v>0</v>
      </c>
      <c r="AV151" s="2">
        <f ca="1">IFERROR(__xludf.DUMMYFUNCTION("""COMPUTED_VALUE"""),0)</f>
        <v>0</v>
      </c>
      <c r="AW151" s="2">
        <f ca="1">IFERROR(__xludf.DUMMYFUNCTION("""COMPUTED_VALUE"""),0)</f>
        <v>0</v>
      </c>
      <c r="AY151" s="2">
        <f t="shared" ca="1" si="0"/>
        <v>1</v>
      </c>
      <c r="AZ151" s="2" t="e">
        <f ca="1">IF(NOT(COUNTA(D151:J151)), _xludf.IFS(AL151="W", 'Round Bonuses'!$F$14, AL151="X", 'Round Bonuses'!$F$13, AK151="X", 'Round Bonuses'!$F$12, AJ151="X", 'Round Bonuses'!$F$11, AI151="X", 'Round Bonuses'!$F$10, AH151="X", 'Round Bonuses'!$F$9, AG151="X", 'Round Bonuses'!$F$8, AF151="X", 'Round Bonuses'!$F$7, AE151="X", 'Round Bonuses'!$F$6, AD151="X", 'Round Bonuses'!$F$5, AC151="X", 'Round Bonuses'!$F$4, AB151="X", 'Round Bonuses'!$F$3, TRUE, 0), IF(AA151="X", _xludf.IFS(AD151="X", 'Round Bonuses'!$E$4, AF151="X",'Round Bonuses'!$E$6,TRUE, 'Round Bonuses'!$E$7), 0) +IF(AB151="X", 'Round Bonuses'!$E$3, 0)+IF(AC151="X",'Round Bonuses'!$E$4, 0)+IF(AD151="X", 'Round Bonuses'!$E$5, 0)+IF(AE151="X", 'Round Bonuses'!$E$6, 0)+IF(AF151="X", 'Round Bonuses'!$E$7, 0)+IF(AG151="X", 'Round Bonuses'!$E$8, 0)+_xludf.IFS(AL151="W", 'Round Bonuses'!$G$14, AL151="X", 'Round Bonuses'!$G$13, AK151="X", 'Round Bonuses'!$G$12, AJ151="X", 'Round Bonuses'!$G$11, AI151="X", 'Round Bonuses'!$G$10, AH151="X", 'Round Bonuses'!$G$9, TRUE, 0))+_xludf.IFS(N151="W", 'Round Bonuses'!$C$13, N151="X", 'Round Bonuses'!$C$12, M151="X", 'Round Bonuses'!$C$11, L151="X", 'Round Bonuses'!$C$10, K151="X", 'Round Bonuses'!$C$9, J151="X", 'Round Bonuses'!$C$8, I151="X", 'Round Bonuses'!$C$7, H151="X", 'Round Bonuses'!$C$6, G151="X", 'Round Bonuses'!$C$5, F151="X", 'Round Bonuses'!$C$4, E151="X", 'Round Bonuses'!$C$3, D151="X", 'Round Bonuses'!$C$3, TRUE, 0)</f>
        <v>#NAME?</v>
      </c>
      <c r="BA151" s="2">
        <f t="shared" ca="1" si="1"/>
        <v>0.68499999999999905</v>
      </c>
      <c r="BB151" s="10" t="e">
        <f t="shared" ca="1" si="2"/>
        <v>#NAME?</v>
      </c>
      <c r="BD151" s="11" t="str">
        <f t="shared" ca="1" si="3"/>
        <v>Osijek</v>
      </c>
      <c r="BE151" s="2" t="str">
        <f t="shared" ca="1" si="4"/>
        <v>Croatia</v>
      </c>
      <c r="BF151" s="2" t="e">
        <f t="shared" ca="1" si="5"/>
        <v>#NAME?</v>
      </c>
      <c r="BG151" s="2">
        <f t="shared" ca="1" si="6"/>
        <v>1</v>
      </c>
      <c r="BH151" s="2" t="s">
        <v>215</v>
      </c>
      <c r="BI151" s="2" t="s">
        <v>194</v>
      </c>
      <c r="BJ151" s="7">
        <v>2.0287500000000001</v>
      </c>
      <c r="BK151" s="2">
        <v>2</v>
      </c>
      <c r="BL151" s="2">
        <f t="shared" si="10"/>
        <v>149</v>
      </c>
      <c r="BM151" s="2" t="str">
        <f t="shared" si="7"/>
        <v>Bala Town</v>
      </c>
      <c r="BN151" s="7">
        <f t="shared" ref="BN151:BO151" si="158">BJ151</f>
        <v>2.0287500000000001</v>
      </c>
      <c r="BO151" s="2">
        <f t="shared" si="158"/>
        <v>2</v>
      </c>
      <c r="BS151" s="2" t="str">
        <f t="shared" si="9"/>
        <v>Wales</v>
      </c>
    </row>
    <row r="152" spans="1:71" ht="13.8" x14ac:dyDescent="0.45">
      <c r="A152" s="2" t="str">
        <f ca="1">IFERROR(__xludf.DUMMYFUNCTION("""COMPUTED_VALUE"""),"Paide Linnameeskond")</f>
        <v>Paide Linnameeskond</v>
      </c>
      <c r="B152" s="2">
        <f ca="1">IFERROR(__xludf.DUMMYFUNCTION("""COMPUTED_VALUE"""),0.51)</f>
        <v>0.51</v>
      </c>
      <c r="C152" s="2" t="str">
        <f ca="1">IFERROR(__xludf.DUMMYFUNCTION("""COMPUTED_VALUE"""),"Estonia")</f>
        <v>Estonia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5">
        <f ca="1">IFERROR(__xludf.DUMMYFUNCTION("""COMPUTED_VALUE"""),0)</f>
        <v>0</v>
      </c>
      <c r="P152" s="2">
        <f ca="1">IFERROR(__xludf.DUMMYFUNCTION("""COMPUTED_VALUE"""),0)</f>
        <v>0</v>
      </c>
      <c r="Q152" s="2">
        <f ca="1">IFERROR(__xludf.DUMMYFUNCTION("""COMPUTED_VALUE"""),0)</f>
        <v>0</v>
      </c>
      <c r="R152" s="2">
        <f ca="1">IFERROR(__xludf.DUMMYFUNCTION("""COMPUTED_VALUE"""),0)</f>
        <v>0</v>
      </c>
      <c r="S152" s="2">
        <f ca="1">IFERROR(__xludf.DUMMYFUNCTION("""COMPUTED_VALUE"""),0)</f>
        <v>0</v>
      </c>
      <c r="T152" s="2">
        <f ca="1">IFERROR(__xludf.DUMMYFUNCTION("""COMPUTED_VALUE"""),0)</f>
        <v>0</v>
      </c>
      <c r="U152" s="2">
        <f ca="1">IFERROR(__xludf.DUMMYFUNCTION("""COMPUTED_VALUE"""),0)</f>
        <v>0</v>
      </c>
      <c r="V152" s="2">
        <f ca="1">IFERROR(__xludf.DUMMYFUNCTION("""COMPUTED_VALUE"""),0)</f>
        <v>0</v>
      </c>
      <c r="W152" s="2">
        <f ca="1">IFERROR(__xludf.DUMMYFUNCTION("""COMPUTED_VALUE"""),0)</f>
        <v>0</v>
      </c>
      <c r="X152" s="2">
        <f ca="1">IFERROR(__xludf.DUMMYFUNCTION("""COMPUTED_VALUE"""),0)</f>
        <v>0</v>
      </c>
      <c r="Y152" s="2">
        <f ca="1">IFERROR(__xludf.DUMMYFUNCTION("""COMPUTED_VALUE"""),0)</f>
        <v>0</v>
      </c>
      <c r="AB152" s="2"/>
      <c r="AC152" s="2" t="str">
        <f ca="1">IFERROR(__xludf.DUMMYFUNCTION("""COMPUTED_VALUE"""),"X")</f>
        <v>X</v>
      </c>
      <c r="AD152" s="2"/>
      <c r="AE152" s="2"/>
      <c r="AF152" s="2"/>
      <c r="AG152" s="2"/>
      <c r="AH152" s="2"/>
      <c r="AI152" s="2"/>
      <c r="AJ152" s="2"/>
      <c r="AK152" s="2"/>
      <c r="AL152" s="2"/>
      <c r="AM152" s="2">
        <f ca="1">IFERROR(__xludf.DUMMYFUNCTION("""COMPUTED_VALUE"""),0)</f>
        <v>0</v>
      </c>
      <c r="AN152" s="2">
        <f ca="1">IFERROR(__xludf.DUMMYFUNCTION("""COMPUTED_VALUE"""),0.329999999999999)</f>
        <v>0.32999999999999902</v>
      </c>
      <c r="AO152" s="2">
        <f ca="1">IFERROR(__xludf.DUMMYFUNCTION("""COMPUTED_VALUE"""),0)</f>
        <v>0</v>
      </c>
      <c r="AP152" s="2">
        <f ca="1">IFERROR(__xludf.DUMMYFUNCTION("""COMPUTED_VALUE"""),0)</f>
        <v>0</v>
      </c>
      <c r="AQ152" s="2">
        <f ca="1">IFERROR(__xludf.DUMMYFUNCTION("""COMPUTED_VALUE"""),0)</f>
        <v>0</v>
      </c>
      <c r="AR152" s="2">
        <f ca="1">IFERROR(__xludf.DUMMYFUNCTION("""COMPUTED_VALUE"""),0)</f>
        <v>0</v>
      </c>
      <c r="AS152" s="2">
        <f ca="1">IFERROR(__xludf.DUMMYFUNCTION("""COMPUTED_VALUE"""),0)</f>
        <v>0</v>
      </c>
      <c r="AT152" s="2">
        <f ca="1">IFERROR(__xludf.DUMMYFUNCTION("""COMPUTED_VALUE"""),0)</f>
        <v>0</v>
      </c>
      <c r="AU152" s="2">
        <f ca="1">IFERROR(__xludf.DUMMYFUNCTION("""COMPUTED_VALUE"""),0)</f>
        <v>0</v>
      </c>
      <c r="AV152" s="2">
        <f ca="1">IFERROR(__xludf.DUMMYFUNCTION("""COMPUTED_VALUE"""),0)</f>
        <v>0</v>
      </c>
      <c r="AW152" s="2">
        <f ca="1">IFERROR(__xludf.DUMMYFUNCTION("""COMPUTED_VALUE"""),0)</f>
        <v>0</v>
      </c>
      <c r="AY152" s="2">
        <f t="shared" ca="1" si="0"/>
        <v>1</v>
      </c>
      <c r="AZ152" s="2" t="e">
        <f ca="1">IF(NOT(COUNTA(D152:J152)), _xludf.IFS(AL152="W", 'Round Bonuses'!$F$14, AL152="X", 'Round Bonuses'!$F$13, AK152="X", 'Round Bonuses'!$F$12, AJ152="X", 'Round Bonuses'!$F$11, AI152="X", 'Round Bonuses'!$F$10, AH152="X", 'Round Bonuses'!$F$9, AG152="X", 'Round Bonuses'!$F$8, AF152="X", 'Round Bonuses'!$F$7, AE152="X", 'Round Bonuses'!$F$6, AD152="X", 'Round Bonuses'!$F$5, AC152="X", 'Round Bonuses'!$F$4, AB152="X", 'Round Bonuses'!$F$3, TRUE, 0), IF(AA152="X", _xludf.IFS(AD152="X", 'Round Bonuses'!$E$4, AF152="X",'Round Bonuses'!$E$6,TRUE, 'Round Bonuses'!$E$7), 0) +IF(AB152="X", 'Round Bonuses'!$E$3, 0)+IF(AC152="X",'Round Bonuses'!$E$4, 0)+IF(AD152="X", 'Round Bonuses'!$E$5, 0)+IF(AE152="X", 'Round Bonuses'!$E$6, 0)+IF(AF152="X", 'Round Bonuses'!$E$7, 0)+IF(AG152="X", 'Round Bonuses'!$E$8, 0)+_xludf.IFS(AL152="W", 'Round Bonuses'!$G$14, AL152="X", 'Round Bonuses'!$G$13, AK152="X", 'Round Bonuses'!$G$12, AJ152="X", 'Round Bonuses'!$G$11, AI152="X", 'Round Bonuses'!$G$10, AH152="X", 'Round Bonuses'!$G$9, TRUE, 0))+_xludf.IFS(N152="W", 'Round Bonuses'!$C$13, N152="X", 'Round Bonuses'!$C$12, M152="X", 'Round Bonuses'!$C$11, L152="X", 'Round Bonuses'!$C$10, K152="X", 'Round Bonuses'!$C$9, J152="X", 'Round Bonuses'!$C$8, I152="X", 'Round Bonuses'!$C$7, H152="X", 'Round Bonuses'!$C$6, G152="X", 'Round Bonuses'!$C$5, F152="X", 'Round Bonuses'!$C$4, E152="X", 'Round Bonuses'!$C$3, D152="X", 'Round Bonuses'!$C$3, TRUE, 0)</f>
        <v>#NAME?</v>
      </c>
      <c r="BA152" s="2">
        <f t="shared" ca="1" si="1"/>
        <v>0.32999999999999902</v>
      </c>
      <c r="BB152" s="10" t="e">
        <f t="shared" ca="1" si="2"/>
        <v>#NAME?</v>
      </c>
      <c r="BD152" s="11" t="str">
        <f t="shared" ca="1" si="3"/>
        <v>Paide Linnameeskond</v>
      </c>
      <c r="BE152" s="2" t="str">
        <f t="shared" ca="1" si="4"/>
        <v>Estonia</v>
      </c>
      <c r="BF152" s="2" t="e">
        <f t="shared" ca="1" si="5"/>
        <v>#NAME?</v>
      </c>
      <c r="BG152" s="2">
        <f t="shared" ca="1" si="6"/>
        <v>1</v>
      </c>
      <c r="BH152" s="2" t="s">
        <v>216</v>
      </c>
      <c r="BI152" s="2" t="s">
        <v>111</v>
      </c>
      <c r="BJ152" s="7">
        <v>2.0131250000000001</v>
      </c>
      <c r="BK152" s="2">
        <v>2</v>
      </c>
      <c r="BL152" s="2">
        <f t="shared" si="10"/>
        <v>150</v>
      </c>
      <c r="BM152" s="2" t="str">
        <f t="shared" si="7"/>
        <v>Lokomotiv Plovdiv</v>
      </c>
      <c r="BN152" s="7">
        <f t="shared" ref="BN152:BO152" si="159">BJ152</f>
        <v>2.0131250000000001</v>
      </c>
      <c r="BO152" s="2">
        <f t="shared" si="159"/>
        <v>2</v>
      </c>
      <c r="BS152" s="2" t="str">
        <f t="shared" si="9"/>
        <v>Bulgaria</v>
      </c>
    </row>
    <row r="153" spans="1:71" ht="13.8" x14ac:dyDescent="0.45">
      <c r="A153" s="2" t="str">
        <f ca="1">IFERROR(__xludf.DUMMYFUNCTION("""COMPUTED_VALUE"""),"PAOK")</f>
        <v>PAOK</v>
      </c>
      <c r="B153" s="2">
        <f ca="1">IFERROR(__xludf.DUMMYFUNCTION("""COMPUTED_VALUE"""),0.85)</f>
        <v>0.85</v>
      </c>
      <c r="C153" s="2" t="str">
        <f ca="1">IFERROR(__xludf.DUMMYFUNCTION("""COMPUTED_VALUE"""),"Greece")</f>
        <v>Greece</v>
      </c>
      <c r="D153" s="2"/>
      <c r="E153" s="2"/>
      <c r="F153" s="2"/>
      <c r="G153" s="2" t="str">
        <f ca="1">IFERROR(__xludf.DUMMYFUNCTION("""COMPUTED_VALUE"""),"X")</f>
        <v>X</v>
      </c>
      <c r="H153" s="2" t="str">
        <f ca="1">IFERROR(__xludf.DUMMYFUNCTION("""COMPUTED_VALUE"""),"X")</f>
        <v>X</v>
      </c>
      <c r="I153" s="2" t="str">
        <f ca="1">IFERROR(__xludf.DUMMYFUNCTION("""COMPUTED_VALUE"""),"X")</f>
        <v>X</v>
      </c>
      <c r="J153" s="2"/>
      <c r="K153" s="2"/>
      <c r="L153" s="2"/>
      <c r="M153" s="2"/>
      <c r="N153" s="2"/>
      <c r="O153" s="5">
        <f ca="1">IFERROR(__xludf.DUMMYFUNCTION("""COMPUTED_VALUE"""),0)</f>
        <v>0</v>
      </c>
      <c r="P153" s="2">
        <f ca="1">IFERROR(__xludf.DUMMYFUNCTION("""COMPUTED_VALUE"""),0)</f>
        <v>0</v>
      </c>
      <c r="Q153" s="2">
        <f ca="1">IFERROR(__xludf.DUMMYFUNCTION("""COMPUTED_VALUE"""),0)</f>
        <v>0</v>
      </c>
      <c r="R153" s="2">
        <f ca="1">IFERROR(__xludf.DUMMYFUNCTION("""COMPUTED_VALUE"""),3.73999999999999)</f>
        <v>3.73999999999999</v>
      </c>
      <c r="S153" s="2">
        <f ca="1">IFERROR(__xludf.DUMMYFUNCTION("""COMPUTED_VALUE"""),3.795)</f>
        <v>3.7949999999999999</v>
      </c>
      <c r="T153" s="2">
        <f ca="1">IFERROR(__xludf.DUMMYFUNCTION("""COMPUTED_VALUE"""),1.58999999999999)</f>
        <v>1.5899999999999901</v>
      </c>
      <c r="U153" s="2">
        <f ca="1">IFERROR(__xludf.DUMMYFUNCTION("""COMPUTED_VALUE"""),0)</f>
        <v>0</v>
      </c>
      <c r="V153" s="2">
        <f ca="1">IFERROR(__xludf.DUMMYFUNCTION("""COMPUTED_VALUE"""),0)</f>
        <v>0</v>
      </c>
      <c r="W153" s="2">
        <f ca="1">IFERROR(__xludf.DUMMYFUNCTION("""COMPUTED_VALUE"""),0)</f>
        <v>0</v>
      </c>
      <c r="X153" s="2">
        <f ca="1">IFERROR(__xludf.DUMMYFUNCTION("""COMPUTED_VALUE"""),0)</f>
        <v>0</v>
      </c>
      <c r="Y153" s="2">
        <f ca="1">IFERROR(__xludf.DUMMYFUNCTION("""COMPUTED_VALUE"""),0)</f>
        <v>0</v>
      </c>
      <c r="AB153" s="2"/>
      <c r="AC153" s="2"/>
      <c r="AD153" s="2"/>
      <c r="AE153" s="2"/>
      <c r="AF153" s="2"/>
      <c r="AG153" s="2" t="str">
        <f ca="1">IFERROR(__xludf.DUMMYFUNCTION("""COMPUTED_VALUE"""),"X")</f>
        <v>X</v>
      </c>
      <c r="AH153" s="2"/>
      <c r="AI153" s="2"/>
      <c r="AJ153" s="2"/>
      <c r="AK153" s="2"/>
      <c r="AL153" s="2"/>
      <c r="AM153" s="2">
        <f ca="1">IFERROR(__xludf.DUMMYFUNCTION("""COMPUTED_VALUE"""),0)</f>
        <v>0</v>
      </c>
      <c r="AN153" s="2">
        <f ca="1">IFERROR(__xludf.DUMMYFUNCTION("""COMPUTED_VALUE"""),0)</f>
        <v>0</v>
      </c>
      <c r="AO153" s="2">
        <f ca="1">IFERROR(__xludf.DUMMYFUNCTION("""COMPUTED_VALUE"""),0)</f>
        <v>0</v>
      </c>
      <c r="AP153" s="2">
        <f ca="1">IFERROR(__xludf.DUMMYFUNCTION("""COMPUTED_VALUE"""),0)</f>
        <v>0</v>
      </c>
      <c r="AQ153" s="2">
        <f ca="1">IFERROR(__xludf.DUMMYFUNCTION("""COMPUTED_VALUE"""),0)</f>
        <v>0</v>
      </c>
      <c r="AR153" s="2">
        <f ca="1">IFERROR(__xludf.DUMMYFUNCTION("""COMPUTED_VALUE"""),10.5524999999999)</f>
        <v>10.552499999999901</v>
      </c>
      <c r="AS153" s="2">
        <f ca="1">IFERROR(__xludf.DUMMYFUNCTION("""COMPUTED_VALUE"""),0)</f>
        <v>0</v>
      </c>
      <c r="AT153" s="2">
        <f ca="1">IFERROR(__xludf.DUMMYFUNCTION("""COMPUTED_VALUE"""),0)</f>
        <v>0</v>
      </c>
      <c r="AU153" s="2">
        <f ca="1">IFERROR(__xludf.DUMMYFUNCTION("""COMPUTED_VALUE"""),0)</f>
        <v>0</v>
      </c>
      <c r="AV153" s="2">
        <f ca="1">IFERROR(__xludf.DUMMYFUNCTION("""COMPUTED_VALUE"""),0)</f>
        <v>0</v>
      </c>
      <c r="AW153" s="2">
        <f ca="1">IFERROR(__xludf.DUMMYFUNCTION("""COMPUTED_VALUE"""),0)</f>
        <v>0</v>
      </c>
      <c r="AY153" s="2">
        <f t="shared" ca="1" si="0"/>
        <v>10</v>
      </c>
      <c r="AZ153" s="2" t="e">
        <f ca="1">IF(NOT(COUNTA(D153:J153)), _xludf.IFS(AL153="W", 'Round Bonuses'!$F$14, AL153="X", 'Round Bonuses'!$F$13, AK153="X", 'Round Bonuses'!$F$12, AJ153="X", 'Round Bonuses'!$F$11, AI153="X", 'Round Bonuses'!$F$10, AH153="X", 'Round Bonuses'!$F$9, AG153="X", 'Round Bonuses'!$F$8, AF153="X", 'Round Bonuses'!$F$7, AE153="X", 'Round Bonuses'!$F$6, AD153="X", 'Round Bonuses'!$F$5, AC153="X", 'Round Bonuses'!$F$4, AB153="X", 'Round Bonuses'!$F$3, TRUE, 0), IF(AA153="X", _xludf.IFS(AD153="X", 'Round Bonuses'!$E$4, AF153="X",'Round Bonuses'!$E$6,TRUE, 'Round Bonuses'!$E$7), 0) +IF(AB153="X", 'Round Bonuses'!$E$3, 0)+IF(AC153="X",'Round Bonuses'!$E$4, 0)+IF(AD153="X", 'Round Bonuses'!$E$5, 0)+IF(AE153="X", 'Round Bonuses'!$E$6, 0)+IF(AF153="X", 'Round Bonuses'!$E$7, 0)+IF(AG153="X", 'Round Bonuses'!$E$8, 0)+_xludf.IFS(AL153="W", 'Round Bonuses'!$G$14, AL153="X", 'Round Bonuses'!$G$13, AK153="X", 'Round Bonuses'!$G$12, AJ153="X", 'Round Bonuses'!$G$11, AI153="X", 'Round Bonuses'!$G$10, AH153="X", 'Round Bonuses'!$G$9, TRUE, 0))+_xludf.IFS(N153="W", 'Round Bonuses'!$C$13, N153="X", 'Round Bonuses'!$C$12, M153="X", 'Round Bonuses'!$C$11, L153="X", 'Round Bonuses'!$C$10, K153="X", 'Round Bonuses'!$C$9, J153="X", 'Round Bonuses'!$C$8, I153="X", 'Round Bonuses'!$C$7, H153="X", 'Round Bonuses'!$C$6, G153="X", 'Round Bonuses'!$C$5, F153="X", 'Round Bonuses'!$C$4, E153="X", 'Round Bonuses'!$C$3, D153="X", 'Round Bonuses'!$C$3, TRUE, 0)</f>
        <v>#NAME?</v>
      </c>
      <c r="BA153" s="2">
        <f t="shared" ca="1" si="1"/>
        <v>19.677499999999881</v>
      </c>
      <c r="BB153" s="10" t="e">
        <f t="shared" ca="1" si="2"/>
        <v>#NAME?</v>
      </c>
      <c r="BD153" s="11" t="str">
        <f t="shared" ca="1" si="3"/>
        <v>PAOK</v>
      </c>
      <c r="BE153" s="2" t="str">
        <f t="shared" ca="1" si="4"/>
        <v>Greece</v>
      </c>
      <c r="BF153" s="2" t="e">
        <f t="shared" ca="1" si="5"/>
        <v>#NAME?</v>
      </c>
      <c r="BG153" s="2">
        <f t="shared" ca="1" si="6"/>
        <v>10</v>
      </c>
      <c r="BH153" s="2" t="s">
        <v>217</v>
      </c>
      <c r="BI153" s="2" t="s">
        <v>189</v>
      </c>
      <c r="BJ153" s="7">
        <v>2.0037499999999997</v>
      </c>
      <c r="BK153" s="2">
        <v>2</v>
      </c>
      <c r="BL153" s="2">
        <f t="shared" si="10"/>
        <v>151</v>
      </c>
      <c r="BM153" s="2" t="str">
        <f t="shared" si="7"/>
        <v>Ventspils</v>
      </c>
      <c r="BN153" s="7">
        <f t="shared" ref="BN153:BO153" si="160">BJ153</f>
        <v>2.0037499999999997</v>
      </c>
      <c r="BO153" s="2">
        <f t="shared" si="160"/>
        <v>2</v>
      </c>
      <c r="BS153" s="2" t="str">
        <f t="shared" si="9"/>
        <v>Latvia</v>
      </c>
    </row>
    <row r="154" spans="1:71" ht="13.8" x14ac:dyDescent="0.45">
      <c r="A154" s="2" t="str">
        <f ca="1">IFERROR(__xludf.DUMMYFUNCTION("""COMPUTED_VALUE"""),"Paris Saint-Germain")</f>
        <v>Paris Saint-Germain</v>
      </c>
      <c r="B154" s="2">
        <f ca="1">IFERROR(__xludf.DUMMYFUNCTION("""COMPUTED_VALUE"""),0.95)</f>
        <v>0.95</v>
      </c>
      <c r="C154" s="2" t="str">
        <f ca="1">IFERROR(__xludf.DUMMYFUNCTION("""COMPUTED_VALUE"""),"France")</f>
        <v>France</v>
      </c>
      <c r="D154" s="2"/>
      <c r="E154" s="2"/>
      <c r="F154" s="2"/>
      <c r="G154" s="2"/>
      <c r="H154" s="2"/>
      <c r="I154" s="2"/>
      <c r="J154" s="2" t="str">
        <f ca="1">IFERROR(__xludf.DUMMYFUNCTION("""COMPUTED_VALUE"""),"X")</f>
        <v>X</v>
      </c>
      <c r="K154" s="2" t="str">
        <f ca="1">IFERROR(__xludf.DUMMYFUNCTION("""COMPUTED_VALUE"""),"X")</f>
        <v>X</v>
      </c>
      <c r="L154" s="2" t="str">
        <f ca="1">IFERROR(__xludf.DUMMYFUNCTION("""COMPUTED_VALUE"""),"X")</f>
        <v>X</v>
      </c>
      <c r="M154" s="2" t="str">
        <f ca="1">IFERROR(__xludf.DUMMYFUNCTION("""COMPUTED_VALUE"""),"X")</f>
        <v>X</v>
      </c>
      <c r="N154" s="2"/>
      <c r="O154" s="5">
        <f ca="1">IFERROR(__xludf.DUMMYFUNCTION("""COMPUTED_VALUE"""),0)</f>
        <v>0</v>
      </c>
      <c r="P154" s="2">
        <f ca="1">IFERROR(__xludf.DUMMYFUNCTION("""COMPUTED_VALUE"""),0)</f>
        <v>0</v>
      </c>
      <c r="Q154" s="2">
        <f ca="1">IFERROR(__xludf.DUMMYFUNCTION("""COMPUTED_VALUE"""),0)</f>
        <v>0</v>
      </c>
      <c r="R154" s="2">
        <f ca="1">IFERROR(__xludf.DUMMYFUNCTION("""COMPUTED_VALUE"""),0)</f>
        <v>0</v>
      </c>
      <c r="S154" s="2">
        <f ca="1">IFERROR(__xludf.DUMMYFUNCTION("""COMPUTED_VALUE"""),0)</f>
        <v>0</v>
      </c>
      <c r="T154" s="2">
        <f ca="1">IFERROR(__xludf.DUMMYFUNCTION("""COMPUTED_VALUE"""),0)</f>
        <v>0</v>
      </c>
      <c r="U154" s="2">
        <f ca="1">IFERROR(__xludf.DUMMYFUNCTION("""COMPUTED_VALUE"""),17.4825)</f>
        <v>17.482500000000002</v>
      </c>
      <c r="V154" s="2">
        <f ca="1">IFERROR(__xludf.DUMMYFUNCTION("""COMPUTED_VALUE"""),6.2475)</f>
        <v>6.2474999999999996</v>
      </c>
      <c r="W154" s="2">
        <f ca="1">IFERROR(__xludf.DUMMYFUNCTION("""COMPUTED_VALUE"""),4.795)</f>
        <v>4.7949999999999999</v>
      </c>
      <c r="X154" s="2">
        <f ca="1">IFERROR(__xludf.DUMMYFUNCTION("""COMPUTED_VALUE"""),1.565)</f>
        <v>1.5649999999999999</v>
      </c>
      <c r="Y154" s="2">
        <f ca="1">IFERROR(__xludf.DUMMYFUNCTION("""COMPUTED_VALUE"""),0)</f>
        <v>0</v>
      </c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>
        <f ca="1">IFERROR(__xludf.DUMMYFUNCTION("""COMPUTED_VALUE"""),0)</f>
        <v>0</v>
      </c>
      <c r="AN154" s="2">
        <f ca="1">IFERROR(__xludf.DUMMYFUNCTION("""COMPUTED_VALUE"""),0)</f>
        <v>0</v>
      </c>
      <c r="AO154" s="2">
        <f ca="1">IFERROR(__xludf.DUMMYFUNCTION("""COMPUTED_VALUE"""),0)</f>
        <v>0</v>
      </c>
      <c r="AP154" s="2">
        <f ca="1">IFERROR(__xludf.DUMMYFUNCTION("""COMPUTED_VALUE"""),0)</f>
        <v>0</v>
      </c>
      <c r="AQ154" s="2">
        <f ca="1">IFERROR(__xludf.DUMMYFUNCTION("""COMPUTED_VALUE"""),0)</f>
        <v>0</v>
      </c>
      <c r="AR154" s="2">
        <f ca="1">IFERROR(__xludf.DUMMYFUNCTION("""COMPUTED_VALUE"""),0)</f>
        <v>0</v>
      </c>
      <c r="AS154" s="2">
        <f ca="1">IFERROR(__xludf.DUMMYFUNCTION("""COMPUTED_VALUE"""),0)</f>
        <v>0</v>
      </c>
      <c r="AT154" s="2">
        <f ca="1">IFERROR(__xludf.DUMMYFUNCTION("""COMPUTED_VALUE"""),0)</f>
        <v>0</v>
      </c>
      <c r="AU154" s="2">
        <f ca="1">IFERROR(__xludf.DUMMYFUNCTION("""COMPUTED_VALUE"""),0)</f>
        <v>0</v>
      </c>
      <c r="AV154" s="2">
        <f ca="1">IFERROR(__xludf.DUMMYFUNCTION("""COMPUTED_VALUE"""),0)</f>
        <v>0</v>
      </c>
      <c r="AW154" s="2">
        <f ca="1">IFERROR(__xludf.DUMMYFUNCTION("""COMPUTED_VALUE"""),0)</f>
        <v>0</v>
      </c>
      <c r="AY154" s="2">
        <f t="shared" ca="1" si="0"/>
        <v>12</v>
      </c>
      <c r="AZ154" s="2" t="e">
        <f ca="1">IF(NOT(COUNTA(D154:J154)), _xludf.IFS(AL154="W", 'Round Bonuses'!$F$14, AL154="X", 'Round Bonuses'!$F$13, AK154="X", 'Round Bonuses'!$F$12, AJ154="X", 'Round Bonuses'!$F$11, AI154="X", 'Round Bonuses'!$F$10, AH154="X", 'Round Bonuses'!$F$9, AG154="X", 'Round Bonuses'!$F$8, AF154="X", 'Round Bonuses'!$F$7, AE154="X", 'Round Bonuses'!$F$6, AD154="X", 'Round Bonuses'!$F$5, AC154="X", 'Round Bonuses'!$F$4, AB154="X", 'Round Bonuses'!$F$3, TRUE, 0), IF(AA154="X", _xludf.IFS(AD154="X", 'Round Bonuses'!$E$4, AF154="X",'Round Bonuses'!$E$6,TRUE, 'Round Bonuses'!$E$7), 0) +IF(AB154="X", 'Round Bonuses'!$E$3, 0)+IF(AC154="X",'Round Bonuses'!$E$4, 0)+IF(AD154="X", 'Round Bonuses'!$E$5, 0)+IF(AE154="X", 'Round Bonuses'!$E$6, 0)+IF(AF154="X", 'Round Bonuses'!$E$7, 0)+IF(AG154="X", 'Round Bonuses'!$E$8, 0)+_xludf.IFS(AL154="W", 'Round Bonuses'!$G$14, AL154="X", 'Round Bonuses'!$G$13, AK154="X", 'Round Bonuses'!$G$12, AJ154="X", 'Round Bonuses'!$G$11, AI154="X", 'Round Bonuses'!$G$10, AH154="X", 'Round Bonuses'!$G$9, TRUE, 0))+_xludf.IFS(N154="W", 'Round Bonuses'!$C$13, N154="X", 'Round Bonuses'!$C$12, M154="X", 'Round Bonuses'!$C$11, L154="X", 'Round Bonuses'!$C$10, K154="X", 'Round Bonuses'!$C$9, J154="X", 'Round Bonuses'!$C$8, I154="X", 'Round Bonuses'!$C$7, H154="X", 'Round Bonuses'!$C$6, G154="X", 'Round Bonuses'!$C$5, F154="X", 'Round Bonuses'!$C$4, E154="X", 'Round Bonuses'!$C$3, D154="X", 'Round Bonuses'!$C$3, TRUE, 0)</f>
        <v>#NAME?</v>
      </c>
      <c r="BA154" s="2">
        <f t="shared" ca="1" si="1"/>
        <v>30.09</v>
      </c>
      <c r="BB154" s="10" t="e">
        <f t="shared" ca="1" si="2"/>
        <v>#NAME?</v>
      </c>
      <c r="BD154" s="11" t="str">
        <f t="shared" ca="1" si="3"/>
        <v>Paris Saint-Germain</v>
      </c>
      <c r="BE154" s="2" t="str">
        <f t="shared" ca="1" si="4"/>
        <v>France</v>
      </c>
      <c r="BF154" s="2" t="e">
        <f t="shared" ca="1" si="5"/>
        <v>#NAME?</v>
      </c>
      <c r="BG154" s="2">
        <f t="shared" ca="1" si="6"/>
        <v>12</v>
      </c>
      <c r="BH154" s="2" t="s">
        <v>218</v>
      </c>
      <c r="BI154" s="2" t="s">
        <v>179</v>
      </c>
      <c r="BJ154" s="7">
        <v>2.0024999999999999</v>
      </c>
      <c r="BK154" s="2">
        <v>2</v>
      </c>
      <c r="BL154" s="2">
        <f t="shared" si="10"/>
        <v>152</v>
      </c>
      <c r="BM154" s="2" t="str">
        <f t="shared" si="7"/>
        <v>Riteriai</v>
      </c>
      <c r="BN154" s="7">
        <f t="shared" ref="BN154:BO154" si="161">BJ154</f>
        <v>2.0024999999999999</v>
      </c>
      <c r="BO154" s="2">
        <f t="shared" si="161"/>
        <v>2</v>
      </c>
      <c r="BS154" s="2" t="str">
        <f t="shared" si="9"/>
        <v>Lithuania</v>
      </c>
    </row>
    <row r="155" spans="1:71" ht="13.8" x14ac:dyDescent="0.45">
      <c r="A155" s="2" t="str">
        <f ca="1">IFERROR(__xludf.DUMMYFUNCTION("""COMPUTED_VALUE"""),"Partizan")</f>
        <v>Partizan</v>
      </c>
      <c r="B155" s="2">
        <f ca="1">IFERROR(__xludf.DUMMYFUNCTION("""COMPUTED_VALUE"""),0.8)</f>
        <v>0.8</v>
      </c>
      <c r="C155" s="2" t="str">
        <f ca="1">IFERROR(__xludf.DUMMYFUNCTION("""COMPUTED_VALUE"""),"Serbia")</f>
        <v>Serbia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5">
        <f ca="1">IFERROR(__xludf.DUMMYFUNCTION("""COMPUTED_VALUE"""),0)</f>
        <v>0</v>
      </c>
      <c r="P155" s="2">
        <f ca="1">IFERROR(__xludf.DUMMYFUNCTION("""COMPUTED_VALUE"""),0)</f>
        <v>0</v>
      </c>
      <c r="Q155" s="2">
        <f ca="1">IFERROR(__xludf.DUMMYFUNCTION("""COMPUTED_VALUE"""),0)</f>
        <v>0</v>
      </c>
      <c r="R155" s="2">
        <f ca="1">IFERROR(__xludf.DUMMYFUNCTION("""COMPUTED_VALUE"""),0)</f>
        <v>0</v>
      </c>
      <c r="S155" s="2">
        <f ca="1">IFERROR(__xludf.DUMMYFUNCTION("""COMPUTED_VALUE"""),0)</f>
        <v>0</v>
      </c>
      <c r="T155" s="2">
        <f ca="1">IFERROR(__xludf.DUMMYFUNCTION("""COMPUTED_VALUE"""),0)</f>
        <v>0</v>
      </c>
      <c r="U155" s="2">
        <f ca="1">IFERROR(__xludf.DUMMYFUNCTION("""COMPUTED_VALUE"""),0)</f>
        <v>0</v>
      </c>
      <c r="V155" s="2">
        <f ca="1">IFERROR(__xludf.DUMMYFUNCTION("""COMPUTED_VALUE"""),0)</f>
        <v>0</v>
      </c>
      <c r="W155" s="2">
        <f ca="1">IFERROR(__xludf.DUMMYFUNCTION("""COMPUTED_VALUE"""),0)</f>
        <v>0</v>
      </c>
      <c r="X155" s="2">
        <f ca="1">IFERROR(__xludf.DUMMYFUNCTION("""COMPUTED_VALUE"""),0)</f>
        <v>0</v>
      </c>
      <c r="Y155" s="2">
        <f ca="1">IFERROR(__xludf.DUMMYFUNCTION("""COMPUTED_VALUE"""),0)</f>
        <v>0</v>
      </c>
      <c r="AB155" s="2"/>
      <c r="AC155" s="2" t="str">
        <f ca="1">IFERROR(__xludf.DUMMYFUNCTION("""COMPUTED_VALUE"""),"X")</f>
        <v>X</v>
      </c>
      <c r="AD155" s="2" t="str">
        <f ca="1">IFERROR(__xludf.DUMMYFUNCTION("""COMPUTED_VALUE"""),"X")</f>
        <v>X</v>
      </c>
      <c r="AE155" s="2" t="str">
        <f ca="1">IFERROR(__xludf.DUMMYFUNCTION("""COMPUTED_VALUE"""),"X")</f>
        <v>X</v>
      </c>
      <c r="AF155" s="2"/>
      <c r="AG155" s="2"/>
      <c r="AH155" s="2"/>
      <c r="AI155" s="2"/>
      <c r="AJ155" s="2"/>
      <c r="AK155" s="2"/>
      <c r="AL155" s="2"/>
      <c r="AM155" s="2">
        <f ca="1">IFERROR(__xludf.DUMMYFUNCTION("""COMPUTED_VALUE"""),0)</f>
        <v>0</v>
      </c>
      <c r="AN155" s="2">
        <f ca="1">IFERROR(__xludf.DUMMYFUNCTION("""COMPUTED_VALUE"""),2.31)</f>
        <v>2.31</v>
      </c>
      <c r="AO155" s="2">
        <f ca="1">IFERROR(__xludf.DUMMYFUNCTION("""COMPUTED_VALUE"""),2.63999999999999)</f>
        <v>2.6399999999999899</v>
      </c>
      <c r="AP155" s="2">
        <f ca="1">IFERROR(__xludf.DUMMYFUNCTION("""COMPUTED_VALUE"""),0.775)</f>
        <v>0.77500000000000002</v>
      </c>
      <c r="AQ155" s="2">
        <f ca="1">IFERROR(__xludf.DUMMYFUNCTION("""COMPUTED_VALUE"""),0)</f>
        <v>0</v>
      </c>
      <c r="AR155" s="2">
        <f ca="1">IFERROR(__xludf.DUMMYFUNCTION("""COMPUTED_VALUE"""),0)</f>
        <v>0</v>
      </c>
      <c r="AS155" s="2">
        <f ca="1">IFERROR(__xludf.DUMMYFUNCTION("""COMPUTED_VALUE"""),0)</f>
        <v>0</v>
      </c>
      <c r="AT155" s="2">
        <f ca="1">IFERROR(__xludf.DUMMYFUNCTION("""COMPUTED_VALUE"""),0)</f>
        <v>0</v>
      </c>
      <c r="AU155" s="2">
        <f ca="1">IFERROR(__xludf.DUMMYFUNCTION("""COMPUTED_VALUE"""),0)</f>
        <v>0</v>
      </c>
      <c r="AV155" s="2">
        <f ca="1">IFERROR(__xludf.DUMMYFUNCTION("""COMPUTED_VALUE"""),0)</f>
        <v>0</v>
      </c>
      <c r="AW155" s="2">
        <f ca="1">IFERROR(__xludf.DUMMYFUNCTION("""COMPUTED_VALUE"""),0)</f>
        <v>0</v>
      </c>
      <c r="AY155" s="2">
        <f t="shared" ca="1" si="0"/>
        <v>3</v>
      </c>
      <c r="AZ155" s="2" t="e">
        <f ca="1">IF(NOT(COUNTA(D155:J155)), _xludf.IFS(AL155="W", 'Round Bonuses'!$F$14, AL155="X", 'Round Bonuses'!$F$13, AK155="X", 'Round Bonuses'!$F$12, AJ155="X", 'Round Bonuses'!$F$11, AI155="X", 'Round Bonuses'!$F$10, AH155="X", 'Round Bonuses'!$F$9, AG155="X", 'Round Bonuses'!$F$8, AF155="X", 'Round Bonuses'!$F$7, AE155="X", 'Round Bonuses'!$F$6, AD155="X", 'Round Bonuses'!$F$5, AC155="X", 'Round Bonuses'!$F$4, AB155="X", 'Round Bonuses'!$F$3, TRUE, 0), IF(AA155="X", _xludf.IFS(AD155="X", 'Round Bonuses'!$E$4, AF155="X",'Round Bonuses'!$E$6,TRUE, 'Round Bonuses'!$E$7), 0) +IF(AB155="X", 'Round Bonuses'!$E$3, 0)+IF(AC155="X",'Round Bonuses'!$E$4, 0)+IF(AD155="X", 'Round Bonuses'!$E$5, 0)+IF(AE155="X", 'Round Bonuses'!$E$6, 0)+IF(AF155="X", 'Round Bonuses'!$E$7, 0)+IF(AG155="X", 'Round Bonuses'!$E$8, 0)+_xludf.IFS(AL155="W", 'Round Bonuses'!$G$14, AL155="X", 'Round Bonuses'!$G$13, AK155="X", 'Round Bonuses'!$G$12, AJ155="X", 'Round Bonuses'!$G$11, AI155="X", 'Round Bonuses'!$G$10, AH155="X", 'Round Bonuses'!$G$9, TRUE, 0))+_xludf.IFS(N155="W", 'Round Bonuses'!$C$13, N155="X", 'Round Bonuses'!$C$12, M155="X", 'Round Bonuses'!$C$11, L155="X", 'Round Bonuses'!$C$10, K155="X", 'Round Bonuses'!$C$9, J155="X", 'Round Bonuses'!$C$8, I155="X", 'Round Bonuses'!$C$7, H155="X", 'Round Bonuses'!$C$6, G155="X", 'Round Bonuses'!$C$5, F155="X", 'Round Bonuses'!$C$4, E155="X", 'Round Bonuses'!$C$3, D155="X", 'Round Bonuses'!$C$3, TRUE, 0)</f>
        <v>#NAME?</v>
      </c>
      <c r="BA155" s="2">
        <f t="shared" ca="1" si="1"/>
        <v>5.7249999999999908</v>
      </c>
      <c r="BB155" s="10" t="e">
        <f t="shared" ca="1" si="2"/>
        <v>#NAME?</v>
      </c>
      <c r="BD155" s="11" t="str">
        <f t="shared" ca="1" si="3"/>
        <v>Partizan</v>
      </c>
      <c r="BE155" s="2" t="str">
        <f t="shared" ca="1" si="4"/>
        <v>Serbia</v>
      </c>
      <c r="BF155" s="2" t="e">
        <f t="shared" ca="1" si="5"/>
        <v>#NAME?</v>
      </c>
      <c r="BG155" s="2">
        <f t="shared" ca="1" si="6"/>
        <v>3</v>
      </c>
      <c r="BH155" s="2" t="s">
        <v>219</v>
      </c>
      <c r="BI155" s="2" t="s">
        <v>121</v>
      </c>
      <c r="BJ155" s="7">
        <v>1.9849999999999999</v>
      </c>
      <c r="BK155" s="2">
        <v>2</v>
      </c>
      <c r="BL155" s="2">
        <f t="shared" si="10"/>
        <v>153</v>
      </c>
      <c r="BM155" s="2" t="str">
        <f t="shared" si="7"/>
        <v>Shamrock Rovers</v>
      </c>
      <c r="BN155" s="7">
        <f t="shared" ref="BN155:BO155" si="162">BJ155</f>
        <v>1.9849999999999999</v>
      </c>
      <c r="BO155" s="2">
        <f t="shared" si="162"/>
        <v>2</v>
      </c>
      <c r="BS155" s="2" t="str">
        <f t="shared" si="9"/>
        <v>Republic of Ireland</v>
      </c>
    </row>
    <row r="156" spans="1:71" ht="13.8" x14ac:dyDescent="0.45">
      <c r="A156" s="2" t="str">
        <f ca="1">IFERROR(__xludf.DUMMYFUNCTION("""COMPUTED_VALUE"""),"Petrocub Hîncești")</f>
        <v>Petrocub Hîncești</v>
      </c>
      <c r="B156" s="2">
        <f ca="1">IFERROR(__xludf.DUMMYFUNCTION("""COMPUTED_VALUE"""),0.629999999999999)</f>
        <v>0.62999999999999901</v>
      </c>
      <c r="C156" s="2" t="str">
        <f ca="1">IFERROR(__xludf.DUMMYFUNCTION("""COMPUTED_VALUE"""),"Moldova")</f>
        <v>Moldova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5">
        <f ca="1">IFERROR(__xludf.DUMMYFUNCTION("""COMPUTED_VALUE"""),0)</f>
        <v>0</v>
      </c>
      <c r="P156" s="2">
        <f ca="1">IFERROR(__xludf.DUMMYFUNCTION("""COMPUTED_VALUE"""),0)</f>
        <v>0</v>
      </c>
      <c r="Q156" s="2">
        <f ca="1">IFERROR(__xludf.DUMMYFUNCTION("""COMPUTED_VALUE"""),0)</f>
        <v>0</v>
      </c>
      <c r="R156" s="2">
        <f ca="1">IFERROR(__xludf.DUMMYFUNCTION("""COMPUTED_VALUE"""),0)</f>
        <v>0</v>
      </c>
      <c r="S156" s="2">
        <f ca="1">IFERROR(__xludf.DUMMYFUNCTION("""COMPUTED_VALUE"""),0)</f>
        <v>0</v>
      </c>
      <c r="T156" s="2">
        <f ca="1">IFERROR(__xludf.DUMMYFUNCTION("""COMPUTED_VALUE"""),0)</f>
        <v>0</v>
      </c>
      <c r="U156" s="2">
        <f ca="1">IFERROR(__xludf.DUMMYFUNCTION("""COMPUTED_VALUE"""),0)</f>
        <v>0</v>
      </c>
      <c r="V156" s="2">
        <f ca="1">IFERROR(__xludf.DUMMYFUNCTION("""COMPUTED_VALUE"""),0)</f>
        <v>0</v>
      </c>
      <c r="W156" s="2">
        <f ca="1">IFERROR(__xludf.DUMMYFUNCTION("""COMPUTED_VALUE"""),0)</f>
        <v>0</v>
      </c>
      <c r="X156" s="2">
        <f ca="1">IFERROR(__xludf.DUMMYFUNCTION("""COMPUTED_VALUE"""),0)</f>
        <v>0</v>
      </c>
      <c r="Y156" s="2">
        <f ca="1">IFERROR(__xludf.DUMMYFUNCTION("""COMPUTED_VALUE"""),0)</f>
        <v>0</v>
      </c>
      <c r="AB156" s="2"/>
      <c r="AC156" s="2" t="str">
        <f ca="1">IFERROR(__xludf.DUMMYFUNCTION("""COMPUTED_VALUE"""),"X")</f>
        <v>X</v>
      </c>
      <c r="AD156" s="2"/>
      <c r="AE156" s="2"/>
      <c r="AF156" s="2"/>
      <c r="AG156" s="2"/>
      <c r="AH156" s="2"/>
      <c r="AI156" s="2"/>
      <c r="AJ156" s="2"/>
      <c r="AK156" s="2"/>
      <c r="AL156" s="2"/>
      <c r="AM156" s="2">
        <f ca="1">IFERROR(__xludf.DUMMYFUNCTION("""COMPUTED_VALUE"""),0)</f>
        <v>0</v>
      </c>
      <c r="AN156" s="2">
        <f ca="1">IFERROR(__xludf.DUMMYFUNCTION("""COMPUTED_VALUE"""),0.53)</f>
        <v>0.53</v>
      </c>
      <c r="AO156" s="2">
        <f ca="1">IFERROR(__xludf.DUMMYFUNCTION("""COMPUTED_VALUE"""),0)</f>
        <v>0</v>
      </c>
      <c r="AP156" s="2">
        <f ca="1">IFERROR(__xludf.DUMMYFUNCTION("""COMPUTED_VALUE"""),0)</f>
        <v>0</v>
      </c>
      <c r="AQ156" s="2">
        <f ca="1">IFERROR(__xludf.DUMMYFUNCTION("""COMPUTED_VALUE"""),0)</f>
        <v>0</v>
      </c>
      <c r="AR156" s="2">
        <f ca="1">IFERROR(__xludf.DUMMYFUNCTION("""COMPUTED_VALUE"""),0)</f>
        <v>0</v>
      </c>
      <c r="AS156" s="2">
        <f ca="1">IFERROR(__xludf.DUMMYFUNCTION("""COMPUTED_VALUE"""),0)</f>
        <v>0</v>
      </c>
      <c r="AT156" s="2">
        <f ca="1">IFERROR(__xludf.DUMMYFUNCTION("""COMPUTED_VALUE"""),0)</f>
        <v>0</v>
      </c>
      <c r="AU156" s="2">
        <f ca="1">IFERROR(__xludf.DUMMYFUNCTION("""COMPUTED_VALUE"""),0)</f>
        <v>0</v>
      </c>
      <c r="AV156" s="2">
        <f ca="1">IFERROR(__xludf.DUMMYFUNCTION("""COMPUTED_VALUE"""),0)</f>
        <v>0</v>
      </c>
      <c r="AW156" s="2">
        <f ca="1">IFERROR(__xludf.DUMMYFUNCTION("""COMPUTED_VALUE"""),0)</f>
        <v>0</v>
      </c>
      <c r="AY156" s="2">
        <f t="shared" ca="1" si="0"/>
        <v>1</v>
      </c>
      <c r="AZ156" s="2" t="e">
        <f ca="1">IF(NOT(COUNTA(D156:J156)), _xludf.IFS(AL156="W", 'Round Bonuses'!$F$14, AL156="X", 'Round Bonuses'!$F$13, AK156="X", 'Round Bonuses'!$F$12, AJ156="X", 'Round Bonuses'!$F$11, AI156="X", 'Round Bonuses'!$F$10, AH156="X", 'Round Bonuses'!$F$9, AG156="X", 'Round Bonuses'!$F$8, AF156="X", 'Round Bonuses'!$F$7, AE156="X", 'Round Bonuses'!$F$6, AD156="X", 'Round Bonuses'!$F$5, AC156="X", 'Round Bonuses'!$F$4, AB156="X", 'Round Bonuses'!$F$3, TRUE, 0), IF(AA156="X", _xludf.IFS(AD156="X", 'Round Bonuses'!$E$4, AF156="X",'Round Bonuses'!$E$6,TRUE, 'Round Bonuses'!$E$7), 0) +IF(AB156="X", 'Round Bonuses'!$E$3, 0)+IF(AC156="X",'Round Bonuses'!$E$4, 0)+IF(AD156="X", 'Round Bonuses'!$E$5, 0)+IF(AE156="X", 'Round Bonuses'!$E$6, 0)+IF(AF156="X", 'Round Bonuses'!$E$7, 0)+IF(AG156="X", 'Round Bonuses'!$E$8, 0)+_xludf.IFS(AL156="W", 'Round Bonuses'!$G$14, AL156="X", 'Round Bonuses'!$G$13, AK156="X", 'Round Bonuses'!$G$12, AJ156="X", 'Round Bonuses'!$G$11, AI156="X", 'Round Bonuses'!$G$10, AH156="X", 'Round Bonuses'!$G$9, TRUE, 0))+_xludf.IFS(N156="W", 'Round Bonuses'!$C$13, N156="X", 'Round Bonuses'!$C$12, M156="X", 'Round Bonuses'!$C$11, L156="X", 'Round Bonuses'!$C$10, K156="X", 'Round Bonuses'!$C$9, J156="X", 'Round Bonuses'!$C$8, I156="X", 'Round Bonuses'!$C$7, H156="X", 'Round Bonuses'!$C$6, G156="X", 'Round Bonuses'!$C$5, F156="X", 'Round Bonuses'!$C$4, E156="X", 'Round Bonuses'!$C$3, D156="X", 'Round Bonuses'!$C$3, TRUE, 0)</f>
        <v>#NAME?</v>
      </c>
      <c r="BA156" s="2">
        <f t="shared" ca="1" si="1"/>
        <v>0.53</v>
      </c>
      <c r="BB156" s="10" t="e">
        <f t="shared" ca="1" si="2"/>
        <v>#NAME?</v>
      </c>
      <c r="BD156" s="11" t="str">
        <f t="shared" ca="1" si="3"/>
        <v>Petrocub Hîncești</v>
      </c>
      <c r="BE156" s="2" t="str">
        <f t="shared" ca="1" si="4"/>
        <v>Moldova</v>
      </c>
      <c r="BF156" s="2" t="e">
        <f t="shared" ca="1" si="5"/>
        <v>#NAME?</v>
      </c>
      <c r="BG156" s="2">
        <f t="shared" ca="1" si="6"/>
        <v>1</v>
      </c>
      <c r="BH156" s="2" t="s">
        <v>220</v>
      </c>
      <c r="BI156" s="2" t="s">
        <v>141</v>
      </c>
      <c r="BJ156" s="7">
        <v>1.9512499999999999</v>
      </c>
      <c r="BK156" s="2">
        <v>2</v>
      </c>
      <c r="BL156" s="2">
        <f t="shared" si="10"/>
        <v>154</v>
      </c>
      <c r="BM156" s="2" t="str">
        <f t="shared" si="7"/>
        <v>Borac Banja Luka</v>
      </c>
      <c r="BN156" s="7">
        <f t="shared" ref="BN156:BO156" si="163">BJ156</f>
        <v>1.9512499999999999</v>
      </c>
      <c r="BO156" s="2">
        <f t="shared" si="163"/>
        <v>2</v>
      </c>
      <c r="BS156" s="2" t="str">
        <f t="shared" si="9"/>
        <v>Bosnia and Herzegovina</v>
      </c>
    </row>
    <row r="157" spans="1:71" ht="13.8" x14ac:dyDescent="0.45">
      <c r="A157" s="2" t="str">
        <f ca="1">IFERROR(__xludf.DUMMYFUNCTION("""COMPUTED_VALUE"""),"Piast Gliwice")</f>
        <v>Piast Gliwice</v>
      </c>
      <c r="B157" s="2">
        <f ca="1">IFERROR(__xludf.DUMMYFUNCTION("""COMPUTED_VALUE"""),0.73)</f>
        <v>0.73</v>
      </c>
      <c r="C157" s="2" t="str">
        <f ca="1">IFERROR(__xludf.DUMMYFUNCTION("""COMPUTED_VALUE"""),"Poland")</f>
        <v>Poland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5">
        <f ca="1">IFERROR(__xludf.DUMMYFUNCTION("""COMPUTED_VALUE"""),0)</f>
        <v>0</v>
      </c>
      <c r="P157" s="2">
        <f ca="1">IFERROR(__xludf.DUMMYFUNCTION("""COMPUTED_VALUE"""),0)</f>
        <v>0</v>
      </c>
      <c r="Q157" s="2">
        <f ca="1">IFERROR(__xludf.DUMMYFUNCTION("""COMPUTED_VALUE"""),0)</f>
        <v>0</v>
      </c>
      <c r="R157" s="2">
        <f ca="1">IFERROR(__xludf.DUMMYFUNCTION("""COMPUTED_VALUE"""),0)</f>
        <v>0</v>
      </c>
      <c r="S157" s="2">
        <f ca="1">IFERROR(__xludf.DUMMYFUNCTION("""COMPUTED_VALUE"""),0)</f>
        <v>0</v>
      </c>
      <c r="T157" s="2">
        <f ca="1">IFERROR(__xludf.DUMMYFUNCTION("""COMPUTED_VALUE"""),0)</f>
        <v>0</v>
      </c>
      <c r="U157" s="2">
        <f ca="1">IFERROR(__xludf.DUMMYFUNCTION("""COMPUTED_VALUE"""),0)</f>
        <v>0</v>
      </c>
      <c r="V157" s="2">
        <f ca="1">IFERROR(__xludf.DUMMYFUNCTION("""COMPUTED_VALUE"""),0)</f>
        <v>0</v>
      </c>
      <c r="W157" s="2">
        <f ca="1">IFERROR(__xludf.DUMMYFUNCTION("""COMPUTED_VALUE"""),0)</f>
        <v>0</v>
      </c>
      <c r="X157" s="2">
        <f ca="1">IFERROR(__xludf.DUMMYFUNCTION("""COMPUTED_VALUE"""),0)</f>
        <v>0</v>
      </c>
      <c r="Y157" s="2">
        <f ca="1">IFERROR(__xludf.DUMMYFUNCTION("""COMPUTED_VALUE"""),0)</f>
        <v>0</v>
      </c>
      <c r="AB157" s="2"/>
      <c r="AC157" s="2" t="str">
        <f ca="1">IFERROR(__xludf.DUMMYFUNCTION("""COMPUTED_VALUE"""),"X")</f>
        <v>X</v>
      </c>
      <c r="AD157" s="2" t="str">
        <f ca="1">IFERROR(__xludf.DUMMYFUNCTION("""COMPUTED_VALUE"""),"X")</f>
        <v>X</v>
      </c>
      <c r="AE157" s="2" t="str">
        <f ca="1">IFERROR(__xludf.DUMMYFUNCTION("""COMPUTED_VALUE"""),"X")</f>
        <v>X</v>
      </c>
      <c r="AF157" s="2"/>
      <c r="AG157" s="2"/>
      <c r="AH157" s="2"/>
      <c r="AI157" s="2"/>
      <c r="AJ157" s="2"/>
      <c r="AK157" s="2"/>
      <c r="AL157" s="2"/>
      <c r="AM157" s="2">
        <f ca="1">IFERROR(__xludf.DUMMYFUNCTION("""COMPUTED_VALUE"""),0)</f>
        <v>0</v>
      </c>
      <c r="AN157" s="2">
        <f ca="1">IFERROR(__xludf.DUMMYFUNCTION("""COMPUTED_VALUE"""),3.23)</f>
        <v>3.23</v>
      </c>
      <c r="AO157" s="2">
        <f ca="1">IFERROR(__xludf.DUMMYFUNCTION("""COMPUTED_VALUE"""),3.465)</f>
        <v>3.4649999999999999</v>
      </c>
      <c r="AP157" s="2">
        <f ca="1">IFERROR(__xludf.DUMMYFUNCTION("""COMPUTED_VALUE"""),0.454999999999999)</f>
        <v>0.45499999999999902</v>
      </c>
      <c r="AQ157" s="2">
        <f ca="1">IFERROR(__xludf.DUMMYFUNCTION("""COMPUTED_VALUE"""),0)</f>
        <v>0</v>
      </c>
      <c r="AR157" s="2">
        <f ca="1">IFERROR(__xludf.DUMMYFUNCTION("""COMPUTED_VALUE"""),0)</f>
        <v>0</v>
      </c>
      <c r="AS157" s="2">
        <f ca="1">IFERROR(__xludf.DUMMYFUNCTION("""COMPUTED_VALUE"""),0)</f>
        <v>0</v>
      </c>
      <c r="AT157" s="2">
        <f ca="1">IFERROR(__xludf.DUMMYFUNCTION("""COMPUTED_VALUE"""),0)</f>
        <v>0</v>
      </c>
      <c r="AU157" s="2">
        <f ca="1">IFERROR(__xludf.DUMMYFUNCTION("""COMPUTED_VALUE"""),0)</f>
        <v>0</v>
      </c>
      <c r="AV157" s="2">
        <f ca="1">IFERROR(__xludf.DUMMYFUNCTION("""COMPUTED_VALUE"""),0)</f>
        <v>0</v>
      </c>
      <c r="AW157" s="2">
        <f ca="1">IFERROR(__xludf.DUMMYFUNCTION("""COMPUTED_VALUE"""),0)</f>
        <v>0</v>
      </c>
      <c r="AY157" s="2">
        <f t="shared" ca="1" si="0"/>
        <v>3</v>
      </c>
      <c r="AZ157" s="2" t="e">
        <f ca="1">IF(NOT(COUNTA(D157:J157)), _xludf.IFS(AL157="W", 'Round Bonuses'!$F$14, AL157="X", 'Round Bonuses'!$F$13, AK157="X", 'Round Bonuses'!$F$12, AJ157="X", 'Round Bonuses'!$F$11, AI157="X", 'Round Bonuses'!$F$10, AH157="X", 'Round Bonuses'!$F$9, AG157="X", 'Round Bonuses'!$F$8, AF157="X", 'Round Bonuses'!$F$7, AE157="X", 'Round Bonuses'!$F$6, AD157="X", 'Round Bonuses'!$F$5, AC157="X", 'Round Bonuses'!$F$4, AB157="X", 'Round Bonuses'!$F$3, TRUE, 0), IF(AA157="X", _xludf.IFS(AD157="X", 'Round Bonuses'!$E$4, AF157="X",'Round Bonuses'!$E$6,TRUE, 'Round Bonuses'!$E$7), 0) +IF(AB157="X", 'Round Bonuses'!$E$3, 0)+IF(AC157="X",'Round Bonuses'!$E$4, 0)+IF(AD157="X", 'Round Bonuses'!$E$5, 0)+IF(AE157="X", 'Round Bonuses'!$E$6, 0)+IF(AF157="X", 'Round Bonuses'!$E$7, 0)+IF(AG157="X", 'Round Bonuses'!$E$8, 0)+_xludf.IFS(AL157="W", 'Round Bonuses'!$G$14, AL157="X", 'Round Bonuses'!$G$13, AK157="X", 'Round Bonuses'!$G$12, AJ157="X", 'Round Bonuses'!$G$11, AI157="X", 'Round Bonuses'!$G$10, AH157="X", 'Round Bonuses'!$G$9, TRUE, 0))+_xludf.IFS(N157="W", 'Round Bonuses'!$C$13, N157="X", 'Round Bonuses'!$C$12, M157="X", 'Round Bonuses'!$C$11, L157="X", 'Round Bonuses'!$C$10, K157="X", 'Round Bonuses'!$C$9, J157="X", 'Round Bonuses'!$C$8, I157="X", 'Round Bonuses'!$C$7, H157="X", 'Round Bonuses'!$C$6, G157="X", 'Round Bonuses'!$C$5, F157="X", 'Round Bonuses'!$C$4, E157="X", 'Round Bonuses'!$C$3, D157="X", 'Round Bonuses'!$C$3, TRUE, 0)</f>
        <v>#NAME?</v>
      </c>
      <c r="BA157" s="2">
        <f t="shared" ca="1" si="1"/>
        <v>7.1499999999999995</v>
      </c>
      <c r="BB157" s="10" t="e">
        <f t="shared" ca="1" si="2"/>
        <v>#NAME?</v>
      </c>
      <c r="BD157" s="11" t="str">
        <f t="shared" ca="1" si="3"/>
        <v>Piast Gliwice</v>
      </c>
      <c r="BE157" s="2" t="str">
        <f t="shared" ca="1" si="4"/>
        <v>Poland</v>
      </c>
      <c r="BF157" s="2" t="e">
        <f t="shared" ca="1" si="5"/>
        <v>#NAME?</v>
      </c>
      <c r="BG157" s="2">
        <f t="shared" ca="1" si="6"/>
        <v>3</v>
      </c>
      <c r="BH157" s="2" t="s">
        <v>221</v>
      </c>
      <c r="BI157" s="2" t="s">
        <v>179</v>
      </c>
      <c r="BJ157" s="7">
        <v>1.9387500000000002</v>
      </c>
      <c r="BK157" s="2">
        <v>2</v>
      </c>
      <c r="BL157" s="2">
        <f t="shared" si="10"/>
        <v>155</v>
      </c>
      <c r="BM157" s="2" t="str">
        <f t="shared" si="7"/>
        <v>Žalgiris</v>
      </c>
      <c r="BN157" s="7">
        <f t="shared" ref="BN157:BO157" si="164">BJ157</f>
        <v>1.9387500000000002</v>
      </c>
      <c r="BO157" s="2">
        <f t="shared" si="164"/>
        <v>2</v>
      </c>
      <c r="BS157" s="2" t="str">
        <f t="shared" si="9"/>
        <v>Lithuania</v>
      </c>
    </row>
    <row r="158" spans="1:71" ht="13.8" x14ac:dyDescent="0.45">
      <c r="A158" s="2" t="str">
        <f ca="1">IFERROR(__xludf.DUMMYFUNCTION("""COMPUTED_VALUE"""),"Porto")</f>
        <v>Porto</v>
      </c>
      <c r="B158" s="2">
        <f ca="1">IFERROR(__xludf.DUMMYFUNCTION("""COMPUTED_VALUE"""),0.929999999999999)</f>
        <v>0.92999999999999905</v>
      </c>
      <c r="C158" s="2" t="str">
        <f ca="1">IFERROR(__xludf.DUMMYFUNCTION("""COMPUTED_VALUE"""),"Portugal")</f>
        <v>Portugal</v>
      </c>
      <c r="D158" s="2"/>
      <c r="E158" s="2"/>
      <c r="F158" s="2"/>
      <c r="G158" s="2"/>
      <c r="H158" s="2"/>
      <c r="I158" s="2"/>
      <c r="J158" s="2" t="str">
        <f ca="1">IFERROR(__xludf.DUMMYFUNCTION("""COMPUTED_VALUE"""),"X")</f>
        <v>X</v>
      </c>
      <c r="K158" s="2" t="str">
        <f ca="1">IFERROR(__xludf.DUMMYFUNCTION("""COMPUTED_VALUE"""),"X")</f>
        <v>X</v>
      </c>
      <c r="L158" s="2" t="str">
        <f ca="1">IFERROR(__xludf.DUMMYFUNCTION("""COMPUTED_VALUE"""),"X")</f>
        <v>X</v>
      </c>
      <c r="M158" s="2"/>
      <c r="N158" s="2"/>
      <c r="O158" s="5">
        <f ca="1">IFERROR(__xludf.DUMMYFUNCTION("""COMPUTED_VALUE"""),0)</f>
        <v>0</v>
      </c>
      <c r="P158" s="2">
        <f ca="1">IFERROR(__xludf.DUMMYFUNCTION("""COMPUTED_VALUE"""),0)</f>
        <v>0</v>
      </c>
      <c r="Q158" s="2">
        <f ca="1">IFERROR(__xludf.DUMMYFUNCTION("""COMPUTED_VALUE"""),0)</f>
        <v>0</v>
      </c>
      <c r="R158" s="2">
        <f ca="1">IFERROR(__xludf.DUMMYFUNCTION("""COMPUTED_VALUE"""),0)</f>
        <v>0</v>
      </c>
      <c r="S158" s="2">
        <f ca="1">IFERROR(__xludf.DUMMYFUNCTION("""COMPUTED_VALUE"""),0)</f>
        <v>0</v>
      </c>
      <c r="T158" s="2">
        <f ca="1">IFERROR(__xludf.DUMMYFUNCTION("""COMPUTED_VALUE"""),0)</f>
        <v>0</v>
      </c>
      <c r="U158" s="2">
        <f ca="1">IFERROR(__xludf.DUMMYFUNCTION("""COMPUTED_VALUE"""),18.0774999999999)</f>
        <v>18.077499999999901</v>
      </c>
      <c r="V158" s="2">
        <f ca="1">IFERROR(__xludf.DUMMYFUNCTION("""COMPUTED_VALUE"""),4.84624999999999)</f>
        <v>4.8462499999999897</v>
      </c>
      <c r="W158" s="2">
        <f ca="1">IFERROR(__xludf.DUMMYFUNCTION("""COMPUTED_VALUE"""),4.61875)</f>
        <v>4.6187500000000004</v>
      </c>
      <c r="X158" s="2">
        <f ca="1">IFERROR(__xludf.DUMMYFUNCTION("""COMPUTED_VALUE"""),0)</f>
        <v>0</v>
      </c>
      <c r="Y158" s="2">
        <f ca="1">IFERROR(__xludf.DUMMYFUNCTION("""COMPUTED_VALUE"""),0)</f>
        <v>0</v>
      </c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>
        <f ca="1">IFERROR(__xludf.DUMMYFUNCTION("""COMPUTED_VALUE"""),0)</f>
        <v>0</v>
      </c>
      <c r="AN158" s="2">
        <f ca="1">IFERROR(__xludf.DUMMYFUNCTION("""COMPUTED_VALUE"""),0)</f>
        <v>0</v>
      </c>
      <c r="AO158" s="2">
        <f ca="1">IFERROR(__xludf.DUMMYFUNCTION("""COMPUTED_VALUE"""),0)</f>
        <v>0</v>
      </c>
      <c r="AP158" s="2">
        <f ca="1">IFERROR(__xludf.DUMMYFUNCTION("""COMPUTED_VALUE"""),0)</f>
        <v>0</v>
      </c>
      <c r="AQ158" s="2">
        <f ca="1">IFERROR(__xludf.DUMMYFUNCTION("""COMPUTED_VALUE"""),0)</f>
        <v>0</v>
      </c>
      <c r="AR158" s="2">
        <f ca="1">IFERROR(__xludf.DUMMYFUNCTION("""COMPUTED_VALUE"""),0)</f>
        <v>0</v>
      </c>
      <c r="AS158" s="2">
        <f ca="1">IFERROR(__xludf.DUMMYFUNCTION("""COMPUTED_VALUE"""),0)</f>
        <v>0</v>
      </c>
      <c r="AT158" s="2">
        <f ca="1">IFERROR(__xludf.DUMMYFUNCTION("""COMPUTED_VALUE"""),0)</f>
        <v>0</v>
      </c>
      <c r="AU158" s="2">
        <f ca="1">IFERROR(__xludf.DUMMYFUNCTION("""COMPUTED_VALUE"""),0)</f>
        <v>0</v>
      </c>
      <c r="AV158" s="2">
        <f ca="1">IFERROR(__xludf.DUMMYFUNCTION("""COMPUTED_VALUE"""),0)</f>
        <v>0</v>
      </c>
      <c r="AW158" s="2">
        <f ca="1">IFERROR(__xludf.DUMMYFUNCTION("""COMPUTED_VALUE"""),0)</f>
        <v>0</v>
      </c>
      <c r="AY158" s="2">
        <f t="shared" ca="1" si="0"/>
        <v>10</v>
      </c>
      <c r="AZ158" s="2" t="e">
        <f ca="1">IF(NOT(COUNTA(D158:J158)), _xludf.IFS(AL158="W", 'Round Bonuses'!$F$14, AL158="X", 'Round Bonuses'!$F$13, AK158="X", 'Round Bonuses'!$F$12, AJ158="X", 'Round Bonuses'!$F$11, AI158="X", 'Round Bonuses'!$F$10, AH158="X", 'Round Bonuses'!$F$9, AG158="X", 'Round Bonuses'!$F$8, AF158="X", 'Round Bonuses'!$F$7, AE158="X", 'Round Bonuses'!$F$6, AD158="X", 'Round Bonuses'!$F$5, AC158="X", 'Round Bonuses'!$F$4, AB158="X", 'Round Bonuses'!$F$3, TRUE, 0), IF(AA158="X", _xludf.IFS(AD158="X", 'Round Bonuses'!$E$4, AF158="X",'Round Bonuses'!$E$6,TRUE, 'Round Bonuses'!$E$7), 0) +IF(AB158="X", 'Round Bonuses'!$E$3, 0)+IF(AC158="X",'Round Bonuses'!$E$4, 0)+IF(AD158="X", 'Round Bonuses'!$E$5, 0)+IF(AE158="X", 'Round Bonuses'!$E$6, 0)+IF(AF158="X", 'Round Bonuses'!$E$7, 0)+IF(AG158="X", 'Round Bonuses'!$E$8, 0)+_xludf.IFS(AL158="W", 'Round Bonuses'!$G$14, AL158="X", 'Round Bonuses'!$G$13, AK158="X", 'Round Bonuses'!$G$12, AJ158="X", 'Round Bonuses'!$G$11, AI158="X", 'Round Bonuses'!$G$10, AH158="X", 'Round Bonuses'!$G$9, TRUE, 0))+_xludf.IFS(N158="W", 'Round Bonuses'!$C$13, N158="X", 'Round Bonuses'!$C$12, M158="X", 'Round Bonuses'!$C$11, L158="X", 'Round Bonuses'!$C$10, K158="X", 'Round Bonuses'!$C$9, J158="X", 'Round Bonuses'!$C$8, I158="X", 'Round Bonuses'!$C$7, H158="X", 'Round Bonuses'!$C$6, G158="X", 'Round Bonuses'!$C$5, F158="X", 'Round Bonuses'!$C$4, E158="X", 'Round Bonuses'!$C$3, D158="X", 'Round Bonuses'!$C$3, TRUE, 0)</f>
        <v>#NAME?</v>
      </c>
      <c r="BA158" s="2">
        <f t="shared" ca="1" si="1"/>
        <v>27.54249999999989</v>
      </c>
      <c r="BB158" s="10" t="e">
        <f t="shared" ca="1" si="2"/>
        <v>#NAME?</v>
      </c>
      <c r="BD158" s="11" t="str">
        <f t="shared" ca="1" si="3"/>
        <v>Porto</v>
      </c>
      <c r="BE158" s="2" t="str">
        <f t="shared" ca="1" si="4"/>
        <v>Portugal</v>
      </c>
      <c r="BF158" s="2" t="e">
        <f t="shared" ca="1" si="5"/>
        <v>#NAME?</v>
      </c>
      <c r="BG158" s="2">
        <f t="shared" ca="1" si="6"/>
        <v>10</v>
      </c>
      <c r="BH158" s="2" t="s">
        <v>222</v>
      </c>
      <c r="BI158" s="2" t="s">
        <v>76</v>
      </c>
      <c r="BJ158" s="7">
        <v>1.8050000000000002</v>
      </c>
      <c r="BK158" s="2">
        <v>1</v>
      </c>
      <c r="BL158" s="2">
        <f t="shared" si="10"/>
        <v>156</v>
      </c>
      <c r="BM158" s="2" t="str">
        <f t="shared" si="7"/>
        <v>Vojvodina</v>
      </c>
      <c r="BN158" s="7">
        <f t="shared" ref="BN158:BO158" si="165">BJ158</f>
        <v>1.8050000000000002</v>
      </c>
      <c r="BO158" s="2">
        <f t="shared" si="165"/>
        <v>1</v>
      </c>
      <c r="BS158" s="2" t="str">
        <f t="shared" si="9"/>
        <v>Serbia</v>
      </c>
    </row>
    <row r="159" spans="1:71" ht="13.8" x14ac:dyDescent="0.45">
      <c r="A159" s="2" t="str">
        <f ca="1">IFERROR(__xludf.DUMMYFUNCTION("""COMPUTED_VALUE"""),"Prishtina")</f>
        <v>Prishtina</v>
      </c>
      <c r="B159" s="2">
        <f ca="1">IFERROR(__xludf.DUMMYFUNCTION("""COMPUTED_VALUE"""),0.459999999999999)</f>
        <v>0.45999999999999902</v>
      </c>
      <c r="C159" s="2" t="str">
        <f ca="1">IFERROR(__xludf.DUMMYFUNCTION("""COMPUTED_VALUE"""),"Kosovo")</f>
        <v>Kosovo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5">
        <f ca="1">IFERROR(__xludf.DUMMYFUNCTION("""COMPUTED_VALUE"""),0)</f>
        <v>0</v>
      </c>
      <c r="P159" s="2">
        <f ca="1">IFERROR(__xludf.DUMMYFUNCTION("""COMPUTED_VALUE"""),0)</f>
        <v>0</v>
      </c>
      <c r="Q159" s="2">
        <f ca="1">IFERROR(__xludf.DUMMYFUNCTION("""COMPUTED_VALUE"""),0)</f>
        <v>0</v>
      </c>
      <c r="R159" s="2">
        <f ca="1">IFERROR(__xludf.DUMMYFUNCTION("""COMPUTED_VALUE"""),0)</f>
        <v>0</v>
      </c>
      <c r="S159" s="2">
        <f ca="1">IFERROR(__xludf.DUMMYFUNCTION("""COMPUTED_VALUE"""),0)</f>
        <v>0</v>
      </c>
      <c r="T159" s="2">
        <f ca="1">IFERROR(__xludf.DUMMYFUNCTION("""COMPUTED_VALUE"""),0)</f>
        <v>0</v>
      </c>
      <c r="U159" s="2">
        <f ca="1">IFERROR(__xludf.DUMMYFUNCTION("""COMPUTED_VALUE"""),0)</f>
        <v>0</v>
      </c>
      <c r="V159" s="2">
        <f ca="1">IFERROR(__xludf.DUMMYFUNCTION("""COMPUTED_VALUE"""),0)</f>
        <v>0</v>
      </c>
      <c r="W159" s="2">
        <f ca="1">IFERROR(__xludf.DUMMYFUNCTION("""COMPUTED_VALUE"""),0)</f>
        <v>0</v>
      </c>
      <c r="X159" s="2">
        <f ca="1">IFERROR(__xludf.DUMMYFUNCTION("""COMPUTED_VALUE"""),0)</f>
        <v>0</v>
      </c>
      <c r="Y159" s="2">
        <f ca="1">IFERROR(__xludf.DUMMYFUNCTION("""COMPUTED_VALUE"""),0)</f>
        <v>0</v>
      </c>
      <c r="AB159" s="2" t="str">
        <f ca="1">IFERROR(__xludf.DUMMYFUNCTION("""COMPUTED_VALUE"""),"X")</f>
        <v>X</v>
      </c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>
        <f ca="1">IFERROR(__xludf.DUMMYFUNCTION("""COMPUTED_VALUE"""),0.0949999999999999)</f>
        <v>9.4999999999999904E-2</v>
      </c>
      <c r="AN159" s="2">
        <f ca="1">IFERROR(__xludf.DUMMYFUNCTION("""COMPUTED_VALUE"""),0)</f>
        <v>0</v>
      </c>
      <c r="AO159" s="2">
        <f ca="1">IFERROR(__xludf.DUMMYFUNCTION("""COMPUTED_VALUE"""),0)</f>
        <v>0</v>
      </c>
      <c r="AP159" s="2">
        <f ca="1">IFERROR(__xludf.DUMMYFUNCTION("""COMPUTED_VALUE"""),0)</f>
        <v>0</v>
      </c>
      <c r="AQ159" s="2">
        <f ca="1">IFERROR(__xludf.DUMMYFUNCTION("""COMPUTED_VALUE"""),0)</f>
        <v>0</v>
      </c>
      <c r="AR159" s="2">
        <f ca="1">IFERROR(__xludf.DUMMYFUNCTION("""COMPUTED_VALUE"""),0)</f>
        <v>0</v>
      </c>
      <c r="AS159" s="2">
        <f ca="1">IFERROR(__xludf.DUMMYFUNCTION("""COMPUTED_VALUE"""),0)</f>
        <v>0</v>
      </c>
      <c r="AT159" s="2">
        <f ca="1">IFERROR(__xludf.DUMMYFUNCTION("""COMPUTED_VALUE"""),0)</f>
        <v>0</v>
      </c>
      <c r="AU159" s="2">
        <f ca="1">IFERROR(__xludf.DUMMYFUNCTION("""COMPUTED_VALUE"""),0)</f>
        <v>0</v>
      </c>
      <c r="AV159" s="2">
        <f ca="1">IFERROR(__xludf.DUMMYFUNCTION("""COMPUTED_VALUE"""),0)</f>
        <v>0</v>
      </c>
      <c r="AW159" s="2">
        <f ca="1">IFERROR(__xludf.DUMMYFUNCTION("""COMPUTED_VALUE"""),0)</f>
        <v>0</v>
      </c>
      <c r="AY159" s="2">
        <f t="shared" ca="1" si="0"/>
        <v>1</v>
      </c>
      <c r="AZ159" s="2" t="e">
        <f ca="1">IF(NOT(COUNTA(D159:J159)), _xludf.IFS(AL159="W", 'Round Bonuses'!$F$14, AL159="X", 'Round Bonuses'!$F$13, AK159="X", 'Round Bonuses'!$F$12, AJ159="X", 'Round Bonuses'!$F$11, AI159="X", 'Round Bonuses'!$F$10, AH159="X", 'Round Bonuses'!$F$9, AG159="X", 'Round Bonuses'!$F$8, AF159="X", 'Round Bonuses'!$F$7, AE159="X", 'Round Bonuses'!$F$6, AD159="X", 'Round Bonuses'!$F$5, AC159="X", 'Round Bonuses'!$F$4, AB159="X", 'Round Bonuses'!$F$3, TRUE, 0), IF(AA159="X", _xludf.IFS(AD159="X", 'Round Bonuses'!$E$4, AF159="X",'Round Bonuses'!$E$6,TRUE, 'Round Bonuses'!$E$7), 0) +IF(AB159="X", 'Round Bonuses'!$E$3, 0)+IF(AC159="X",'Round Bonuses'!$E$4, 0)+IF(AD159="X", 'Round Bonuses'!$E$5, 0)+IF(AE159="X", 'Round Bonuses'!$E$6, 0)+IF(AF159="X", 'Round Bonuses'!$E$7, 0)+IF(AG159="X", 'Round Bonuses'!$E$8, 0)+_xludf.IFS(AL159="W", 'Round Bonuses'!$G$14, AL159="X", 'Round Bonuses'!$G$13, AK159="X", 'Round Bonuses'!$G$12, AJ159="X", 'Round Bonuses'!$G$11, AI159="X", 'Round Bonuses'!$G$10, AH159="X", 'Round Bonuses'!$G$9, TRUE, 0))+_xludf.IFS(N159="W", 'Round Bonuses'!$C$13, N159="X", 'Round Bonuses'!$C$12, M159="X", 'Round Bonuses'!$C$11, L159="X", 'Round Bonuses'!$C$10, K159="X", 'Round Bonuses'!$C$9, J159="X", 'Round Bonuses'!$C$8, I159="X", 'Round Bonuses'!$C$7, H159="X", 'Round Bonuses'!$C$6, G159="X", 'Round Bonuses'!$C$5, F159="X", 'Round Bonuses'!$C$4, E159="X", 'Round Bonuses'!$C$3, D159="X", 'Round Bonuses'!$C$3, TRUE, 0)</f>
        <v>#NAME?</v>
      </c>
      <c r="BA159" s="2">
        <f t="shared" ca="1" si="1"/>
        <v>9.4999999999999904E-2</v>
      </c>
      <c r="BB159" s="10" t="e">
        <f t="shared" ca="1" si="2"/>
        <v>#NAME?</v>
      </c>
      <c r="BD159" s="11" t="str">
        <f t="shared" ca="1" si="3"/>
        <v>Prishtina</v>
      </c>
      <c r="BE159" s="2" t="str">
        <f t="shared" ca="1" si="4"/>
        <v>Kosovo</v>
      </c>
      <c r="BF159" s="2" t="e">
        <f t="shared" ca="1" si="5"/>
        <v>#NAME?</v>
      </c>
      <c r="BG159" s="2">
        <f t="shared" ca="1" si="6"/>
        <v>1</v>
      </c>
      <c r="BH159" s="2" t="s">
        <v>223</v>
      </c>
      <c r="BI159" s="2" t="s">
        <v>63</v>
      </c>
      <c r="BJ159" s="7">
        <v>1.7650000000000001</v>
      </c>
      <c r="BK159" s="2">
        <v>1</v>
      </c>
      <c r="BL159" s="2">
        <f t="shared" si="10"/>
        <v>157</v>
      </c>
      <c r="BM159" s="2" t="str">
        <f t="shared" si="7"/>
        <v>St. Gallen</v>
      </c>
      <c r="BN159" s="7">
        <f t="shared" ref="BN159:BO159" si="166">BJ159</f>
        <v>1.7650000000000001</v>
      </c>
      <c r="BO159" s="2">
        <f t="shared" si="166"/>
        <v>1</v>
      </c>
      <c r="BS159" s="2" t="str">
        <f t="shared" si="9"/>
        <v>Switzerland</v>
      </c>
    </row>
    <row r="160" spans="1:71" ht="13.8" x14ac:dyDescent="0.45">
      <c r="A160" s="2" t="str">
        <f ca="1">IFERROR(__xludf.DUMMYFUNCTION("""COMPUTED_VALUE"""),"Progrès Niederkorn")</f>
        <v>Progrès Niederkorn</v>
      </c>
      <c r="B160" s="2">
        <f ca="1">IFERROR(__xludf.DUMMYFUNCTION("""COMPUTED_VALUE"""),0.56)</f>
        <v>0.56000000000000005</v>
      </c>
      <c r="C160" s="2" t="str">
        <f ca="1">IFERROR(__xludf.DUMMYFUNCTION("""COMPUTED_VALUE"""),"Luxembourg")</f>
        <v>Luxembourg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5">
        <f ca="1">IFERROR(__xludf.DUMMYFUNCTION("""COMPUTED_VALUE"""),0)</f>
        <v>0</v>
      </c>
      <c r="P160" s="2">
        <f ca="1">IFERROR(__xludf.DUMMYFUNCTION("""COMPUTED_VALUE"""),0)</f>
        <v>0</v>
      </c>
      <c r="Q160" s="2">
        <f ca="1">IFERROR(__xludf.DUMMYFUNCTION("""COMPUTED_VALUE"""),0)</f>
        <v>0</v>
      </c>
      <c r="R160" s="2">
        <f ca="1">IFERROR(__xludf.DUMMYFUNCTION("""COMPUTED_VALUE"""),0)</f>
        <v>0</v>
      </c>
      <c r="S160" s="2">
        <f ca="1">IFERROR(__xludf.DUMMYFUNCTION("""COMPUTED_VALUE"""),0)</f>
        <v>0</v>
      </c>
      <c r="T160" s="2">
        <f ca="1">IFERROR(__xludf.DUMMYFUNCTION("""COMPUTED_VALUE"""),0)</f>
        <v>0</v>
      </c>
      <c r="U160" s="2">
        <f ca="1">IFERROR(__xludf.DUMMYFUNCTION("""COMPUTED_VALUE"""),0)</f>
        <v>0</v>
      </c>
      <c r="V160" s="2">
        <f ca="1">IFERROR(__xludf.DUMMYFUNCTION("""COMPUTED_VALUE"""),0)</f>
        <v>0</v>
      </c>
      <c r="W160" s="2">
        <f ca="1">IFERROR(__xludf.DUMMYFUNCTION("""COMPUTED_VALUE"""),0)</f>
        <v>0</v>
      </c>
      <c r="X160" s="2">
        <f ca="1">IFERROR(__xludf.DUMMYFUNCTION("""COMPUTED_VALUE"""),0)</f>
        <v>0</v>
      </c>
      <c r="Y160" s="2">
        <f ca="1">IFERROR(__xludf.DUMMYFUNCTION("""COMPUTED_VALUE"""),0)</f>
        <v>0</v>
      </c>
      <c r="AB160" s="2"/>
      <c r="AC160" s="2" t="str">
        <f ca="1">IFERROR(__xludf.DUMMYFUNCTION("""COMPUTED_VALUE"""),"X")</f>
        <v>X</v>
      </c>
      <c r="AD160" s="2" t="str">
        <f ca="1">IFERROR(__xludf.DUMMYFUNCTION("""COMPUTED_VALUE"""),"X")</f>
        <v>X</v>
      </c>
      <c r="AE160" s="2"/>
      <c r="AF160" s="2"/>
      <c r="AG160" s="2"/>
      <c r="AH160" s="2"/>
      <c r="AI160" s="2"/>
      <c r="AJ160" s="2"/>
      <c r="AK160" s="2"/>
      <c r="AL160" s="2"/>
      <c r="AM160" s="2">
        <f ca="1">IFERROR(__xludf.DUMMYFUNCTION("""COMPUTED_VALUE"""),0)</f>
        <v>0</v>
      </c>
      <c r="AN160" s="2">
        <f ca="1">IFERROR(__xludf.DUMMYFUNCTION("""COMPUTED_VALUE"""),2.1)</f>
        <v>2.1</v>
      </c>
      <c r="AO160" s="2">
        <f ca="1">IFERROR(__xludf.DUMMYFUNCTION("""COMPUTED_VALUE"""),0.224999999999999)</f>
        <v>0.22499999999999901</v>
      </c>
      <c r="AP160" s="2">
        <f ca="1">IFERROR(__xludf.DUMMYFUNCTION("""COMPUTED_VALUE"""),0)</f>
        <v>0</v>
      </c>
      <c r="AQ160" s="2">
        <f ca="1">IFERROR(__xludf.DUMMYFUNCTION("""COMPUTED_VALUE"""),0)</f>
        <v>0</v>
      </c>
      <c r="AR160" s="2">
        <f ca="1">IFERROR(__xludf.DUMMYFUNCTION("""COMPUTED_VALUE"""),0)</f>
        <v>0</v>
      </c>
      <c r="AS160" s="2">
        <f ca="1">IFERROR(__xludf.DUMMYFUNCTION("""COMPUTED_VALUE"""),0)</f>
        <v>0</v>
      </c>
      <c r="AT160" s="2">
        <f ca="1">IFERROR(__xludf.DUMMYFUNCTION("""COMPUTED_VALUE"""),0)</f>
        <v>0</v>
      </c>
      <c r="AU160" s="2">
        <f ca="1">IFERROR(__xludf.DUMMYFUNCTION("""COMPUTED_VALUE"""),0)</f>
        <v>0</v>
      </c>
      <c r="AV160" s="2">
        <f ca="1">IFERROR(__xludf.DUMMYFUNCTION("""COMPUTED_VALUE"""),0)</f>
        <v>0</v>
      </c>
      <c r="AW160" s="2">
        <f ca="1">IFERROR(__xludf.DUMMYFUNCTION("""COMPUTED_VALUE"""),0)</f>
        <v>0</v>
      </c>
      <c r="AY160" s="2">
        <f t="shared" ca="1" si="0"/>
        <v>2</v>
      </c>
      <c r="AZ160" s="2" t="e">
        <f ca="1">IF(NOT(COUNTA(D160:J160)), _xludf.IFS(AL160="W", 'Round Bonuses'!$F$14, AL160="X", 'Round Bonuses'!$F$13, AK160="X", 'Round Bonuses'!$F$12, AJ160="X", 'Round Bonuses'!$F$11, AI160="X", 'Round Bonuses'!$F$10, AH160="X", 'Round Bonuses'!$F$9, AG160="X", 'Round Bonuses'!$F$8, AF160="X", 'Round Bonuses'!$F$7, AE160="X", 'Round Bonuses'!$F$6, AD160="X", 'Round Bonuses'!$F$5, AC160="X", 'Round Bonuses'!$F$4, AB160="X", 'Round Bonuses'!$F$3, TRUE, 0), IF(AA160="X", _xludf.IFS(AD160="X", 'Round Bonuses'!$E$4, AF160="X",'Round Bonuses'!$E$6,TRUE, 'Round Bonuses'!$E$7), 0) +IF(AB160="X", 'Round Bonuses'!$E$3, 0)+IF(AC160="X",'Round Bonuses'!$E$4, 0)+IF(AD160="X", 'Round Bonuses'!$E$5, 0)+IF(AE160="X", 'Round Bonuses'!$E$6, 0)+IF(AF160="X", 'Round Bonuses'!$E$7, 0)+IF(AG160="X", 'Round Bonuses'!$E$8, 0)+_xludf.IFS(AL160="W", 'Round Bonuses'!$G$14, AL160="X", 'Round Bonuses'!$G$13, AK160="X", 'Round Bonuses'!$G$12, AJ160="X", 'Round Bonuses'!$G$11, AI160="X", 'Round Bonuses'!$G$10, AH160="X", 'Round Bonuses'!$G$9, TRUE, 0))+_xludf.IFS(N160="W", 'Round Bonuses'!$C$13, N160="X", 'Round Bonuses'!$C$12, M160="X", 'Round Bonuses'!$C$11, L160="X", 'Round Bonuses'!$C$10, K160="X", 'Round Bonuses'!$C$9, J160="X", 'Round Bonuses'!$C$8, I160="X", 'Round Bonuses'!$C$7, H160="X", 'Round Bonuses'!$C$6, G160="X", 'Round Bonuses'!$C$5, F160="X", 'Round Bonuses'!$C$4, E160="X", 'Round Bonuses'!$C$3, D160="X", 'Round Bonuses'!$C$3, TRUE, 0)</f>
        <v>#NAME?</v>
      </c>
      <c r="BA160" s="2">
        <f t="shared" ca="1" si="1"/>
        <v>2.3249999999999993</v>
      </c>
      <c r="BB160" s="10" t="e">
        <f t="shared" ca="1" si="2"/>
        <v>#NAME?</v>
      </c>
      <c r="BD160" s="11" t="str">
        <f t="shared" ca="1" si="3"/>
        <v>Progrès Niederkorn</v>
      </c>
      <c r="BE160" s="2" t="str">
        <f t="shared" ca="1" si="4"/>
        <v>Luxembourg</v>
      </c>
      <c r="BF160" s="2" t="e">
        <f t="shared" ca="1" si="5"/>
        <v>#NAME?</v>
      </c>
      <c r="BG160" s="2">
        <f t="shared" ca="1" si="6"/>
        <v>2</v>
      </c>
      <c r="BH160" s="2" t="s">
        <v>224</v>
      </c>
      <c r="BI160" s="2" t="s">
        <v>225</v>
      </c>
      <c r="BJ160" s="7">
        <v>1.7625000000000002</v>
      </c>
      <c r="BK160" s="2">
        <v>2</v>
      </c>
      <c r="BL160" s="2">
        <f t="shared" si="10"/>
        <v>158</v>
      </c>
      <c r="BM160" s="2" t="str">
        <f t="shared" si="7"/>
        <v>Progrès Niederkorn</v>
      </c>
      <c r="BN160" s="7">
        <f t="shared" ref="BN160:BO160" si="167">BJ160</f>
        <v>1.7625000000000002</v>
      </c>
      <c r="BO160" s="2">
        <f t="shared" si="167"/>
        <v>2</v>
      </c>
      <c r="BS160" s="2" t="str">
        <f t="shared" si="9"/>
        <v>Luxembourg</v>
      </c>
    </row>
    <row r="161" spans="1:71" ht="13.8" x14ac:dyDescent="0.45">
      <c r="A161" s="2" t="str">
        <f ca="1">IFERROR(__xludf.DUMMYFUNCTION("""COMPUTED_VALUE"""),"PSV Eindhoven")</f>
        <v>PSV Eindhoven</v>
      </c>
      <c r="B161" s="2">
        <f ca="1">IFERROR(__xludf.DUMMYFUNCTION("""COMPUTED_VALUE"""),0.86)</f>
        <v>0.86</v>
      </c>
      <c r="C161" s="2" t="str">
        <f ca="1">IFERROR(__xludf.DUMMYFUNCTION("""COMPUTED_VALUE"""),"Netherlands")</f>
        <v>Netherlands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5">
        <f ca="1">IFERROR(__xludf.DUMMYFUNCTION("""COMPUTED_VALUE"""),0)</f>
        <v>0</v>
      </c>
      <c r="P161" s="2">
        <f ca="1">IFERROR(__xludf.DUMMYFUNCTION("""COMPUTED_VALUE"""),0)</f>
        <v>0</v>
      </c>
      <c r="Q161" s="2">
        <f ca="1">IFERROR(__xludf.DUMMYFUNCTION("""COMPUTED_VALUE"""),0)</f>
        <v>0</v>
      </c>
      <c r="R161" s="2">
        <f ca="1">IFERROR(__xludf.DUMMYFUNCTION("""COMPUTED_VALUE"""),0)</f>
        <v>0</v>
      </c>
      <c r="S161" s="2">
        <f ca="1">IFERROR(__xludf.DUMMYFUNCTION("""COMPUTED_VALUE"""),0)</f>
        <v>0</v>
      </c>
      <c r="T161" s="2">
        <f ca="1">IFERROR(__xludf.DUMMYFUNCTION("""COMPUTED_VALUE"""),0)</f>
        <v>0</v>
      </c>
      <c r="U161" s="2">
        <f ca="1">IFERROR(__xludf.DUMMYFUNCTION("""COMPUTED_VALUE"""),0)</f>
        <v>0</v>
      </c>
      <c r="V161" s="2">
        <f ca="1">IFERROR(__xludf.DUMMYFUNCTION("""COMPUTED_VALUE"""),0)</f>
        <v>0</v>
      </c>
      <c r="W161" s="2">
        <f ca="1">IFERROR(__xludf.DUMMYFUNCTION("""COMPUTED_VALUE"""),0)</f>
        <v>0</v>
      </c>
      <c r="X161" s="2">
        <f ca="1">IFERROR(__xludf.DUMMYFUNCTION("""COMPUTED_VALUE"""),0)</f>
        <v>0</v>
      </c>
      <c r="Y161" s="2">
        <f ca="1">IFERROR(__xludf.DUMMYFUNCTION("""COMPUTED_VALUE"""),0)</f>
        <v>0</v>
      </c>
      <c r="AB161" s="2"/>
      <c r="AC161" s="2"/>
      <c r="AD161" s="2"/>
      <c r="AE161" s="2" t="str">
        <f ca="1">IFERROR(__xludf.DUMMYFUNCTION("""COMPUTED_VALUE"""),"X")</f>
        <v>X</v>
      </c>
      <c r="AF161" s="2" t="str">
        <f ca="1">IFERROR(__xludf.DUMMYFUNCTION("""COMPUTED_VALUE"""),"X")</f>
        <v>X</v>
      </c>
      <c r="AG161" s="2" t="str">
        <f ca="1">IFERROR(__xludf.DUMMYFUNCTION("""COMPUTED_VALUE"""),"X")</f>
        <v>X</v>
      </c>
      <c r="AH161" s="2" t="str">
        <f ca="1">IFERROR(__xludf.DUMMYFUNCTION("""COMPUTED_VALUE"""),"X")</f>
        <v>X</v>
      </c>
      <c r="AI161" s="2"/>
      <c r="AJ161" s="2"/>
      <c r="AK161" s="2"/>
      <c r="AL161" s="2"/>
      <c r="AM161" s="2">
        <f ca="1">IFERROR(__xludf.DUMMYFUNCTION("""COMPUTED_VALUE"""),0)</f>
        <v>0</v>
      </c>
      <c r="AN161" s="2">
        <f ca="1">IFERROR(__xludf.DUMMYFUNCTION("""COMPUTED_VALUE"""),0)</f>
        <v>0</v>
      </c>
      <c r="AO161" s="2">
        <f ca="1">IFERROR(__xludf.DUMMYFUNCTION("""COMPUTED_VALUE"""),0)</f>
        <v>0</v>
      </c>
      <c r="AP161" s="2">
        <f ca="1">IFERROR(__xludf.DUMMYFUNCTION("""COMPUTED_VALUE"""),3.01499999999999)</f>
        <v>3.0149999999999899</v>
      </c>
      <c r="AQ161" s="2">
        <f ca="1">IFERROR(__xludf.DUMMYFUNCTION("""COMPUTED_VALUE"""),3.1875)</f>
        <v>3.1875</v>
      </c>
      <c r="AR161" s="2">
        <f ca="1">IFERROR(__xludf.DUMMYFUNCTION("""COMPUTED_VALUE"""),15.695)</f>
        <v>15.695</v>
      </c>
      <c r="AS161" s="2">
        <f ca="1">IFERROR(__xludf.DUMMYFUNCTION("""COMPUTED_VALUE"""),4.1575)</f>
        <v>4.1574999999999998</v>
      </c>
      <c r="AT161" s="2">
        <f ca="1">IFERROR(__xludf.DUMMYFUNCTION("""COMPUTED_VALUE"""),0)</f>
        <v>0</v>
      </c>
      <c r="AU161" s="2">
        <f ca="1">IFERROR(__xludf.DUMMYFUNCTION("""COMPUTED_VALUE"""),0)</f>
        <v>0</v>
      </c>
      <c r="AV161" s="2">
        <f ca="1">IFERROR(__xludf.DUMMYFUNCTION("""COMPUTED_VALUE"""),0)</f>
        <v>0</v>
      </c>
      <c r="AW161" s="2">
        <f ca="1">IFERROR(__xludf.DUMMYFUNCTION("""COMPUTED_VALUE"""),0)</f>
        <v>0</v>
      </c>
      <c r="AY161" s="2">
        <f t="shared" ca="1" si="0"/>
        <v>10</v>
      </c>
      <c r="AZ161" s="2" t="e">
        <f ca="1">IF(NOT(COUNTA(D161:J161)), _xludf.IFS(AL161="W", 'Round Bonuses'!$F$14, AL161="X", 'Round Bonuses'!$F$13, AK161="X", 'Round Bonuses'!$F$12, AJ161="X", 'Round Bonuses'!$F$11, AI161="X", 'Round Bonuses'!$F$10, AH161="X", 'Round Bonuses'!$F$9, AG161="X", 'Round Bonuses'!$F$8, AF161="X", 'Round Bonuses'!$F$7, AE161="X", 'Round Bonuses'!$F$6, AD161="X", 'Round Bonuses'!$F$5, AC161="X", 'Round Bonuses'!$F$4, AB161="X", 'Round Bonuses'!$F$3, TRUE, 0), IF(AA161="X", _xludf.IFS(AD161="X", 'Round Bonuses'!$E$4, AF161="X",'Round Bonuses'!$E$6,TRUE, 'Round Bonuses'!$E$7), 0) +IF(AB161="X", 'Round Bonuses'!$E$3, 0)+IF(AC161="X",'Round Bonuses'!$E$4, 0)+IF(AD161="X", 'Round Bonuses'!$E$5, 0)+IF(AE161="X", 'Round Bonuses'!$E$6, 0)+IF(AF161="X", 'Round Bonuses'!$E$7, 0)+IF(AG161="X", 'Round Bonuses'!$E$8, 0)+_xludf.IFS(AL161="W", 'Round Bonuses'!$G$14, AL161="X", 'Round Bonuses'!$G$13, AK161="X", 'Round Bonuses'!$G$12, AJ161="X", 'Round Bonuses'!$G$11, AI161="X", 'Round Bonuses'!$G$10, AH161="X", 'Round Bonuses'!$G$9, TRUE, 0))+_xludf.IFS(N161="W", 'Round Bonuses'!$C$13, N161="X", 'Round Bonuses'!$C$12, M161="X", 'Round Bonuses'!$C$11, L161="X", 'Round Bonuses'!$C$10, K161="X", 'Round Bonuses'!$C$9, J161="X", 'Round Bonuses'!$C$8, I161="X", 'Round Bonuses'!$C$7, H161="X", 'Round Bonuses'!$C$6, G161="X", 'Round Bonuses'!$C$5, F161="X", 'Round Bonuses'!$C$4, E161="X", 'Round Bonuses'!$C$3, D161="X", 'Round Bonuses'!$C$3, TRUE, 0)</f>
        <v>#NAME?</v>
      </c>
      <c r="BA161" s="2">
        <f t="shared" ca="1" si="1"/>
        <v>26.054999999999989</v>
      </c>
      <c r="BB161" s="10" t="e">
        <f t="shared" ca="1" si="2"/>
        <v>#NAME?</v>
      </c>
      <c r="BD161" s="11" t="str">
        <f t="shared" ca="1" si="3"/>
        <v>PSV Eindhoven</v>
      </c>
      <c r="BE161" s="2" t="str">
        <f t="shared" ca="1" si="4"/>
        <v>Netherlands</v>
      </c>
      <c r="BF161" s="2" t="e">
        <f t="shared" ca="1" si="5"/>
        <v>#NAME?</v>
      </c>
      <c r="BG161" s="2">
        <f t="shared" ca="1" si="6"/>
        <v>10</v>
      </c>
      <c r="BH161" s="2" t="s">
        <v>226</v>
      </c>
      <c r="BI161" s="2" t="s">
        <v>94</v>
      </c>
      <c r="BJ161" s="7">
        <v>1.7349999999999999</v>
      </c>
      <c r="BK161" s="2">
        <v>1</v>
      </c>
      <c r="BL161" s="2">
        <f t="shared" si="10"/>
        <v>159</v>
      </c>
      <c r="BM161" s="2" t="str">
        <f t="shared" si="7"/>
        <v>Anorthosis</v>
      </c>
      <c r="BN161" s="7">
        <f t="shared" ref="BN161:BO161" si="168">BJ161</f>
        <v>1.7349999999999999</v>
      </c>
      <c r="BO161" s="2">
        <f t="shared" si="168"/>
        <v>1</v>
      </c>
      <c r="BS161" s="2" t="str">
        <f t="shared" si="9"/>
        <v>Cyprus</v>
      </c>
    </row>
    <row r="162" spans="1:71" ht="13.8" x14ac:dyDescent="0.45">
      <c r="A162" s="2" t="str">
        <f ca="1">IFERROR(__xludf.DUMMYFUNCTION("""COMPUTED_VALUE"""),"Puskás Akadémia")</f>
        <v>Puskás Akadémia</v>
      </c>
      <c r="B162" s="2">
        <f ca="1">IFERROR(__xludf.DUMMYFUNCTION("""COMPUTED_VALUE"""),0.649999999999999)</f>
        <v>0.64999999999999902</v>
      </c>
      <c r="C162" s="2" t="str">
        <f ca="1">IFERROR(__xludf.DUMMYFUNCTION("""COMPUTED_VALUE"""),"Hungary")</f>
        <v>Hungary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5">
        <f ca="1">IFERROR(__xludf.DUMMYFUNCTION("""COMPUTED_VALUE"""),0)</f>
        <v>0</v>
      </c>
      <c r="P162" s="2">
        <f ca="1">IFERROR(__xludf.DUMMYFUNCTION("""COMPUTED_VALUE"""),0)</f>
        <v>0</v>
      </c>
      <c r="Q162" s="2">
        <f ca="1">IFERROR(__xludf.DUMMYFUNCTION("""COMPUTED_VALUE"""),0)</f>
        <v>0</v>
      </c>
      <c r="R162" s="2">
        <f ca="1">IFERROR(__xludf.DUMMYFUNCTION("""COMPUTED_VALUE"""),0)</f>
        <v>0</v>
      </c>
      <c r="S162" s="2">
        <f ca="1">IFERROR(__xludf.DUMMYFUNCTION("""COMPUTED_VALUE"""),0)</f>
        <v>0</v>
      </c>
      <c r="T162" s="2">
        <f ca="1">IFERROR(__xludf.DUMMYFUNCTION("""COMPUTED_VALUE"""),0)</f>
        <v>0</v>
      </c>
      <c r="U162" s="2">
        <f ca="1">IFERROR(__xludf.DUMMYFUNCTION("""COMPUTED_VALUE"""),0)</f>
        <v>0</v>
      </c>
      <c r="V162" s="2">
        <f ca="1">IFERROR(__xludf.DUMMYFUNCTION("""COMPUTED_VALUE"""),0)</f>
        <v>0</v>
      </c>
      <c r="W162" s="2">
        <f ca="1">IFERROR(__xludf.DUMMYFUNCTION("""COMPUTED_VALUE"""),0)</f>
        <v>0</v>
      </c>
      <c r="X162" s="2">
        <f ca="1">IFERROR(__xludf.DUMMYFUNCTION("""COMPUTED_VALUE"""),0)</f>
        <v>0</v>
      </c>
      <c r="Y162" s="2">
        <f ca="1">IFERROR(__xludf.DUMMYFUNCTION("""COMPUTED_VALUE"""),0)</f>
        <v>0</v>
      </c>
      <c r="AB162" s="2"/>
      <c r="AC162" s="2" t="str">
        <f ca="1">IFERROR(__xludf.DUMMYFUNCTION("""COMPUTED_VALUE"""),"X")</f>
        <v>X</v>
      </c>
      <c r="AD162" s="2"/>
      <c r="AE162" s="2"/>
      <c r="AF162" s="2"/>
      <c r="AG162" s="2"/>
      <c r="AH162" s="2"/>
      <c r="AI162" s="2"/>
      <c r="AJ162" s="2"/>
      <c r="AK162" s="2"/>
      <c r="AL162" s="2"/>
      <c r="AM162" s="2">
        <f ca="1">IFERROR(__xludf.DUMMYFUNCTION("""COMPUTED_VALUE"""),0)</f>
        <v>0</v>
      </c>
      <c r="AN162" s="2">
        <f ca="1">IFERROR(__xludf.DUMMYFUNCTION("""COMPUTED_VALUE"""),0.385)</f>
        <v>0.38500000000000001</v>
      </c>
      <c r="AO162" s="2">
        <f ca="1">IFERROR(__xludf.DUMMYFUNCTION("""COMPUTED_VALUE"""),0)</f>
        <v>0</v>
      </c>
      <c r="AP162" s="2">
        <f ca="1">IFERROR(__xludf.DUMMYFUNCTION("""COMPUTED_VALUE"""),0)</f>
        <v>0</v>
      </c>
      <c r="AQ162" s="2">
        <f ca="1">IFERROR(__xludf.DUMMYFUNCTION("""COMPUTED_VALUE"""),0)</f>
        <v>0</v>
      </c>
      <c r="AR162" s="2">
        <f ca="1">IFERROR(__xludf.DUMMYFUNCTION("""COMPUTED_VALUE"""),0)</f>
        <v>0</v>
      </c>
      <c r="AS162" s="2">
        <f ca="1">IFERROR(__xludf.DUMMYFUNCTION("""COMPUTED_VALUE"""),0)</f>
        <v>0</v>
      </c>
      <c r="AT162" s="2">
        <f ca="1">IFERROR(__xludf.DUMMYFUNCTION("""COMPUTED_VALUE"""),0)</f>
        <v>0</v>
      </c>
      <c r="AU162" s="2">
        <f ca="1">IFERROR(__xludf.DUMMYFUNCTION("""COMPUTED_VALUE"""),0)</f>
        <v>0</v>
      </c>
      <c r="AV162" s="2">
        <f ca="1">IFERROR(__xludf.DUMMYFUNCTION("""COMPUTED_VALUE"""),0)</f>
        <v>0</v>
      </c>
      <c r="AW162" s="2">
        <f ca="1">IFERROR(__xludf.DUMMYFUNCTION("""COMPUTED_VALUE"""),0)</f>
        <v>0</v>
      </c>
      <c r="AY162" s="2">
        <f t="shared" ca="1" si="0"/>
        <v>1</v>
      </c>
      <c r="AZ162" s="2" t="e">
        <f ca="1">IF(NOT(COUNTA(D162:J162)), _xludf.IFS(AL162="W", 'Round Bonuses'!$F$14, AL162="X", 'Round Bonuses'!$F$13, AK162="X", 'Round Bonuses'!$F$12, AJ162="X", 'Round Bonuses'!$F$11, AI162="X", 'Round Bonuses'!$F$10, AH162="X", 'Round Bonuses'!$F$9, AG162="X", 'Round Bonuses'!$F$8, AF162="X", 'Round Bonuses'!$F$7, AE162="X", 'Round Bonuses'!$F$6, AD162="X", 'Round Bonuses'!$F$5, AC162="X", 'Round Bonuses'!$F$4, AB162="X", 'Round Bonuses'!$F$3, TRUE, 0), IF(AA162="X", _xludf.IFS(AD162="X", 'Round Bonuses'!$E$4, AF162="X",'Round Bonuses'!$E$6,TRUE, 'Round Bonuses'!$E$7), 0) +IF(AB162="X", 'Round Bonuses'!$E$3, 0)+IF(AC162="X",'Round Bonuses'!$E$4, 0)+IF(AD162="X", 'Round Bonuses'!$E$5, 0)+IF(AE162="X", 'Round Bonuses'!$E$6, 0)+IF(AF162="X", 'Round Bonuses'!$E$7, 0)+IF(AG162="X", 'Round Bonuses'!$E$8, 0)+_xludf.IFS(AL162="W", 'Round Bonuses'!$G$14, AL162="X", 'Round Bonuses'!$G$13, AK162="X", 'Round Bonuses'!$G$12, AJ162="X", 'Round Bonuses'!$G$11, AI162="X", 'Round Bonuses'!$G$10, AH162="X", 'Round Bonuses'!$G$9, TRUE, 0))+_xludf.IFS(N162="W", 'Round Bonuses'!$C$13, N162="X", 'Round Bonuses'!$C$12, M162="X", 'Round Bonuses'!$C$11, L162="X", 'Round Bonuses'!$C$10, K162="X", 'Round Bonuses'!$C$9, J162="X", 'Round Bonuses'!$C$8, I162="X", 'Round Bonuses'!$C$7, H162="X", 'Round Bonuses'!$C$6, G162="X", 'Round Bonuses'!$C$5, F162="X", 'Round Bonuses'!$C$4, E162="X", 'Round Bonuses'!$C$3, D162="X", 'Round Bonuses'!$C$3, TRUE, 0)</f>
        <v>#NAME?</v>
      </c>
      <c r="BA162" s="2">
        <f t="shared" ca="1" si="1"/>
        <v>0.38500000000000001</v>
      </c>
      <c r="BB162" s="10" t="e">
        <f t="shared" ca="1" si="2"/>
        <v>#NAME?</v>
      </c>
      <c r="BD162" s="11" t="str">
        <f t="shared" ca="1" si="3"/>
        <v>Puskás Akadémia</v>
      </c>
      <c r="BE162" s="2" t="str">
        <f t="shared" ca="1" si="4"/>
        <v>Hungary</v>
      </c>
      <c r="BF162" s="2" t="e">
        <f t="shared" ca="1" si="5"/>
        <v>#NAME?</v>
      </c>
      <c r="BG162" s="2">
        <f t="shared" ca="1" si="6"/>
        <v>1</v>
      </c>
      <c r="BH162" s="2" t="s">
        <v>227</v>
      </c>
      <c r="BI162" s="2" t="s">
        <v>43</v>
      </c>
      <c r="BJ162" s="7">
        <v>1.7</v>
      </c>
      <c r="BK162" s="2">
        <v>1</v>
      </c>
      <c r="BL162" s="2">
        <f t="shared" si="10"/>
        <v>160</v>
      </c>
      <c r="BM162" s="2" t="str">
        <f t="shared" si="7"/>
        <v>Desna Chernihiv</v>
      </c>
      <c r="BN162" s="7">
        <f t="shared" ref="BN162:BO162" si="169">BJ162</f>
        <v>1.7</v>
      </c>
      <c r="BO162" s="2">
        <f t="shared" si="169"/>
        <v>1</v>
      </c>
      <c r="BS162" s="2" t="str">
        <f t="shared" si="9"/>
        <v>Ukraine</v>
      </c>
    </row>
    <row r="163" spans="1:71" ht="13.8" x14ac:dyDescent="0.45">
      <c r="A163" s="2" t="str">
        <f ca="1">IFERROR(__xludf.DUMMYFUNCTION("""COMPUTED_VALUE"""),"Qarabağ")</f>
        <v>Qarabağ</v>
      </c>
      <c r="B163" s="2">
        <f ca="1">IFERROR(__xludf.DUMMYFUNCTION("""COMPUTED_VALUE"""),0.74)</f>
        <v>0.74</v>
      </c>
      <c r="C163" s="2" t="str">
        <f ca="1">IFERROR(__xludf.DUMMYFUNCTION("""COMPUTED_VALUE"""),"Azerbaijan")</f>
        <v>Azerbaijan</v>
      </c>
      <c r="D163" s="2"/>
      <c r="E163" s="2"/>
      <c r="F163" s="2" t="str">
        <f ca="1">IFERROR(__xludf.DUMMYFUNCTION("""COMPUTED_VALUE"""),"X")</f>
        <v>X</v>
      </c>
      <c r="G163" s="2" t="str">
        <f ca="1">IFERROR(__xludf.DUMMYFUNCTION("""COMPUTED_VALUE"""),"X")</f>
        <v>X</v>
      </c>
      <c r="H163" s="2" t="str">
        <f ca="1">IFERROR(__xludf.DUMMYFUNCTION("""COMPUTED_VALUE"""),"X")</f>
        <v>X</v>
      </c>
      <c r="I163" s="2"/>
      <c r="J163" s="2"/>
      <c r="K163" s="2"/>
      <c r="L163" s="2"/>
      <c r="M163" s="2"/>
      <c r="N163" s="2"/>
      <c r="O163" s="5">
        <f ca="1">IFERROR(__xludf.DUMMYFUNCTION("""COMPUTED_VALUE"""),0)</f>
        <v>0</v>
      </c>
      <c r="P163" s="2">
        <f ca="1">IFERROR(__xludf.DUMMYFUNCTION("""COMPUTED_VALUE"""),0)</f>
        <v>0</v>
      </c>
      <c r="Q163" s="2">
        <f ca="1">IFERROR(__xludf.DUMMYFUNCTION("""COMPUTED_VALUE"""),2.92499999999999)</f>
        <v>2.9249999999999901</v>
      </c>
      <c r="R163" s="2">
        <f ca="1">IFERROR(__xludf.DUMMYFUNCTION("""COMPUTED_VALUE"""),2.68124999999999)</f>
        <v>2.6812499999999901</v>
      </c>
      <c r="S163" s="2">
        <f ca="1">IFERROR(__xludf.DUMMYFUNCTION("""COMPUTED_VALUE"""),0.77)</f>
        <v>0.77</v>
      </c>
      <c r="T163" s="2">
        <f ca="1">IFERROR(__xludf.DUMMYFUNCTION("""COMPUTED_VALUE"""),0)</f>
        <v>0</v>
      </c>
      <c r="U163" s="2">
        <f ca="1">IFERROR(__xludf.DUMMYFUNCTION("""COMPUTED_VALUE"""),0)</f>
        <v>0</v>
      </c>
      <c r="V163" s="2">
        <f ca="1">IFERROR(__xludf.DUMMYFUNCTION("""COMPUTED_VALUE"""),0)</f>
        <v>0</v>
      </c>
      <c r="W163" s="2">
        <f ca="1">IFERROR(__xludf.DUMMYFUNCTION("""COMPUTED_VALUE"""),0)</f>
        <v>0</v>
      </c>
      <c r="X163" s="2">
        <f ca="1">IFERROR(__xludf.DUMMYFUNCTION("""COMPUTED_VALUE"""),0)</f>
        <v>0</v>
      </c>
      <c r="Y163" s="2">
        <f ca="1">IFERROR(__xludf.DUMMYFUNCTION("""COMPUTED_VALUE"""),0)</f>
        <v>0</v>
      </c>
      <c r="AB163" s="2"/>
      <c r="AC163" s="2"/>
      <c r="AD163" s="2"/>
      <c r="AE163" s="2"/>
      <c r="AF163" s="2" t="str">
        <f ca="1">IFERROR(__xludf.DUMMYFUNCTION("""COMPUTED_VALUE"""),"X")</f>
        <v>X</v>
      </c>
      <c r="AG163" s="2" t="str">
        <f ca="1">IFERROR(__xludf.DUMMYFUNCTION("""COMPUTED_VALUE"""),"X")</f>
        <v>X</v>
      </c>
      <c r="AH163" s="2"/>
      <c r="AI163" s="2"/>
      <c r="AJ163" s="2"/>
      <c r="AK163" s="2"/>
      <c r="AL163" s="2"/>
      <c r="AM163" s="2">
        <f ca="1">IFERROR(__xludf.DUMMYFUNCTION("""COMPUTED_VALUE"""),0)</f>
        <v>0</v>
      </c>
      <c r="AN163" s="2">
        <f ca="1">IFERROR(__xludf.DUMMYFUNCTION("""COMPUTED_VALUE"""),0)</f>
        <v>0</v>
      </c>
      <c r="AO163" s="2">
        <f ca="1">IFERROR(__xludf.DUMMYFUNCTION("""COMPUTED_VALUE"""),0)</f>
        <v>0</v>
      </c>
      <c r="AP163" s="2">
        <f ca="1">IFERROR(__xludf.DUMMYFUNCTION("""COMPUTED_VALUE"""),0)</f>
        <v>0</v>
      </c>
      <c r="AQ163" s="2">
        <f ca="1">IFERROR(__xludf.DUMMYFUNCTION("""COMPUTED_VALUE"""),3.28125)</f>
        <v>3.28125</v>
      </c>
      <c r="AR163" s="2">
        <f ca="1">IFERROR(__xludf.DUMMYFUNCTION("""COMPUTED_VALUE"""),4.705)</f>
        <v>4.7050000000000001</v>
      </c>
      <c r="AS163" s="2">
        <f ca="1">IFERROR(__xludf.DUMMYFUNCTION("""COMPUTED_VALUE"""),0)</f>
        <v>0</v>
      </c>
      <c r="AT163" s="2">
        <f ca="1">IFERROR(__xludf.DUMMYFUNCTION("""COMPUTED_VALUE"""),0)</f>
        <v>0</v>
      </c>
      <c r="AU163" s="2">
        <f ca="1">IFERROR(__xludf.DUMMYFUNCTION("""COMPUTED_VALUE"""),0)</f>
        <v>0</v>
      </c>
      <c r="AV163" s="2">
        <f ca="1">IFERROR(__xludf.DUMMYFUNCTION("""COMPUTED_VALUE"""),0)</f>
        <v>0</v>
      </c>
      <c r="AW163" s="2">
        <f ca="1">IFERROR(__xludf.DUMMYFUNCTION("""COMPUTED_VALUE"""),0)</f>
        <v>0</v>
      </c>
      <c r="AY163" s="2">
        <f t="shared" ca="1" si="0"/>
        <v>10</v>
      </c>
      <c r="AZ163" s="2" t="e">
        <f ca="1">IF(NOT(COUNTA(D163:J163)), _xludf.IFS(AL163="W", 'Round Bonuses'!$F$14, AL163="X", 'Round Bonuses'!$F$13, AK163="X", 'Round Bonuses'!$F$12, AJ163="X", 'Round Bonuses'!$F$11, AI163="X", 'Round Bonuses'!$F$10, AH163="X", 'Round Bonuses'!$F$9, AG163="X", 'Round Bonuses'!$F$8, AF163="X", 'Round Bonuses'!$F$7, AE163="X", 'Round Bonuses'!$F$6, AD163="X", 'Round Bonuses'!$F$5, AC163="X", 'Round Bonuses'!$F$4, AB163="X", 'Round Bonuses'!$F$3, TRUE, 0), IF(AA163="X", _xludf.IFS(AD163="X", 'Round Bonuses'!$E$4, AF163="X",'Round Bonuses'!$E$6,TRUE, 'Round Bonuses'!$E$7), 0) +IF(AB163="X", 'Round Bonuses'!$E$3, 0)+IF(AC163="X",'Round Bonuses'!$E$4, 0)+IF(AD163="X", 'Round Bonuses'!$E$5, 0)+IF(AE163="X", 'Round Bonuses'!$E$6, 0)+IF(AF163="X", 'Round Bonuses'!$E$7, 0)+IF(AG163="X", 'Round Bonuses'!$E$8, 0)+_xludf.IFS(AL163="W", 'Round Bonuses'!$G$14, AL163="X", 'Round Bonuses'!$G$13, AK163="X", 'Round Bonuses'!$G$12, AJ163="X", 'Round Bonuses'!$G$11, AI163="X", 'Round Bonuses'!$G$10, AH163="X", 'Round Bonuses'!$G$9, TRUE, 0))+_xludf.IFS(N163="W", 'Round Bonuses'!$C$13, N163="X", 'Round Bonuses'!$C$12, M163="X", 'Round Bonuses'!$C$11, L163="X", 'Round Bonuses'!$C$10, K163="X", 'Round Bonuses'!$C$9, J163="X", 'Round Bonuses'!$C$8, I163="X", 'Round Bonuses'!$C$7, H163="X", 'Round Bonuses'!$C$6, G163="X", 'Round Bonuses'!$C$5, F163="X", 'Round Bonuses'!$C$4, E163="X", 'Round Bonuses'!$C$3, D163="X", 'Round Bonuses'!$C$3, TRUE, 0)</f>
        <v>#NAME?</v>
      </c>
      <c r="BA163" s="2">
        <f t="shared" ca="1" si="1"/>
        <v>14.362499999999979</v>
      </c>
      <c r="BB163" s="10" t="e">
        <f t="shared" ca="1" si="2"/>
        <v>#NAME?</v>
      </c>
      <c r="BD163" s="11" t="str">
        <f t="shared" ca="1" si="3"/>
        <v>Qarabağ</v>
      </c>
      <c r="BE163" s="2" t="str">
        <f t="shared" ca="1" si="4"/>
        <v>Azerbaijan</v>
      </c>
      <c r="BF163" s="2" t="e">
        <f t="shared" ca="1" si="5"/>
        <v>#NAME?</v>
      </c>
      <c r="BG163" s="2">
        <f t="shared" ca="1" si="6"/>
        <v>10</v>
      </c>
      <c r="BH163" s="2" t="s">
        <v>228</v>
      </c>
      <c r="BI163" s="2" t="s">
        <v>80</v>
      </c>
      <c r="BJ163" s="7">
        <v>1.675</v>
      </c>
      <c r="BK163" s="2">
        <v>1</v>
      </c>
      <c r="BL163" s="2">
        <f t="shared" si="10"/>
        <v>161</v>
      </c>
      <c r="BM163" s="2" t="str">
        <f t="shared" si="7"/>
        <v>Alanyaspor</v>
      </c>
      <c r="BN163" s="7">
        <f t="shared" ref="BN163:BO163" si="170">BJ163</f>
        <v>1.675</v>
      </c>
      <c r="BO163" s="2">
        <f t="shared" si="170"/>
        <v>1</v>
      </c>
      <c r="BS163" s="2" t="str">
        <f t="shared" si="9"/>
        <v>Turkey</v>
      </c>
    </row>
    <row r="164" spans="1:71" ht="13.8" x14ac:dyDescent="0.45">
      <c r="A164" s="2" t="str">
        <f ca="1">IFERROR(__xludf.DUMMYFUNCTION("""COMPUTED_VALUE"""),"Rangers")</f>
        <v>Rangers</v>
      </c>
      <c r="B164" s="2">
        <f ca="1">IFERROR(__xludf.DUMMYFUNCTION("""COMPUTED_VALUE"""),0.79)</f>
        <v>0.79</v>
      </c>
      <c r="C164" s="2" t="str">
        <f ca="1">IFERROR(__xludf.DUMMYFUNCTION("""COMPUTED_VALUE"""),"Scotland")</f>
        <v>Scotland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5">
        <f ca="1">IFERROR(__xludf.DUMMYFUNCTION("""COMPUTED_VALUE"""),0)</f>
        <v>0</v>
      </c>
      <c r="P164" s="2">
        <f ca="1">IFERROR(__xludf.DUMMYFUNCTION("""COMPUTED_VALUE"""),0)</f>
        <v>0</v>
      </c>
      <c r="Q164" s="2">
        <f ca="1">IFERROR(__xludf.DUMMYFUNCTION("""COMPUTED_VALUE"""),0)</f>
        <v>0</v>
      </c>
      <c r="R164" s="2">
        <f ca="1">IFERROR(__xludf.DUMMYFUNCTION("""COMPUTED_VALUE"""),0)</f>
        <v>0</v>
      </c>
      <c r="S164" s="2">
        <f ca="1">IFERROR(__xludf.DUMMYFUNCTION("""COMPUTED_VALUE"""),0)</f>
        <v>0</v>
      </c>
      <c r="T164" s="2">
        <f ca="1">IFERROR(__xludf.DUMMYFUNCTION("""COMPUTED_VALUE"""),0)</f>
        <v>0</v>
      </c>
      <c r="U164" s="2">
        <f ca="1">IFERROR(__xludf.DUMMYFUNCTION("""COMPUTED_VALUE"""),0)</f>
        <v>0</v>
      </c>
      <c r="V164" s="2">
        <f ca="1">IFERROR(__xludf.DUMMYFUNCTION("""COMPUTED_VALUE"""),0)</f>
        <v>0</v>
      </c>
      <c r="W164" s="2">
        <f ca="1">IFERROR(__xludf.DUMMYFUNCTION("""COMPUTED_VALUE"""),0)</f>
        <v>0</v>
      </c>
      <c r="X164" s="2">
        <f ca="1">IFERROR(__xludf.DUMMYFUNCTION("""COMPUTED_VALUE"""),0)</f>
        <v>0</v>
      </c>
      <c r="Y164" s="2">
        <f ca="1">IFERROR(__xludf.DUMMYFUNCTION("""COMPUTED_VALUE"""),0)</f>
        <v>0</v>
      </c>
      <c r="AB164" s="2"/>
      <c r="AC164" s="2"/>
      <c r="AD164" s="2" t="str">
        <f ca="1">IFERROR(__xludf.DUMMYFUNCTION("""COMPUTED_VALUE"""),"X")</f>
        <v>X</v>
      </c>
      <c r="AE164" s="2" t="str">
        <f ca="1">IFERROR(__xludf.DUMMYFUNCTION("""COMPUTED_VALUE"""),"X")</f>
        <v>X</v>
      </c>
      <c r="AF164" s="2" t="str">
        <f ca="1">IFERROR(__xludf.DUMMYFUNCTION("""COMPUTED_VALUE"""),"X")</f>
        <v>X</v>
      </c>
      <c r="AG164" s="2" t="str">
        <f ca="1">IFERROR(__xludf.DUMMYFUNCTION("""COMPUTED_VALUE"""),"X")</f>
        <v>X</v>
      </c>
      <c r="AH164" s="2" t="str">
        <f ca="1">IFERROR(__xludf.DUMMYFUNCTION("""COMPUTED_VALUE"""),"X")</f>
        <v>X</v>
      </c>
      <c r="AI164" s="2" t="str">
        <f ca="1">IFERROR(__xludf.DUMMYFUNCTION("""COMPUTED_VALUE"""),"X")</f>
        <v>X</v>
      </c>
      <c r="AJ164" s="2"/>
      <c r="AK164" s="2"/>
      <c r="AL164" s="2"/>
      <c r="AM164" s="2">
        <f ca="1">IFERROR(__xludf.DUMMYFUNCTION("""COMPUTED_VALUE"""),0)</f>
        <v>0</v>
      </c>
      <c r="AN164" s="2">
        <f ca="1">IFERROR(__xludf.DUMMYFUNCTION("""COMPUTED_VALUE"""),0)</f>
        <v>0</v>
      </c>
      <c r="AO164" s="2">
        <f ca="1">IFERROR(__xludf.DUMMYFUNCTION("""COMPUTED_VALUE"""),2.17375)</f>
        <v>2.1737500000000001</v>
      </c>
      <c r="AP164" s="2">
        <f ca="1">IFERROR(__xludf.DUMMYFUNCTION("""COMPUTED_VALUE"""),3.825)</f>
        <v>3.8250000000000002</v>
      </c>
      <c r="AQ164" s="2">
        <f ca="1">IFERROR(__xludf.DUMMYFUNCTION("""COMPUTED_VALUE"""),3.50625)</f>
        <v>3.5062500000000001</v>
      </c>
      <c r="AR164" s="2">
        <f ca="1">IFERROR(__xludf.DUMMYFUNCTION("""COMPUTED_VALUE"""),17.2475)</f>
        <v>17.247499999999999</v>
      </c>
      <c r="AS164" s="2">
        <f ca="1">IFERROR(__xludf.DUMMYFUNCTION("""COMPUTED_VALUE"""),7.565)</f>
        <v>7.5650000000000004</v>
      </c>
      <c r="AT164" s="2">
        <f ca="1">IFERROR(__xludf.DUMMYFUNCTION("""COMPUTED_VALUE"""),2.36)</f>
        <v>2.36</v>
      </c>
      <c r="AU164" s="2">
        <f ca="1">IFERROR(__xludf.DUMMYFUNCTION("""COMPUTED_VALUE"""),0)</f>
        <v>0</v>
      </c>
      <c r="AV164" s="2">
        <f ca="1">IFERROR(__xludf.DUMMYFUNCTION("""COMPUTED_VALUE"""),0)</f>
        <v>0</v>
      </c>
      <c r="AW164" s="2">
        <f ca="1">IFERROR(__xludf.DUMMYFUNCTION("""COMPUTED_VALUE"""),0)</f>
        <v>0</v>
      </c>
      <c r="AY164" s="2">
        <f t="shared" ca="1" si="0"/>
        <v>13</v>
      </c>
      <c r="AZ164" s="2" t="e">
        <f ca="1">IF(NOT(COUNTA(D164:J164)), _xludf.IFS(AL164="W", 'Round Bonuses'!$F$14, AL164="X", 'Round Bonuses'!$F$13, AK164="X", 'Round Bonuses'!$F$12, AJ164="X", 'Round Bonuses'!$F$11, AI164="X", 'Round Bonuses'!$F$10, AH164="X", 'Round Bonuses'!$F$9, AG164="X", 'Round Bonuses'!$F$8, AF164="X", 'Round Bonuses'!$F$7, AE164="X", 'Round Bonuses'!$F$6, AD164="X", 'Round Bonuses'!$F$5, AC164="X", 'Round Bonuses'!$F$4, AB164="X", 'Round Bonuses'!$F$3, TRUE, 0), IF(AA164="X", _xludf.IFS(AD164="X", 'Round Bonuses'!$E$4, AF164="X",'Round Bonuses'!$E$6,TRUE, 'Round Bonuses'!$E$7), 0) +IF(AB164="X", 'Round Bonuses'!$E$3, 0)+IF(AC164="X",'Round Bonuses'!$E$4, 0)+IF(AD164="X", 'Round Bonuses'!$E$5, 0)+IF(AE164="X", 'Round Bonuses'!$E$6, 0)+IF(AF164="X", 'Round Bonuses'!$E$7, 0)+IF(AG164="X", 'Round Bonuses'!$E$8, 0)+_xludf.IFS(AL164="W", 'Round Bonuses'!$G$14, AL164="X", 'Round Bonuses'!$G$13, AK164="X", 'Round Bonuses'!$G$12, AJ164="X", 'Round Bonuses'!$G$11, AI164="X", 'Round Bonuses'!$G$10, AH164="X", 'Round Bonuses'!$G$9, TRUE, 0))+_xludf.IFS(N164="W", 'Round Bonuses'!$C$13, N164="X", 'Round Bonuses'!$C$12, M164="X", 'Round Bonuses'!$C$11, L164="X", 'Round Bonuses'!$C$10, K164="X", 'Round Bonuses'!$C$9, J164="X", 'Round Bonuses'!$C$8, I164="X", 'Round Bonuses'!$C$7, H164="X", 'Round Bonuses'!$C$6, G164="X", 'Round Bonuses'!$C$5, F164="X", 'Round Bonuses'!$C$4, E164="X", 'Round Bonuses'!$C$3, D164="X", 'Round Bonuses'!$C$3, TRUE, 0)</f>
        <v>#NAME?</v>
      </c>
      <c r="BA164" s="2">
        <f t="shared" ca="1" si="1"/>
        <v>36.677499999999995</v>
      </c>
      <c r="BB164" s="10" t="e">
        <f t="shared" ca="1" si="2"/>
        <v>#NAME?</v>
      </c>
      <c r="BD164" s="11" t="str">
        <f t="shared" ca="1" si="3"/>
        <v>Rangers</v>
      </c>
      <c r="BE164" s="2" t="str">
        <f t="shared" ca="1" si="4"/>
        <v>Scotland</v>
      </c>
      <c r="BF164" s="2" t="e">
        <f t="shared" ca="1" si="5"/>
        <v>#NAME?</v>
      </c>
      <c r="BG164" s="2">
        <f t="shared" ca="1" si="6"/>
        <v>13</v>
      </c>
      <c r="BH164" s="2" t="s">
        <v>229</v>
      </c>
      <c r="BI164" s="2" t="s">
        <v>56</v>
      </c>
      <c r="BJ164" s="7">
        <v>1.645</v>
      </c>
      <c r="BK164" s="2">
        <v>1</v>
      </c>
      <c r="BL164" s="2">
        <f t="shared" si="10"/>
        <v>162</v>
      </c>
      <c r="BM164" s="2" t="str">
        <f t="shared" si="7"/>
        <v>Rostov</v>
      </c>
      <c r="BN164" s="7">
        <f t="shared" ref="BN164:BO164" si="171">BJ164</f>
        <v>1.645</v>
      </c>
      <c r="BO164" s="2">
        <f t="shared" si="171"/>
        <v>1</v>
      </c>
      <c r="BS164" s="2" t="str">
        <f t="shared" si="9"/>
        <v>Russia</v>
      </c>
    </row>
    <row r="165" spans="1:71" ht="13.8" x14ac:dyDescent="0.45">
      <c r="A165" s="2" t="str">
        <f ca="1">IFERROR(__xludf.DUMMYFUNCTION("""COMPUTED_VALUE"""),"Rapid Wien")</f>
        <v>Rapid Wien</v>
      </c>
      <c r="B165" s="2">
        <f ca="1">IFERROR(__xludf.DUMMYFUNCTION("""COMPUTED_VALUE"""),0.87)</f>
        <v>0.87</v>
      </c>
      <c r="C165" s="2" t="str">
        <f ca="1">IFERROR(__xludf.DUMMYFUNCTION("""COMPUTED_VALUE"""),"Austria")</f>
        <v>Austria</v>
      </c>
      <c r="D165" s="2"/>
      <c r="E165" s="2"/>
      <c r="F165" s="2"/>
      <c r="G165" s="2" t="str">
        <f ca="1">IFERROR(__xludf.DUMMYFUNCTION("""COMPUTED_VALUE"""),"X")</f>
        <v>X</v>
      </c>
      <c r="H165" s="2" t="str">
        <f ca="1">IFERROR(__xludf.DUMMYFUNCTION("""COMPUTED_VALUE"""),"X")</f>
        <v>X</v>
      </c>
      <c r="I165" s="2"/>
      <c r="J165" s="2"/>
      <c r="K165" s="2"/>
      <c r="L165" s="2"/>
      <c r="M165" s="2"/>
      <c r="N165" s="2"/>
      <c r="O165" s="5">
        <f ca="1">IFERROR(__xludf.DUMMYFUNCTION("""COMPUTED_VALUE"""),0)</f>
        <v>0</v>
      </c>
      <c r="P165" s="2">
        <f ca="1">IFERROR(__xludf.DUMMYFUNCTION("""COMPUTED_VALUE"""),0)</f>
        <v>0</v>
      </c>
      <c r="Q165" s="2">
        <f ca="1">IFERROR(__xludf.DUMMYFUNCTION("""COMPUTED_VALUE"""),0)</f>
        <v>0</v>
      </c>
      <c r="R165" s="2">
        <f ca="1">IFERROR(__xludf.DUMMYFUNCTION("""COMPUTED_VALUE"""),3.465)</f>
        <v>3.4649999999999999</v>
      </c>
      <c r="S165" s="2">
        <f ca="1">IFERROR(__xludf.DUMMYFUNCTION("""COMPUTED_VALUE"""),0.785)</f>
        <v>0.78500000000000003</v>
      </c>
      <c r="T165" s="2">
        <f ca="1">IFERROR(__xludf.DUMMYFUNCTION("""COMPUTED_VALUE"""),0)</f>
        <v>0</v>
      </c>
      <c r="U165" s="2">
        <f ca="1">IFERROR(__xludf.DUMMYFUNCTION("""COMPUTED_VALUE"""),0)</f>
        <v>0</v>
      </c>
      <c r="V165" s="2">
        <f ca="1">IFERROR(__xludf.DUMMYFUNCTION("""COMPUTED_VALUE"""),0)</f>
        <v>0</v>
      </c>
      <c r="W165" s="2">
        <f ca="1">IFERROR(__xludf.DUMMYFUNCTION("""COMPUTED_VALUE"""),0)</f>
        <v>0</v>
      </c>
      <c r="X165" s="2">
        <f ca="1">IFERROR(__xludf.DUMMYFUNCTION("""COMPUTED_VALUE"""),0)</f>
        <v>0</v>
      </c>
      <c r="Y165" s="2">
        <f ca="1">IFERROR(__xludf.DUMMYFUNCTION("""COMPUTED_VALUE"""),0)</f>
        <v>0</v>
      </c>
      <c r="AA165" s="3" t="s">
        <v>39</v>
      </c>
      <c r="AB165" s="2"/>
      <c r="AC165" s="2"/>
      <c r="AD165" s="2"/>
      <c r="AE165" s="2"/>
      <c r="AF165" s="2"/>
      <c r="AG165" s="2" t="str">
        <f ca="1">IFERROR(__xludf.DUMMYFUNCTION("""COMPUTED_VALUE"""),"X")</f>
        <v>X</v>
      </c>
      <c r="AH165" s="2"/>
      <c r="AI165" s="2"/>
      <c r="AJ165" s="2"/>
      <c r="AK165" s="2"/>
      <c r="AL165" s="2"/>
      <c r="AM165" s="2">
        <f ca="1">IFERROR(__xludf.DUMMYFUNCTION("""COMPUTED_VALUE"""),0)</f>
        <v>0</v>
      </c>
      <c r="AN165" s="2">
        <f ca="1">IFERROR(__xludf.DUMMYFUNCTION("""COMPUTED_VALUE"""),0)</f>
        <v>0</v>
      </c>
      <c r="AO165" s="2">
        <f ca="1">IFERROR(__xludf.DUMMYFUNCTION("""COMPUTED_VALUE"""),0)</f>
        <v>0</v>
      </c>
      <c r="AP165" s="2">
        <f ca="1">IFERROR(__xludf.DUMMYFUNCTION("""COMPUTED_VALUE"""),0)</f>
        <v>0</v>
      </c>
      <c r="AQ165" s="2">
        <f ca="1">IFERROR(__xludf.DUMMYFUNCTION("""COMPUTED_VALUE"""),0)</f>
        <v>0</v>
      </c>
      <c r="AR165" s="2">
        <f ca="1">IFERROR(__xludf.DUMMYFUNCTION("""COMPUTED_VALUE"""),8.82125)</f>
        <v>8.8212499999999991</v>
      </c>
      <c r="AS165" s="2">
        <f ca="1">IFERROR(__xludf.DUMMYFUNCTION("""COMPUTED_VALUE"""),0)</f>
        <v>0</v>
      </c>
      <c r="AT165" s="2">
        <f ca="1">IFERROR(__xludf.DUMMYFUNCTION("""COMPUTED_VALUE"""),0)</f>
        <v>0</v>
      </c>
      <c r="AU165" s="2">
        <f ca="1">IFERROR(__xludf.DUMMYFUNCTION("""COMPUTED_VALUE"""),0)</f>
        <v>0</v>
      </c>
      <c r="AV165" s="2">
        <f ca="1">IFERROR(__xludf.DUMMYFUNCTION("""COMPUTED_VALUE"""),0)</f>
        <v>0</v>
      </c>
      <c r="AW165" s="2">
        <f ca="1">IFERROR(__xludf.DUMMYFUNCTION("""COMPUTED_VALUE"""),0)</f>
        <v>0</v>
      </c>
      <c r="AY165" s="2">
        <f t="shared" ca="1" si="0"/>
        <v>8</v>
      </c>
      <c r="AZ165" s="2" t="e">
        <f ca="1">IF(NOT(COUNTA(D165:J165)), _xludf.IFS(AL165="W", 'Round Bonuses'!$F$14, AL165="X", 'Round Bonuses'!$F$13, AK165="X", 'Round Bonuses'!$F$12, AJ165="X", 'Round Bonuses'!$F$11, AI165="X", 'Round Bonuses'!$F$10, AH165="X", 'Round Bonuses'!$F$9, AG165="X", 'Round Bonuses'!$F$8, AF165="X", 'Round Bonuses'!$F$7, AE165="X", 'Round Bonuses'!$F$6, AD165="X", 'Round Bonuses'!$F$5, AC165="X", 'Round Bonuses'!$F$4, AB165="X", 'Round Bonuses'!$F$3, TRUE, 0), IF(AA165="X", _xludf.IFS(AD165="X", 'Round Bonuses'!$E$4, AF165="X",'Round Bonuses'!$E$6,TRUE, 'Round Bonuses'!$E$7), 0) +IF(AB165="X", 'Round Bonuses'!$E$3, 0)+IF(AC165="X",'Round Bonuses'!$E$4, 0)+IF(AD165="X", 'Round Bonuses'!$E$5, 0)+IF(AE165="X", 'Round Bonuses'!$E$6, 0)+IF(AF165="X", 'Round Bonuses'!$E$7, 0)+IF(AG165="X", 'Round Bonuses'!$E$8, 0)+_xludf.IFS(AL165="W", 'Round Bonuses'!$G$14, AL165="X", 'Round Bonuses'!$G$13, AK165="X", 'Round Bonuses'!$G$12, AJ165="X", 'Round Bonuses'!$G$11, AI165="X", 'Round Bonuses'!$G$10, AH165="X", 'Round Bonuses'!$G$9, TRUE, 0))+_xludf.IFS(N165="W", 'Round Bonuses'!$C$13, N165="X", 'Round Bonuses'!$C$12, M165="X", 'Round Bonuses'!$C$11, L165="X", 'Round Bonuses'!$C$10, K165="X", 'Round Bonuses'!$C$9, J165="X", 'Round Bonuses'!$C$8, I165="X", 'Round Bonuses'!$C$7, H165="X", 'Round Bonuses'!$C$6, G165="X", 'Round Bonuses'!$C$5, F165="X", 'Round Bonuses'!$C$4, E165="X", 'Round Bonuses'!$C$3, D165="X", 'Round Bonuses'!$C$3, TRUE, 0)</f>
        <v>#NAME?</v>
      </c>
      <c r="BA165" s="2">
        <f t="shared" ca="1" si="1"/>
        <v>13.071249999999999</v>
      </c>
      <c r="BB165" s="10" t="e">
        <f t="shared" ca="1" si="2"/>
        <v>#NAME?</v>
      </c>
      <c r="BD165" s="11" t="str">
        <f t="shared" ca="1" si="3"/>
        <v>Rapid Wien</v>
      </c>
      <c r="BE165" s="2" t="str">
        <f t="shared" ca="1" si="4"/>
        <v>Austria</v>
      </c>
      <c r="BF165" s="2" t="e">
        <f t="shared" ca="1" si="5"/>
        <v>#NAME?</v>
      </c>
      <c r="BG165" s="2">
        <f t="shared" ca="1" si="6"/>
        <v>8</v>
      </c>
      <c r="BH165" s="2" t="s">
        <v>230</v>
      </c>
      <c r="BI165" s="2" t="s">
        <v>70</v>
      </c>
      <c r="BJ165" s="7">
        <v>1.5350000000000001</v>
      </c>
      <c r="BK165" s="2">
        <v>1</v>
      </c>
      <c r="BL165" s="2">
        <f t="shared" si="10"/>
        <v>163</v>
      </c>
      <c r="BM165" s="2" t="str">
        <f t="shared" si="7"/>
        <v>SønderjyskE</v>
      </c>
      <c r="BN165" s="7">
        <f t="shared" ref="BN165:BO165" si="172">BJ165</f>
        <v>1.5350000000000001</v>
      </c>
      <c r="BO165" s="2">
        <f t="shared" si="172"/>
        <v>1</v>
      </c>
      <c r="BS165" s="2" t="str">
        <f t="shared" si="9"/>
        <v>Denmark</v>
      </c>
    </row>
    <row r="166" spans="1:71" ht="13.8" x14ac:dyDescent="0.45">
      <c r="A166" s="2" t="str">
        <f ca="1">IFERROR(__xludf.DUMMYFUNCTION("""COMPUTED_VALUE"""),"RB Leipzig")</f>
        <v>RB Leipzig</v>
      </c>
      <c r="B166" s="2">
        <f ca="1">IFERROR(__xludf.DUMMYFUNCTION("""COMPUTED_VALUE"""),0.94)</f>
        <v>0.94</v>
      </c>
      <c r="C166" s="2" t="str">
        <f ca="1">IFERROR(__xludf.DUMMYFUNCTION("""COMPUTED_VALUE"""),"Germany")</f>
        <v>Germany</v>
      </c>
      <c r="D166" s="2"/>
      <c r="E166" s="2"/>
      <c r="F166" s="2"/>
      <c r="G166" s="2"/>
      <c r="H166" s="2"/>
      <c r="I166" s="2"/>
      <c r="J166" s="2" t="str">
        <f ca="1">IFERROR(__xludf.DUMMYFUNCTION("""COMPUTED_VALUE"""),"X")</f>
        <v>X</v>
      </c>
      <c r="K166" s="2" t="str">
        <f ca="1">IFERROR(__xludf.DUMMYFUNCTION("""COMPUTED_VALUE"""),"X")</f>
        <v>X</v>
      </c>
      <c r="L166" s="2"/>
      <c r="M166" s="2"/>
      <c r="N166" s="2"/>
      <c r="O166" s="5">
        <f ca="1">IFERROR(__xludf.DUMMYFUNCTION("""COMPUTED_VALUE"""),0)</f>
        <v>0</v>
      </c>
      <c r="P166" s="2">
        <f ca="1">IFERROR(__xludf.DUMMYFUNCTION("""COMPUTED_VALUE"""),0)</f>
        <v>0</v>
      </c>
      <c r="Q166" s="2">
        <f ca="1">IFERROR(__xludf.DUMMYFUNCTION("""COMPUTED_VALUE"""),0)</f>
        <v>0</v>
      </c>
      <c r="R166" s="2">
        <f ca="1">IFERROR(__xludf.DUMMYFUNCTION("""COMPUTED_VALUE"""),0)</f>
        <v>0</v>
      </c>
      <c r="S166" s="2">
        <f ca="1">IFERROR(__xludf.DUMMYFUNCTION("""COMPUTED_VALUE"""),0)</f>
        <v>0</v>
      </c>
      <c r="T166" s="2">
        <f ca="1">IFERROR(__xludf.DUMMYFUNCTION("""COMPUTED_VALUE"""),0)</f>
        <v>0</v>
      </c>
      <c r="U166" s="2">
        <f ca="1">IFERROR(__xludf.DUMMYFUNCTION("""COMPUTED_VALUE"""),16.5762499999999)</f>
        <v>16.576249999999899</v>
      </c>
      <c r="V166" s="2">
        <f ca="1">IFERROR(__xludf.DUMMYFUNCTION("""COMPUTED_VALUE"""),1.46)</f>
        <v>1.46</v>
      </c>
      <c r="W166" s="2">
        <f ca="1">IFERROR(__xludf.DUMMYFUNCTION("""COMPUTED_VALUE"""),0)</f>
        <v>0</v>
      </c>
      <c r="X166" s="2">
        <f ca="1">IFERROR(__xludf.DUMMYFUNCTION("""COMPUTED_VALUE"""),0)</f>
        <v>0</v>
      </c>
      <c r="Y166" s="2">
        <f ca="1">IFERROR(__xludf.DUMMYFUNCTION("""COMPUTED_VALUE"""),0)</f>
        <v>0</v>
      </c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>
        <f ca="1">IFERROR(__xludf.DUMMYFUNCTION("""COMPUTED_VALUE"""),0)</f>
        <v>0</v>
      </c>
      <c r="AN166" s="2">
        <f ca="1">IFERROR(__xludf.DUMMYFUNCTION("""COMPUTED_VALUE"""),0)</f>
        <v>0</v>
      </c>
      <c r="AO166" s="2">
        <f ca="1">IFERROR(__xludf.DUMMYFUNCTION("""COMPUTED_VALUE"""),0)</f>
        <v>0</v>
      </c>
      <c r="AP166" s="2">
        <f ca="1">IFERROR(__xludf.DUMMYFUNCTION("""COMPUTED_VALUE"""),0)</f>
        <v>0</v>
      </c>
      <c r="AQ166" s="2">
        <f ca="1">IFERROR(__xludf.DUMMYFUNCTION("""COMPUTED_VALUE"""),0)</f>
        <v>0</v>
      </c>
      <c r="AR166" s="2">
        <f ca="1">IFERROR(__xludf.DUMMYFUNCTION("""COMPUTED_VALUE"""),0)</f>
        <v>0</v>
      </c>
      <c r="AS166" s="2">
        <f ca="1">IFERROR(__xludf.DUMMYFUNCTION("""COMPUTED_VALUE"""),0)</f>
        <v>0</v>
      </c>
      <c r="AT166" s="2">
        <f ca="1">IFERROR(__xludf.DUMMYFUNCTION("""COMPUTED_VALUE"""),0)</f>
        <v>0</v>
      </c>
      <c r="AU166" s="2">
        <f ca="1">IFERROR(__xludf.DUMMYFUNCTION("""COMPUTED_VALUE"""),0)</f>
        <v>0</v>
      </c>
      <c r="AV166" s="2">
        <f ca="1">IFERROR(__xludf.DUMMYFUNCTION("""COMPUTED_VALUE"""),0)</f>
        <v>0</v>
      </c>
      <c r="AW166" s="2">
        <f ca="1">IFERROR(__xludf.DUMMYFUNCTION("""COMPUTED_VALUE"""),0)</f>
        <v>0</v>
      </c>
      <c r="AY166" s="2">
        <f t="shared" ca="1" si="0"/>
        <v>8</v>
      </c>
      <c r="AZ166" s="2" t="e">
        <f ca="1">IF(NOT(COUNTA(D166:J166)), _xludf.IFS(AL166="W", 'Round Bonuses'!$F$14, AL166="X", 'Round Bonuses'!$F$13, AK166="X", 'Round Bonuses'!$F$12, AJ166="X", 'Round Bonuses'!$F$11, AI166="X", 'Round Bonuses'!$F$10, AH166="X", 'Round Bonuses'!$F$9, AG166="X", 'Round Bonuses'!$F$8, AF166="X", 'Round Bonuses'!$F$7, AE166="X", 'Round Bonuses'!$F$6, AD166="X", 'Round Bonuses'!$F$5, AC166="X", 'Round Bonuses'!$F$4, AB166="X", 'Round Bonuses'!$F$3, TRUE, 0), IF(AA166="X", _xludf.IFS(AD166="X", 'Round Bonuses'!$E$4, AF166="X",'Round Bonuses'!$E$6,TRUE, 'Round Bonuses'!$E$7), 0) +IF(AB166="X", 'Round Bonuses'!$E$3, 0)+IF(AC166="X",'Round Bonuses'!$E$4, 0)+IF(AD166="X", 'Round Bonuses'!$E$5, 0)+IF(AE166="X", 'Round Bonuses'!$E$6, 0)+IF(AF166="X", 'Round Bonuses'!$E$7, 0)+IF(AG166="X", 'Round Bonuses'!$E$8, 0)+_xludf.IFS(AL166="W", 'Round Bonuses'!$G$14, AL166="X", 'Round Bonuses'!$G$13, AK166="X", 'Round Bonuses'!$G$12, AJ166="X", 'Round Bonuses'!$G$11, AI166="X", 'Round Bonuses'!$G$10, AH166="X", 'Round Bonuses'!$G$9, TRUE, 0))+_xludf.IFS(N166="W", 'Round Bonuses'!$C$13, N166="X", 'Round Bonuses'!$C$12, M166="X", 'Round Bonuses'!$C$11, L166="X", 'Round Bonuses'!$C$10, K166="X", 'Round Bonuses'!$C$9, J166="X", 'Round Bonuses'!$C$8, I166="X", 'Round Bonuses'!$C$7, H166="X", 'Round Bonuses'!$C$6, G166="X", 'Round Bonuses'!$C$5, F166="X", 'Round Bonuses'!$C$4, E166="X", 'Round Bonuses'!$C$3, D166="X", 'Round Bonuses'!$C$3, TRUE, 0)</f>
        <v>#NAME?</v>
      </c>
      <c r="BA166" s="2">
        <f t="shared" ca="1" si="1"/>
        <v>18.0362499999999</v>
      </c>
      <c r="BB166" s="10" t="e">
        <f t="shared" ca="1" si="2"/>
        <v>#NAME?</v>
      </c>
      <c r="BD166" s="11" t="str">
        <f t="shared" ca="1" si="3"/>
        <v>RB Leipzig</v>
      </c>
      <c r="BE166" s="2" t="str">
        <f t="shared" ca="1" si="4"/>
        <v>Germany</v>
      </c>
      <c r="BF166" s="2" t="e">
        <f t="shared" ca="1" si="5"/>
        <v>#NAME?</v>
      </c>
      <c r="BG166" s="2">
        <f t="shared" ca="1" si="6"/>
        <v>8</v>
      </c>
      <c r="BH166" s="2" t="s">
        <v>231</v>
      </c>
      <c r="BI166" s="2" t="s">
        <v>181</v>
      </c>
      <c r="BJ166" s="7">
        <v>1.4887499999999998</v>
      </c>
      <c r="BK166" s="2">
        <v>2</v>
      </c>
      <c r="BL166" s="2">
        <f t="shared" si="10"/>
        <v>164</v>
      </c>
      <c r="BM166" s="2" t="str">
        <f t="shared" si="7"/>
        <v>Gjilani</v>
      </c>
      <c r="BN166" s="7">
        <f t="shared" ref="BN166:BO166" si="173">BJ166</f>
        <v>1.4887499999999998</v>
      </c>
      <c r="BO166" s="2">
        <f t="shared" si="173"/>
        <v>2</v>
      </c>
      <c r="BS166" s="2" t="str">
        <f t="shared" si="9"/>
        <v>Kosovo</v>
      </c>
    </row>
    <row r="167" spans="1:71" ht="13.8" x14ac:dyDescent="0.45">
      <c r="A167" s="2" t="str">
        <f ca="1">IFERROR(__xludf.DUMMYFUNCTION("""COMPUTED_VALUE"""),"Real Madrid")</f>
        <v>Real Madrid</v>
      </c>
      <c r="B167" s="2">
        <f ca="1">IFERROR(__xludf.DUMMYFUNCTION("""COMPUTED_VALUE"""),0.99)</f>
        <v>0.99</v>
      </c>
      <c r="C167" s="2" t="str">
        <f ca="1">IFERROR(__xludf.DUMMYFUNCTION("""COMPUTED_VALUE"""),"Spain")</f>
        <v>Spain</v>
      </c>
      <c r="D167" s="2"/>
      <c r="E167" s="2"/>
      <c r="F167" s="2"/>
      <c r="G167" s="2"/>
      <c r="H167" s="2"/>
      <c r="I167" s="2"/>
      <c r="J167" s="2" t="str">
        <f ca="1">IFERROR(__xludf.DUMMYFUNCTION("""COMPUTED_VALUE"""),"X")</f>
        <v>X</v>
      </c>
      <c r="K167" s="2" t="str">
        <f ca="1">IFERROR(__xludf.DUMMYFUNCTION("""COMPUTED_VALUE"""),"X")</f>
        <v>X</v>
      </c>
      <c r="L167" s="2" t="str">
        <f ca="1">IFERROR(__xludf.DUMMYFUNCTION("""COMPUTED_VALUE"""),"X")</f>
        <v>X</v>
      </c>
      <c r="M167" s="2" t="str">
        <f ca="1">IFERROR(__xludf.DUMMYFUNCTION("""COMPUTED_VALUE"""),"X")</f>
        <v>X</v>
      </c>
      <c r="N167" s="2"/>
      <c r="O167" s="5">
        <f ca="1">IFERROR(__xludf.DUMMYFUNCTION("""COMPUTED_VALUE"""),0)</f>
        <v>0</v>
      </c>
      <c r="P167" s="2">
        <f ca="1">IFERROR(__xludf.DUMMYFUNCTION("""COMPUTED_VALUE"""),0)</f>
        <v>0</v>
      </c>
      <c r="Q167" s="2">
        <f ca="1">IFERROR(__xludf.DUMMYFUNCTION("""COMPUTED_VALUE"""),0)</f>
        <v>0</v>
      </c>
      <c r="R167" s="2">
        <f ca="1">IFERROR(__xludf.DUMMYFUNCTION("""COMPUTED_VALUE"""),0)</f>
        <v>0</v>
      </c>
      <c r="S167" s="2">
        <f ca="1">IFERROR(__xludf.DUMMYFUNCTION("""COMPUTED_VALUE"""),0)</f>
        <v>0</v>
      </c>
      <c r="T167" s="2">
        <f ca="1">IFERROR(__xludf.DUMMYFUNCTION("""COMPUTED_VALUE"""),0)</f>
        <v>0</v>
      </c>
      <c r="U167" s="2">
        <f ca="1">IFERROR(__xludf.DUMMYFUNCTION("""COMPUTED_VALUE"""),15.2975)</f>
        <v>15.297499999999999</v>
      </c>
      <c r="V167" s="2">
        <f ca="1">IFERROR(__xludf.DUMMYFUNCTION("""COMPUTED_VALUE"""),7.95625)</f>
        <v>7.9562499999999998</v>
      </c>
      <c r="W167" s="2">
        <f ca="1">IFERROR(__xludf.DUMMYFUNCTION("""COMPUTED_VALUE"""),6.125)</f>
        <v>6.125</v>
      </c>
      <c r="X167" s="2">
        <f ca="1">IFERROR(__xludf.DUMMYFUNCTION("""COMPUTED_VALUE"""),2.59999999999999)</f>
        <v>2.5999999999999899</v>
      </c>
      <c r="Y167" s="2">
        <f ca="1">IFERROR(__xludf.DUMMYFUNCTION("""COMPUTED_VALUE"""),0)</f>
        <v>0</v>
      </c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>
        <f ca="1">IFERROR(__xludf.DUMMYFUNCTION("""COMPUTED_VALUE"""),0)</f>
        <v>0</v>
      </c>
      <c r="AN167" s="2">
        <f ca="1">IFERROR(__xludf.DUMMYFUNCTION("""COMPUTED_VALUE"""),0)</f>
        <v>0</v>
      </c>
      <c r="AO167" s="2">
        <f ca="1">IFERROR(__xludf.DUMMYFUNCTION("""COMPUTED_VALUE"""),0)</f>
        <v>0</v>
      </c>
      <c r="AP167" s="2">
        <f ca="1">IFERROR(__xludf.DUMMYFUNCTION("""COMPUTED_VALUE"""),0)</f>
        <v>0</v>
      </c>
      <c r="AQ167" s="2">
        <f ca="1">IFERROR(__xludf.DUMMYFUNCTION("""COMPUTED_VALUE"""),0)</f>
        <v>0</v>
      </c>
      <c r="AR167" s="2">
        <f ca="1">IFERROR(__xludf.DUMMYFUNCTION("""COMPUTED_VALUE"""),0)</f>
        <v>0</v>
      </c>
      <c r="AS167" s="2">
        <f ca="1">IFERROR(__xludf.DUMMYFUNCTION("""COMPUTED_VALUE"""),0)</f>
        <v>0</v>
      </c>
      <c r="AT167" s="2">
        <f ca="1">IFERROR(__xludf.DUMMYFUNCTION("""COMPUTED_VALUE"""),0)</f>
        <v>0</v>
      </c>
      <c r="AU167" s="2">
        <f ca="1">IFERROR(__xludf.DUMMYFUNCTION("""COMPUTED_VALUE"""),0)</f>
        <v>0</v>
      </c>
      <c r="AV167" s="2">
        <f ca="1">IFERROR(__xludf.DUMMYFUNCTION("""COMPUTED_VALUE"""),0)</f>
        <v>0</v>
      </c>
      <c r="AW167" s="2">
        <f ca="1">IFERROR(__xludf.DUMMYFUNCTION("""COMPUTED_VALUE"""),0)</f>
        <v>0</v>
      </c>
      <c r="AY167" s="2">
        <f t="shared" ca="1" si="0"/>
        <v>12</v>
      </c>
      <c r="AZ167" s="2" t="e">
        <f ca="1">IF(NOT(COUNTA(D167:J167)), _xludf.IFS(AL167="W", 'Round Bonuses'!$F$14, AL167="X", 'Round Bonuses'!$F$13, AK167="X", 'Round Bonuses'!$F$12, AJ167="X", 'Round Bonuses'!$F$11, AI167="X", 'Round Bonuses'!$F$10, AH167="X", 'Round Bonuses'!$F$9, AG167="X", 'Round Bonuses'!$F$8, AF167="X", 'Round Bonuses'!$F$7, AE167="X", 'Round Bonuses'!$F$6, AD167="X", 'Round Bonuses'!$F$5, AC167="X", 'Round Bonuses'!$F$4, AB167="X", 'Round Bonuses'!$F$3, TRUE, 0), IF(AA167="X", _xludf.IFS(AD167="X", 'Round Bonuses'!$E$4, AF167="X",'Round Bonuses'!$E$6,TRUE, 'Round Bonuses'!$E$7), 0) +IF(AB167="X", 'Round Bonuses'!$E$3, 0)+IF(AC167="X",'Round Bonuses'!$E$4, 0)+IF(AD167="X", 'Round Bonuses'!$E$5, 0)+IF(AE167="X", 'Round Bonuses'!$E$6, 0)+IF(AF167="X", 'Round Bonuses'!$E$7, 0)+IF(AG167="X", 'Round Bonuses'!$E$8, 0)+_xludf.IFS(AL167="W", 'Round Bonuses'!$G$14, AL167="X", 'Round Bonuses'!$G$13, AK167="X", 'Round Bonuses'!$G$12, AJ167="X", 'Round Bonuses'!$G$11, AI167="X", 'Round Bonuses'!$G$10, AH167="X", 'Round Bonuses'!$G$9, TRUE, 0))+_xludf.IFS(N167="W", 'Round Bonuses'!$C$13, N167="X", 'Round Bonuses'!$C$12, M167="X", 'Round Bonuses'!$C$11, L167="X", 'Round Bonuses'!$C$10, K167="X", 'Round Bonuses'!$C$9, J167="X", 'Round Bonuses'!$C$8, I167="X", 'Round Bonuses'!$C$7, H167="X", 'Round Bonuses'!$C$6, G167="X", 'Round Bonuses'!$C$5, F167="X", 'Round Bonuses'!$C$4, E167="X", 'Round Bonuses'!$C$3, D167="X", 'Round Bonuses'!$C$3, TRUE, 0)</f>
        <v>#NAME?</v>
      </c>
      <c r="BA167" s="2">
        <f t="shared" ca="1" si="1"/>
        <v>31.978749999999991</v>
      </c>
      <c r="BB167" s="10" t="e">
        <f t="shared" ca="1" si="2"/>
        <v>#NAME?</v>
      </c>
      <c r="BD167" s="11" t="str">
        <f t="shared" ca="1" si="3"/>
        <v>Real Madrid</v>
      </c>
      <c r="BE167" s="2" t="str">
        <f t="shared" ca="1" si="4"/>
        <v>Spain</v>
      </c>
      <c r="BF167" s="2" t="e">
        <f t="shared" ca="1" si="5"/>
        <v>#NAME?</v>
      </c>
      <c r="BG167" s="2">
        <f t="shared" ca="1" si="6"/>
        <v>12</v>
      </c>
      <c r="BH167" s="2" t="s">
        <v>232</v>
      </c>
      <c r="BI167" s="2" t="s">
        <v>198</v>
      </c>
      <c r="BJ167" s="7">
        <v>1.43</v>
      </c>
      <c r="BK167" s="2">
        <v>2</v>
      </c>
      <c r="BL167" s="2">
        <f t="shared" si="10"/>
        <v>165</v>
      </c>
      <c r="BM167" s="2" t="str">
        <f t="shared" si="7"/>
        <v>Glentoran</v>
      </c>
      <c r="BN167" s="7">
        <f t="shared" ref="BN167:BO167" si="174">BJ167</f>
        <v>1.43</v>
      </c>
      <c r="BO167" s="2">
        <f t="shared" si="174"/>
        <v>2</v>
      </c>
      <c r="BS167" s="2" t="str">
        <f t="shared" si="9"/>
        <v>Northern Ireland</v>
      </c>
    </row>
    <row r="168" spans="1:71" ht="13.8" x14ac:dyDescent="0.45">
      <c r="A168" s="2" t="str">
        <f ca="1">IFERROR(__xludf.DUMMYFUNCTION("""COMPUTED_VALUE"""),"Real Sociedad")</f>
        <v>Real Sociedad</v>
      </c>
      <c r="B168" s="2">
        <f ca="1">IFERROR(__xludf.DUMMYFUNCTION("""COMPUTED_VALUE"""),0.94)</f>
        <v>0.94</v>
      </c>
      <c r="C168" s="2" t="str">
        <f ca="1">IFERROR(__xludf.DUMMYFUNCTION("""COMPUTED_VALUE"""),"Spain")</f>
        <v>Spain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5">
        <f ca="1">IFERROR(__xludf.DUMMYFUNCTION("""COMPUTED_VALUE"""),0)</f>
        <v>0</v>
      </c>
      <c r="P168" s="2">
        <f ca="1">IFERROR(__xludf.DUMMYFUNCTION("""COMPUTED_VALUE"""),0)</f>
        <v>0</v>
      </c>
      <c r="Q168" s="2">
        <f ca="1">IFERROR(__xludf.DUMMYFUNCTION("""COMPUTED_VALUE"""),0)</f>
        <v>0</v>
      </c>
      <c r="R168" s="2">
        <f ca="1">IFERROR(__xludf.DUMMYFUNCTION("""COMPUTED_VALUE"""),0)</f>
        <v>0</v>
      </c>
      <c r="S168" s="2">
        <f ca="1">IFERROR(__xludf.DUMMYFUNCTION("""COMPUTED_VALUE"""),0)</f>
        <v>0</v>
      </c>
      <c r="T168" s="2">
        <f ca="1">IFERROR(__xludf.DUMMYFUNCTION("""COMPUTED_VALUE"""),0)</f>
        <v>0</v>
      </c>
      <c r="U168" s="2">
        <f ca="1">IFERROR(__xludf.DUMMYFUNCTION("""COMPUTED_VALUE"""),0)</f>
        <v>0</v>
      </c>
      <c r="V168" s="2">
        <f ca="1">IFERROR(__xludf.DUMMYFUNCTION("""COMPUTED_VALUE"""),0)</f>
        <v>0</v>
      </c>
      <c r="W168" s="2">
        <f ca="1">IFERROR(__xludf.DUMMYFUNCTION("""COMPUTED_VALUE"""),0)</f>
        <v>0</v>
      </c>
      <c r="X168" s="2">
        <f ca="1">IFERROR(__xludf.DUMMYFUNCTION("""COMPUTED_VALUE"""),0)</f>
        <v>0</v>
      </c>
      <c r="Y168" s="2">
        <f ca="1">IFERROR(__xludf.DUMMYFUNCTION("""COMPUTED_VALUE"""),0)</f>
        <v>0</v>
      </c>
      <c r="AB168" s="2"/>
      <c r="AC168" s="2"/>
      <c r="AD168" s="2"/>
      <c r="AE168" s="2"/>
      <c r="AF168" s="2"/>
      <c r="AG168" s="2" t="str">
        <f ca="1">IFERROR(__xludf.DUMMYFUNCTION("""COMPUTED_VALUE"""),"X")</f>
        <v>X</v>
      </c>
      <c r="AH168" s="2" t="str">
        <f ca="1">IFERROR(__xludf.DUMMYFUNCTION("""COMPUTED_VALUE"""),"X")</f>
        <v>X</v>
      </c>
      <c r="AI168" s="2"/>
      <c r="AJ168" s="2"/>
      <c r="AK168" s="2"/>
      <c r="AL168" s="2"/>
      <c r="AM168" s="2">
        <f ca="1">IFERROR(__xludf.DUMMYFUNCTION("""COMPUTED_VALUE"""),0)</f>
        <v>0</v>
      </c>
      <c r="AN168" s="2">
        <f ca="1">IFERROR(__xludf.DUMMYFUNCTION("""COMPUTED_VALUE"""),0)</f>
        <v>0</v>
      </c>
      <c r="AO168" s="2">
        <f ca="1">IFERROR(__xludf.DUMMYFUNCTION("""COMPUTED_VALUE"""),0)</f>
        <v>0</v>
      </c>
      <c r="AP168" s="2">
        <f ca="1">IFERROR(__xludf.DUMMYFUNCTION("""COMPUTED_VALUE"""),0)</f>
        <v>0</v>
      </c>
      <c r="AQ168" s="2">
        <f ca="1">IFERROR(__xludf.DUMMYFUNCTION("""COMPUTED_VALUE"""),0)</f>
        <v>0</v>
      </c>
      <c r="AR168" s="2">
        <f ca="1">IFERROR(__xludf.DUMMYFUNCTION("""COMPUTED_VALUE"""),13.0475)</f>
        <v>13.047499999999999</v>
      </c>
      <c r="AS168" s="2">
        <f ca="1">IFERROR(__xludf.DUMMYFUNCTION("""COMPUTED_VALUE"""),2.38)</f>
        <v>2.38</v>
      </c>
      <c r="AT168" s="2">
        <f ca="1">IFERROR(__xludf.DUMMYFUNCTION("""COMPUTED_VALUE"""),0)</f>
        <v>0</v>
      </c>
      <c r="AU168" s="2">
        <f ca="1">IFERROR(__xludf.DUMMYFUNCTION("""COMPUTED_VALUE"""),0)</f>
        <v>0</v>
      </c>
      <c r="AV168" s="2">
        <f ca="1">IFERROR(__xludf.DUMMYFUNCTION("""COMPUTED_VALUE"""),0)</f>
        <v>0</v>
      </c>
      <c r="AW168" s="2">
        <f ca="1">IFERROR(__xludf.DUMMYFUNCTION("""COMPUTED_VALUE"""),0)</f>
        <v>0</v>
      </c>
      <c r="AY168" s="2">
        <f t="shared" ca="1" si="0"/>
        <v>8</v>
      </c>
      <c r="AZ168" s="2" t="e">
        <f ca="1">IF(NOT(COUNTA(D168:J168)), _xludf.IFS(AL168="W", 'Round Bonuses'!$F$14, AL168="X", 'Round Bonuses'!$F$13, AK168="X", 'Round Bonuses'!$F$12, AJ168="X", 'Round Bonuses'!$F$11, AI168="X", 'Round Bonuses'!$F$10, AH168="X", 'Round Bonuses'!$F$9, AG168="X", 'Round Bonuses'!$F$8, AF168="X", 'Round Bonuses'!$F$7, AE168="X", 'Round Bonuses'!$F$6, AD168="X", 'Round Bonuses'!$F$5, AC168="X", 'Round Bonuses'!$F$4, AB168="X", 'Round Bonuses'!$F$3, TRUE, 0), IF(AA168="X", _xludf.IFS(AD168="X", 'Round Bonuses'!$E$4, AF168="X",'Round Bonuses'!$E$6,TRUE, 'Round Bonuses'!$E$7), 0) +IF(AB168="X", 'Round Bonuses'!$E$3, 0)+IF(AC168="X",'Round Bonuses'!$E$4, 0)+IF(AD168="X", 'Round Bonuses'!$E$5, 0)+IF(AE168="X", 'Round Bonuses'!$E$6, 0)+IF(AF168="X", 'Round Bonuses'!$E$7, 0)+IF(AG168="X", 'Round Bonuses'!$E$8, 0)+_xludf.IFS(AL168="W", 'Round Bonuses'!$G$14, AL168="X", 'Round Bonuses'!$G$13, AK168="X", 'Round Bonuses'!$G$12, AJ168="X", 'Round Bonuses'!$G$11, AI168="X", 'Round Bonuses'!$G$10, AH168="X", 'Round Bonuses'!$G$9, TRUE, 0))+_xludf.IFS(N168="W", 'Round Bonuses'!$C$13, N168="X", 'Round Bonuses'!$C$12, M168="X", 'Round Bonuses'!$C$11, L168="X", 'Round Bonuses'!$C$10, K168="X", 'Round Bonuses'!$C$9, J168="X", 'Round Bonuses'!$C$8, I168="X", 'Round Bonuses'!$C$7, H168="X", 'Round Bonuses'!$C$6, G168="X", 'Round Bonuses'!$C$5, F168="X", 'Round Bonuses'!$C$4, E168="X", 'Round Bonuses'!$C$3, D168="X", 'Round Bonuses'!$C$3, TRUE, 0)</f>
        <v>#NAME?</v>
      </c>
      <c r="BA168" s="2">
        <f t="shared" ca="1" si="1"/>
        <v>15.427499999999998</v>
      </c>
      <c r="BB168" s="10" t="e">
        <f t="shared" ca="1" si="2"/>
        <v>#NAME?</v>
      </c>
      <c r="BD168" s="11" t="str">
        <f t="shared" ca="1" si="3"/>
        <v>Real Sociedad</v>
      </c>
      <c r="BE168" s="2" t="str">
        <f t="shared" ca="1" si="4"/>
        <v>Spain</v>
      </c>
      <c r="BF168" s="2" t="e">
        <f t="shared" ca="1" si="5"/>
        <v>#NAME?</v>
      </c>
      <c r="BG168" s="2">
        <f t="shared" ca="1" si="6"/>
        <v>8</v>
      </c>
      <c r="BH168" s="2" t="s">
        <v>233</v>
      </c>
      <c r="BI168" s="2" t="s">
        <v>135</v>
      </c>
      <c r="BJ168" s="7">
        <v>1.4125000000000001</v>
      </c>
      <c r="BK168" s="2">
        <v>2</v>
      </c>
      <c r="BL168" s="2">
        <f t="shared" si="10"/>
        <v>166</v>
      </c>
      <c r="BM168" s="2" t="str">
        <f t="shared" si="7"/>
        <v>NSÍ Runavík</v>
      </c>
      <c r="BN168" s="7">
        <f t="shared" ref="BN168:BO168" si="175">BJ168</f>
        <v>1.4125000000000001</v>
      </c>
      <c r="BO168" s="2">
        <f t="shared" si="175"/>
        <v>2</v>
      </c>
      <c r="BS168" s="2" t="str">
        <f t="shared" si="9"/>
        <v>Faroe Islands</v>
      </c>
    </row>
    <row r="169" spans="1:71" ht="13.8" x14ac:dyDescent="0.45">
      <c r="A169" s="2" t="str">
        <f ca="1">IFERROR(__xludf.DUMMYFUNCTION("""COMPUTED_VALUE"""),"Red Bull Salzburg")</f>
        <v>Red Bull Salzburg</v>
      </c>
      <c r="B169" s="2">
        <f ca="1">IFERROR(__xludf.DUMMYFUNCTION("""COMPUTED_VALUE"""),0.88)</f>
        <v>0.88</v>
      </c>
      <c r="C169" s="2" t="str">
        <f ca="1">IFERROR(__xludf.DUMMYFUNCTION("""COMPUTED_VALUE"""),"Austria")</f>
        <v>Austria</v>
      </c>
      <c r="D169" s="2"/>
      <c r="E169" s="2"/>
      <c r="F169" s="2"/>
      <c r="G169" s="2"/>
      <c r="H169" s="2"/>
      <c r="I169" s="2" t="str">
        <f ca="1">IFERROR(__xludf.DUMMYFUNCTION("""COMPUTED_VALUE"""),"X")</f>
        <v>X</v>
      </c>
      <c r="J169" s="2" t="str">
        <f ca="1">IFERROR(__xludf.DUMMYFUNCTION("""COMPUTED_VALUE"""),"X")</f>
        <v>X</v>
      </c>
      <c r="K169" s="2"/>
      <c r="L169" s="2"/>
      <c r="M169" s="2"/>
      <c r="N169" s="2"/>
      <c r="O169" s="5">
        <f ca="1">IFERROR(__xludf.DUMMYFUNCTION("""COMPUTED_VALUE"""),0)</f>
        <v>0</v>
      </c>
      <c r="P169" s="2">
        <f ca="1">IFERROR(__xludf.DUMMYFUNCTION("""COMPUTED_VALUE"""),0)</f>
        <v>0</v>
      </c>
      <c r="Q169" s="2">
        <f ca="1">IFERROR(__xludf.DUMMYFUNCTION("""COMPUTED_VALUE"""),0)</f>
        <v>0</v>
      </c>
      <c r="R169" s="2">
        <f ca="1">IFERROR(__xludf.DUMMYFUNCTION("""COMPUTED_VALUE"""),0)</f>
        <v>0</v>
      </c>
      <c r="S169" s="2">
        <f ca="1">IFERROR(__xludf.DUMMYFUNCTION("""COMPUTED_VALUE"""),0)</f>
        <v>0</v>
      </c>
      <c r="T169" s="2">
        <f ca="1">IFERROR(__xludf.DUMMYFUNCTION("""COMPUTED_VALUE"""),6.11375)</f>
        <v>6.1137499999999996</v>
      </c>
      <c r="U169" s="2">
        <f ca="1">IFERROR(__xludf.DUMMYFUNCTION("""COMPUTED_VALUE"""),8.5475)</f>
        <v>8.5474999999999994</v>
      </c>
      <c r="V169" s="2">
        <f ca="1">IFERROR(__xludf.DUMMYFUNCTION("""COMPUTED_VALUE"""),0)</f>
        <v>0</v>
      </c>
      <c r="W169" s="2">
        <f ca="1">IFERROR(__xludf.DUMMYFUNCTION("""COMPUTED_VALUE"""),0)</f>
        <v>0</v>
      </c>
      <c r="X169" s="2">
        <f ca="1">IFERROR(__xludf.DUMMYFUNCTION("""COMPUTED_VALUE"""),0)</f>
        <v>0</v>
      </c>
      <c r="Y169" s="2">
        <f ca="1">IFERROR(__xludf.DUMMYFUNCTION("""COMPUTED_VALUE"""),0)</f>
        <v>0</v>
      </c>
      <c r="AB169" s="2"/>
      <c r="AC169" s="2"/>
      <c r="AD169" s="2"/>
      <c r="AE169" s="2"/>
      <c r="AF169" s="2"/>
      <c r="AG169" s="2"/>
      <c r="AH169" s="2" t="str">
        <f ca="1">IFERROR(__xludf.DUMMYFUNCTION("""COMPUTED_VALUE"""),"X")</f>
        <v>X</v>
      </c>
      <c r="AI169" s="2"/>
      <c r="AJ169" s="2"/>
      <c r="AK169" s="2"/>
      <c r="AL169" s="2"/>
      <c r="AM169" s="2">
        <f ca="1">IFERROR(__xludf.DUMMYFUNCTION("""COMPUTED_VALUE"""),0)</f>
        <v>0</v>
      </c>
      <c r="AN169" s="2">
        <f ca="1">IFERROR(__xludf.DUMMYFUNCTION("""COMPUTED_VALUE"""),0)</f>
        <v>0</v>
      </c>
      <c r="AO169" s="2">
        <f ca="1">IFERROR(__xludf.DUMMYFUNCTION("""COMPUTED_VALUE"""),0)</f>
        <v>0</v>
      </c>
      <c r="AP169" s="2">
        <f ca="1">IFERROR(__xludf.DUMMYFUNCTION("""COMPUTED_VALUE"""),0)</f>
        <v>0</v>
      </c>
      <c r="AQ169" s="2">
        <f ca="1">IFERROR(__xludf.DUMMYFUNCTION("""COMPUTED_VALUE"""),0)</f>
        <v>0</v>
      </c>
      <c r="AR169" s="2">
        <f ca="1">IFERROR(__xludf.DUMMYFUNCTION("""COMPUTED_VALUE"""),0)</f>
        <v>0</v>
      </c>
      <c r="AS169" s="2">
        <f ca="1">IFERROR(__xludf.DUMMYFUNCTION("""COMPUTED_VALUE"""),1.525)</f>
        <v>1.5249999999999999</v>
      </c>
      <c r="AT169" s="2">
        <f ca="1">IFERROR(__xludf.DUMMYFUNCTION("""COMPUTED_VALUE"""),0)</f>
        <v>0</v>
      </c>
      <c r="AU169" s="2">
        <f ca="1">IFERROR(__xludf.DUMMYFUNCTION("""COMPUTED_VALUE"""),0)</f>
        <v>0</v>
      </c>
      <c r="AV169" s="2">
        <f ca="1">IFERROR(__xludf.DUMMYFUNCTION("""COMPUTED_VALUE"""),0)</f>
        <v>0</v>
      </c>
      <c r="AW169" s="2">
        <f ca="1">IFERROR(__xludf.DUMMYFUNCTION("""COMPUTED_VALUE"""),0)</f>
        <v>0</v>
      </c>
      <c r="AY169" s="2">
        <f t="shared" ca="1" si="0"/>
        <v>10</v>
      </c>
      <c r="AZ169" s="2" t="e">
        <f ca="1">IF(NOT(COUNTA(D169:J169)), _xludf.IFS(AL169="W", 'Round Bonuses'!$F$14, AL169="X", 'Round Bonuses'!$F$13, AK169="X", 'Round Bonuses'!$F$12, AJ169="X", 'Round Bonuses'!$F$11, AI169="X", 'Round Bonuses'!$F$10, AH169="X", 'Round Bonuses'!$F$9, AG169="X", 'Round Bonuses'!$F$8, AF169="X", 'Round Bonuses'!$F$7, AE169="X", 'Round Bonuses'!$F$6, AD169="X", 'Round Bonuses'!$F$5, AC169="X", 'Round Bonuses'!$F$4, AB169="X", 'Round Bonuses'!$F$3, TRUE, 0), IF(AA169="X", _xludf.IFS(AD169="X", 'Round Bonuses'!$E$4, AF169="X",'Round Bonuses'!$E$6,TRUE, 'Round Bonuses'!$E$7), 0) +IF(AB169="X", 'Round Bonuses'!$E$3, 0)+IF(AC169="X",'Round Bonuses'!$E$4, 0)+IF(AD169="X", 'Round Bonuses'!$E$5, 0)+IF(AE169="X", 'Round Bonuses'!$E$6, 0)+IF(AF169="X", 'Round Bonuses'!$E$7, 0)+IF(AG169="X", 'Round Bonuses'!$E$8, 0)+_xludf.IFS(AL169="W", 'Round Bonuses'!$G$14, AL169="X", 'Round Bonuses'!$G$13, AK169="X", 'Round Bonuses'!$G$12, AJ169="X", 'Round Bonuses'!$G$11, AI169="X", 'Round Bonuses'!$G$10, AH169="X", 'Round Bonuses'!$G$9, TRUE, 0))+_xludf.IFS(N169="W", 'Round Bonuses'!$C$13, N169="X", 'Round Bonuses'!$C$12, M169="X", 'Round Bonuses'!$C$11, L169="X", 'Round Bonuses'!$C$10, K169="X", 'Round Bonuses'!$C$9, J169="X", 'Round Bonuses'!$C$8, I169="X", 'Round Bonuses'!$C$7, H169="X", 'Round Bonuses'!$C$6, G169="X", 'Round Bonuses'!$C$5, F169="X", 'Round Bonuses'!$C$4, E169="X", 'Round Bonuses'!$C$3, D169="X", 'Round Bonuses'!$C$3, TRUE, 0)</f>
        <v>#NAME?</v>
      </c>
      <c r="BA169" s="2">
        <f t="shared" ca="1" si="1"/>
        <v>16.186249999999998</v>
      </c>
      <c r="BB169" s="10" t="e">
        <f t="shared" ca="1" si="2"/>
        <v>#NAME?</v>
      </c>
      <c r="BD169" s="11" t="str">
        <f t="shared" ca="1" si="3"/>
        <v>Red Bull Salzburg</v>
      </c>
      <c r="BE169" s="2" t="str">
        <f t="shared" ca="1" si="4"/>
        <v>Austria</v>
      </c>
      <c r="BF169" s="2" t="e">
        <f t="shared" ca="1" si="5"/>
        <v>#NAME?</v>
      </c>
      <c r="BG169" s="2">
        <f t="shared" ca="1" si="6"/>
        <v>10</v>
      </c>
      <c r="BH169" s="2" t="s">
        <v>234</v>
      </c>
      <c r="BI169" s="2" t="s">
        <v>175</v>
      </c>
      <c r="BJ169" s="7">
        <v>1.375</v>
      </c>
      <c r="BK169" s="2">
        <v>2</v>
      </c>
      <c r="BL169" s="2">
        <f t="shared" si="10"/>
        <v>167</v>
      </c>
      <c r="BM169" s="2" t="str">
        <f t="shared" si="7"/>
        <v>Iskra Danilovgrad</v>
      </c>
      <c r="BN169" s="7">
        <f t="shared" ref="BN169:BO169" si="176">BJ169</f>
        <v>1.375</v>
      </c>
      <c r="BO169" s="2">
        <f t="shared" si="176"/>
        <v>2</v>
      </c>
      <c r="BS169" s="2" t="str">
        <f t="shared" si="9"/>
        <v>Montenegro</v>
      </c>
    </row>
    <row r="170" spans="1:71" ht="13.8" x14ac:dyDescent="0.45">
      <c r="A170" s="2" t="str">
        <f ca="1">IFERROR(__xludf.DUMMYFUNCTION("""COMPUTED_VALUE"""),"Red Star Belgrade")</f>
        <v>Red Star Belgrade</v>
      </c>
      <c r="B170" s="2">
        <f ca="1">IFERROR(__xludf.DUMMYFUNCTION("""COMPUTED_VALUE"""),0.81)</f>
        <v>0.81</v>
      </c>
      <c r="C170" s="2" t="str">
        <f ca="1">IFERROR(__xludf.DUMMYFUNCTION("""COMPUTED_VALUE"""),"Serbia")</f>
        <v>Serbia</v>
      </c>
      <c r="D170" s="2"/>
      <c r="E170" s="2"/>
      <c r="F170" s="2" t="str">
        <f ca="1">IFERROR(__xludf.DUMMYFUNCTION("""COMPUTED_VALUE"""),"X")</f>
        <v>X</v>
      </c>
      <c r="G170" s="2" t="str">
        <f ca="1">IFERROR(__xludf.DUMMYFUNCTION("""COMPUTED_VALUE"""),"X")</f>
        <v>X</v>
      </c>
      <c r="H170" s="2" t="str">
        <f ca="1">IFERROR(__xludf.DUMMYFUNCTION("""COMPUTED_VALUE"""),"X")</f>
        <v>X</v>
      </c>
      <c r="I170" s="2"/>
      <c r="J170" s="2"/>
      <c r="K170" s="2"/>
      <c r="L170" s="2"/>
      <c r="M170" s="2"/>
      <c r="N170" s="2"/>
      <c r="O170" s="5">
        <f ca="1">IFERROR(__xludf.DUMMYFUNCTION("""COMPUTED_VALUE"""),0)</f>
        <v>0</v>
      </c>
      <c r="P170" s="2">
        <f ca="1">IFERROR(__xludf.DUMMYFUNCTION("""COMPUTED_VALUE"""),0)</f>
        <v>0</v>
      </c>
      <c r="Q170" s="2">
        <f ca="1">IFERROR(__xludf.DUMMYFUNCTION("""COMPUTED_VALUE"""),2.26625)</f>
        <v>2.2662499999999999</v>
      </c>
      <c r="R170" s="2">
        <f ca="1">IFERROR(__xludf.DUMMYFUNCTION("""COMPUTED_VALUE"""),2.64)</f>
        <v>2.64</v>
      </c>
      <c r="S170" s="2">
        <f ca="1">IFERROR(__xludf.DUMMYFUNCTION("""COMPUTED_VALUE"""),0.82)</f>
        <v>0.82</v>
      </c>
      <c r="T170" s="2">
        <f ca="1">IFERROR(__xludf.DUMMYFUNCTION("""COMPUTED_VALUE"""),0)</f>
        <v>0</v>
      </c>
      <c r="U170" s="2">
        <f ca="1">IFERROR(__xludf.DUMMYFUNCTION("""COMPUTED_VALUE"""),0)</f>
        <v>0</v>
      </c>
      <c r="V170" s="2">
        <f ca="1">IFERROR(__xludf.DUMMYFUNCTION("""COMPUTED_VALUE"""),0)</f>
        <v>0</v>
      </c>
      <c r="W170" s="2">
        <f ca="1">IFERROR(__xludf.DUMMYFUNCTION("""COMPUTED_VALUE"""),0)</f>
        <v>0</v>
      </c>
      <c r="X170" s="2">
        <f ca="1">IFERROR(__xludf.DUMMYFUNCTION("""COMPUTED_VALUE"""),0)</f>
        <v>0</v>
      </c>
      <c r="Y170" s="2">
        <f ca="1">IFERROR(__xludf.DUMMYFUNCTION("""COMPUTED_VALUE"""),0)</f>
        <v>0</v>
      </c>
      <c r="AB170" s="2"/>
      <c r="AC170" s="2"/>
      <c r="AD170" s="2"/>
      <c r="AE170" s="2"/>
      <c r="AF170" s="2" t="str">
        <f ca="1">IFERROR(__xludf.DUMMYFUNCTION("""COMPUTED_VALUE"""),"X")</f>
        <v>X</v>
      </c>
      <c r="AG170" s="2" t="str">
        <f ca="1">IFERROR(__xludf.DUMMYFUNCTION("""COMPUTED_VALUE"""),"X")</f>
        <v>X</v>
      </c>
      <c r="AH170" s="2" t="str">
        <f ca="1">IFERROR(__xludf.DUMMYFUNCTION("""COMPUTED_VALUE"""),"X")</f>
        <v>X</v>
      </c>
      <c r="AI170" s="2"/>
      <c r="AJ170" s="2"/>
      <c r="AK170" s="2"/>
      <c r="AL170" s="2"/>
      <c r="AM170" s="2">
        <f ca="1">IFERROR(__xludf.DUMMYFUNCTION("""COMPUTED_VALUE"""),0)</f>
        <v>0</v>
      </c>
      <c r="AN170" s="2">
        <f ca="1">IFERROR(__xludf.DUMMYFUNCTION("""COMPUTED_VALUE"""),0)</f>
        <v>0</v>
      </c>
      <c r="AO170" s="2">
        <f ca="1">IFERROR(__xludf.DUMMYFUNCTION("""COMPUTED_VALUE"""),0)</f>
        <v>0</v>
      </c>
      <c r="AP170" s="2">
        <f ca="1">IFERROR(__xludf.DUMMYFUNCTION("""COMPUTED_VALUE"""),0)</f>
        <v>0</v>
      </c>
      <c r="AQ170" s="2">
        <f ca="1">IFERROR(__xludf.DUMMYFUNCTION("""COMPUTED_VALUE"""),2.31)</f>
        <v>2.31</v>
      </c>
      <c r="AR170" s="2">
        <f ca="1">IFERROR(__xludf.DUMMYFUNCTION("""COMPUTED_VALUE"""),15.49625)</f>
        <v>15.49625</v>
      </c>
      <c r="AS170" s="2">
        <f ca="1">IFERROR(__xludf.DUMMYFUNCTION("""COMPUTED_VALUE"""),3.67999999999999)</f>
        <v>3.6799999999999899</v>
      </c>
      <c r="AT170" s="2">
        <f ca="1">IFERROR(__xludf.DUMMYFUNCTION("""COMPUTED_VALUE"""),0)</f>
        <v>0</v>
      </c>
      <c r="AU170" s="2">
        <f ca="1">IFERROR(__xludf.DUMMYFUNCTION("""COMPUTED_VALUE"""),0)</f>
        <v>0</v>
      </c>
      <c r="AV170" s="2">
        <f ca="1">IFERROR(__xludf.DUMMYFUNCTION("""COMPUTED_VALUE"""),0)</f>
        <v>0</v>
      </c>
      <c r="AW170" s="2">
        <f ca="1">IFERROR(__xludf.DUMMYFUNCTION("""COMPUTED_VALUE"""),0)</f>
        <v>0</v>
      </c>
      <c r="AY170" s="2">
        <f t="shared" ca="1" si="0"/>
        <v>12</v>
      </c>
      <c r="AZ170" s="2" t="e">
        <f ca="1">IF(NOT(COUNTA(D170:J170)), _xludf.IFS(AL170="W", 'Round Bonuses'!$F$14, AL170="X", 'Round Bonuses'!$F$13, AK170="X", 'Round Bonuses'!$F$12, AJ170="X", 'Round Bonuses'!$F$11, AI170="X", 'Round Bonuses'!$F$10, AH170="X", 'Round Bonuses'!$F$9, AG170="X", 'Round Bonuses'!$F$8, AF170="X", 'Round Bonuses'!$F$7, AE170="X", 'Round Bonuses'!$F$6, AD170="X", 'Round Bonuses'!$F$5, AC170="X", 'Round Bonuses'!$F$4, AB170="X", 'Round Bonuses'!$F$3, TRUE, 0), IF(AA170="X", _xludf.IFS(AD170="X", 'Round Bonuses'!$E$4, AF170="X",'Round Bonuses'!$E$6,TRUE, 'Round Bonuses'!$E$7), 0) +IF(AB170="X", 'Round Bonuses'!$E$3, 0)+IF(AC170="X",'Round Bonuses'!$E$4, 0)+IF(AD170="X", 'Round Bonuses'!$E$5, 0)+IF(AE170="X", 'Round Bonuses'!$E$6, 0)+IF(AF170="X", 'Round Bonuses'!$E$7, 0)+IF(AG170="X", 'Round Bonuses'!$E$8, 0)+_xludf.IFS(AL170="W", 'Round Bonuses'!$G$14, AL170="X", 'Round Bonuses'!$G$13, AK170="X", 'Round Bonuses'!$G$12, AJ170="X", 'Round Bonuses'!$G$11, AI170="X", 'Round Bonuses'!$G$10, AH170="X", 'Round Bonuses'!$G$9, TRUE, 0))+_xludf.IFS(N170="W", 'Round Bonuses'!$C$13, N170="X", 'Round Bonuses'!$C$12, M170="X", 'Round Bonuses'!$C$11, L170="X", 'Round Bonuses'!$C$10, K170="X", 'Round Bonuses'!$C$9, J170="X", 'Round Bonuses'!$C$8, I170="X", 'Round Bonuses'!$C$7, H170="X", 'Round Bonuses'!$C$6, G170="X", 'Round Bonuses'!$C$5, F170="X", 'Round Bonuses'!$C$4, E170="X", 'Round Bonuses'!$C$3, D170="X", 'Round Bonuses'!$C$3, TRUE, 0)</f>
        <v>#NAME?</v>
      </c>
      <c r="BA170" s="2">
        <f t="shared" ca="1" si="1"/>
        <v>27.212499999999988</v>
      </c>
      <c r="BB170" s="10" t="e">
        <f t="shared" ca="1" si="2"/>
        <v>#NAME?</v>
      </c>
      <c r="BD170" s="11" t="str">
        <f t="shared" ca="1" si="3"/>
        <v>Red Star Belgrade</v>
      </c>
      <c r="BE170" s="2" t="str">
        <f t="shared" ca="1" si="4"/>
        <v>Serbia</v>
      </c>
      <c r="BF170" s="2" t="e">
        <f t="shared" ca="1" si="5"/>
        <v>#NAME?</v>
      </c>
      <c r="BG170" s="2">
        <f t="shared" ca="1" si="6"/>
        <v>12</v>
      </c>
      <c r="BH170" s="2" t="s">
        <v>235</v>
      </c>
      <c r="BI170" s="2" t="s">
        <v>46</v>
      </c>
      <c r="BJ170" s="7">
        <v>1.345</v>
      </c>
      <c r="BK170" s="2">
        <v>1</v>
      </c>
      <c r="BL170" s="2">
        <f t="shared" si="10"/>
        <v>168</v>
      </c>
      <c r="BM170" s="2" t="str">
        <f t="shared" si="7"/>
        <v>Aris</v>
      </c>
      <c r="BN170" s="7">
        <f t="shared" ref="BN170:BO170" si="177">BJ170</f>
        <v>1.345</v>
      </c>
      <c r="BO170" s="2">
        <f t="shared" si="177"/>
        <v>1</v>
      </c>
      <c r="BS170" s="2" t="str">
        <f t="shared" si="9"/>
        <v>Greece</v>
      </c>
    </row>
    <row r="171" spans="1:71" ht="13.8" x14ac:dyDescent="0.45">
      <c r="A171" s="2" t="str">
        <f ca="1">IFERROR(__xludf.DUMMYFUNCTION("""COMPUTED_VALUE"""),"Reims")</f>
        <v>Reims</v>
      </c>
      <c r="B171" s="2">
        <f ca="1">IFERROR(__xludf.DUMMYFUNCTION("""COMPUTED_VALUE"""),0.899999999999999)</f>
        <v>0.89999999999999902</v>
      </c>
      <c r="C171" s="2" t="str">
        <f ca="1">IFERROR(__xludf.DUMMYFUNCTION("""COMPUTED_VALUE"""),"France")</f>
        <v>France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5">
        <f ca="1">IFERROR(__xludf.DUMMYFUNCTION("""COMPUTED_VALUE"""),0)</f>
        <v>0</v>
      </c>
      <c r="P171" s="2">
        <f ca="1">IFERROR(__xludf.DUMMYFUNCTION("""COMPUTED_VALUE"""),0)</f>
        <v>0</v>
      </c>
      <c r="Q171" s="2">
        <f ca="1">IFERROR(__xludf.DUMMYFUNCTION("""COMPUTED_VALUE"""),0)</f>
        <v>0</v>
      </c>
      <c r="R171" s="2">
        <f ca="1">IFERROR(__xludf.DUMMYFUNCTION("""COMPUTED_VALUE"""),0)</f>
        <v>0</v>
      </c>
      <c r="S171" s="2">
        <f ca="1">IFERROR(__xludf.DUMMYFUNCTION("""COMPUTED_VALUE"""),0)</f>
        <v>0</v>
      </c>
      <c r="T171" s="2">
        <f ca="1">IFERROR(__xludf.DUMMYFUNCTION("""COMPUTED_VALUE"""),0)</f>
        <v>0</v>
      </c>
      <c r="U171" s="2">
        <f ca="1">IFERROR(__xludf.DUMMYFUNCTION("""COMPUTED_VALUE"""),0)</f>
        <v>0</v>
      </c>
      <c r="V171" s="2">
        <f ca="1">IFERROR(__xludf.DUMMYFUNCTION("""COMPUTED_VALUE"""),0)</f>
        <v>0</v>
      </c>
      <c r="W171" s="2">
        <f ca="1">IFERROR(__xludf.DUMMYFUNCTION("""COMPUTED_VALUE"""),0)</f>
        <v>0</v>
      </c>
      <c r="X171" s="2">
        <f ca="1">IFERROR(__xludf.DUMMYFUNCTION("""COMPUTED_VALUE"""),0)</f>
        <v>0</v>
      </c>
      <c r="Y171" s="2">
        <f ca="1">IFERROR(__xludf.DUMMYFUNCTION("""COMPUTED_VALUE"""),0)</f>
        <v>0</v>
      </c>
      <c r="AB171" s="2"/>
      <c r="AC171" s="2"/>
      <c r="AD171" s="2" t="str">
        <f ca="1">IFERROR(__xludf.DUMMYFUNCTION("""COMPUTED_VALUE"""),"X")</f>
        <v>X</v>
      </c>
      <c r="AE171" s="2" t="str">
        <f ca="1">IFERROR(__xludf.DUMMYFUNCTION("""COMPUTED_VALUE"""),"X")</f>
        <v>X</v>
      </c>
      <c r="AF171" s="2"/>
      <c r="AG171" s="2"/>
      <c r="AH171" s="2"/>
      <c r="AI171" s="2"/>
      <c r="AJ171" s="2"/>
      <c r="AK171" s="2"/>
      <c r="AL171" s="2"/>
      <c r="AM171" s="2">
        <f ca="1">IFERROR(__xludf.DUMMYFUNCTION("""COMPUTED_VALUE"""),0)</f>
        <v>0</v>
      </c>
      <c r="AN171" s="2">
        <f ca="1">IFERROR(__xludf.DUMMYFUNCTION("""COMPUTED_VALUE"""),0)</f>
        <v>0</v>
      </c>
      <c r="AO171" s="2">
        <f ca="1">IFERROR(__xludf.DUMMYFUNCTION("""COMPUTED_VALUE"""),3.3)</f>
        <v>3.3</v>
      </c>
      <c r="AP171" s="2">
        <f ca="1">IFERROR(__xludf.DUMMYFUNCTION("""COMPUTED_VALUE"""),0.659999999999999)</f>
        <v>0.65999999999999903</v>
      </c>
      <c r="AQ171" s="2">
        <f ca="1">IFERROR(__xludf.DUMMYFUNCTION("""COMPUTED_VALUE"""),0)</f>
        <v>0</v>
      </c>
      <c r="AR171" s="2">
        <f ca="1">IFERROR(__xludf.DUMMYFUNCTION("""COMPUTED_VALUE"""),0)</f>
        <v>0</v>
      </c>
      <c r="AS171" s="2">
        <f ca="1">IFERROR(__xludf.DUMMYFUNCTION("""COMPUTED_VALUE"""),0)</f>
        <v>0</v>
      </c>
      <c r="AT171" s="2">
        <f ca="1">IFERROR(__xludf.DUMMYFUNCTION("""COMPUTED_VALUE"""),0)</f>
        <v>0</v>
      </c>
      <c r="AU171" s="2">
        <f ca="1">IFERROR(__xludf.DUMMYFUNCTION("""COMPUTED_VALUE"""),0)</f>
        <v>0</v>
      </c>
      <c r="AV171" s="2">
        <f ca="1">IFERROR(__xludf.DUMMYFUNCTION("""COMPUTED_VALUE"""),0)</f>
        <v>0</v>
      </c>
      <c r="AW171" s="2">
        <f ca="1">IFERROR(__xludf.DUMMYFUNCTION("""COMPUTED_VALUE"""),0)</f>
        <v>0</v>
      </c>
      <c r="AY171" s="2">
        <f t="shared" ca="1" si="0"/>
        <v>2</v>
      </c>
      <c r="AZ171" s="2" t="e">
        <f ca="1">IF(NOT(COUNTA(D171:J171)), _xludf.IFS(AL171="W", 'Round Bonuses'!$F$14, AL171="X", 'Round Bonuses'!$F$13, AK171="X", 'Round Bonuses'!$F$12, AJ171="X", 'Round Bonuses'!$F$11, AI171="X", 'Round Bonuses'!$F$10, AH171="X", 'Round Bonuses'!$F$9, AG171="X", 'Round Bonuses'!$F$8, AF171="X", 'Round Bonuses'!$F$7, AE171="X", 'Round Bonuses'!$F$6, AD171="X", 'Round Bonuses'!$F$5, AC171="X", 'Round Bonuses'!$F$4, AB171="X", 'Round Bonuses'!$F$3, TRUE, 0), IF(AA171="X", _xludf.IFS(AD171="X", 'Round Bonuses'!$E$4, AF171="X",'Round Bonuses'!$E$6,TRUE, 'Round Bonuses'!$E$7), 0) +IF(AB171="X", 'Round Bonuses'!$E$3, 0)+IF(AC171="X",'Round Bonuses'!$E$4, 0)+IF(AD171="X", 'Round Bonuses'!$E$5, 0)+IF(AE171="X", 'Round Bonuses'!$E$6, 0)+IF(AF171="X", 'Round Bonuses'!$E$7, 0)+IF(AG171="X", 'Round Bonuses'!$E$8, 0)+_xludf.IFS(AL171="W", 'Round Bonuses'!$G$14, AL171="X", 'Round Bonuses'!$G$13, AK171="X", 'Round Bonuses'!$G$12, AJ171="X", 'Round Bonuses'!$G$11, AI171="X", 'Round Bonuses'!$G$10, AH171="X", 'Round Bonuses'!$G$9, TRUE, 0))+_xludf.IFS(N171="W", 'Round Bonuses'!$C$13, N171="X", 'Round Bonuses'!$C$12, M171="X", 'Round Bonuses'!$C$11, L171="X", 'Round Bonuses'!$C$10, K171="X", 'Round Bonuses'!$C$9, J171="X", 'Round Bonuses'!$C$8, I171="X", 'Round Bonuses'!$C$7, H171="X", 'Round Bonuses'!$C$6, G171="X", 'Round Bonuses'!$C$5, F171="X", 'Round Bonuses'!$C$4, E171="X", 'Round Bonuses'!$C$3, D171="X", 'Round Bonuses'!$C$3, TRUE, 0)</f>
        <v>#NAME?</v>
      </c>
      <c r="BA171" s="2">
        <f t="shared" ca="1" si="1"/>
        <v>3.9599999999999991</v>
      </c>
      <c r="BB171" s="10" t="e">
        <f t="shared" ca="1" si="2"/>
        <v>#NAME?</v>
      </c>
      <c r="BD171" s="11" t="str">
        <f t="shared" ca="1" si="3"/>
        <v>Reims</v>
      </c>
      <c r="BE171" s="2" t="str">
        <f t="shared" ca="1" si="4"/>
        <v>France</v>
      </c>
      <c r="BF171" s="2" t="e">
        <f t="shared" ca="1" si="5"/>
        <v>#NAME?</v>
      </c>
      <c r="BG171" s="2">
        <f t="shared" ca="1" si="6"/>
        <v>2</v>
      </c>
      <c r="BH171" s="2" t="s">
        <v>236</v>
      </c>
      <c r="BI171" s="2" t="s">
        <v>175</v>
      </c>
      <c r="BJ171" s="7">
        <v>1.3274999999999999</v>
      </c>
      <c r="BK171" s="2">
        <v>2</v>
      </c>
      <c r="BL171" s="2">
        <f t="shared" si="10"/>
        <v>169</v>
      </c>
      <c r="BM171" s="2" t="str">
        <f t="shared" si="7"/>
        <v>Zeta</v>
      </c>
      <c r="BN171" s="7">
        <f t="shared" ref="BN171:BO171" si="178">BJ171</f>
        <v>1.3274999999999999</v>
      </c>
      <c r="BO171" s="2">
        <f t="shared" si="178"/>
        <v>2</v>
      </c>
      <c r="BS171" s="2" t="str">
        <f t="shared" si="9"/>
        <v>Montenegro</v>
      </c>
    </row>
    <row r="172" spans="1:71" ht="13.8" x14ac:dyDescent="0.45">
      <c r="A172" s="2" t="str">
        <f ca="1">IFERROR(__xludf.DUMMYFUNCTION("""COMPUTED_VALUE"""),"Rennes")</f>
        <v>Rennes</v>
      </c>
      <c r="B172" s="2">
        <f ca="1">IFERROR(__xludf.DUMMYFUNCTION("""COMPUTED_VALUE"""),0.929999999999999)</f>
        <v>0.92999999999999905</v>
      </c>
      <c r="C172" s="2" t="str">
        <f ca="1">IFERROR(__xludf.DUMMYFUNCTION("""COMPUTED_VALUE"""),"France")</f>
        <v>France</v>
      </c>
      <c r="D172" s="2"/>
      <c r="E172" s="2"/>
      <c r="F172" s="2"/>
      <c r="G172" s="2"/>
      <c r="H172" s="2"/>
      <c r="I172" s="2"/>
      <c r="J172" s="2" t="str">
        <f ca="1">IFERROR(__xludf.DUMMYFUNCTION("""COMPUTED_VALUE"""),"X")</f>
        <v>X</v>
      </c>
      <c r="K172" s="2"/>
      <c r="L172" s="2"/>
      <c r="M172" s="2"/>
      <c r="N172" s="2"/>
      <c r="O172" s="5">
        <f ca="1">IFERROR(__xludf.DUMMYFUNCTION("""COMPUTED_VALUE"""),0)</f>
        <v>0</v>
      </c>
      <c r="P172" s="2">
        <f ca="1">IFERROR(__xludf.DUMMYFUNCTION("""COMPUTED_VALUE"""),0)</f>
        <v>0</v>
      </c>
      <c r="Q172" s="2">
        <f ca="1">IFERROR(__xludf.DUMMYFUNCTION("""COMPUTED_VALUE"""),0)</f>
        <v>0</v>
      </c>
      <c r="R172" s="2">
        <f ca="1">IFERROR(__xludf.DUMMYFUNCTION("""COMPUTED_VALUE"""),0)</f>
        <v>0</v>
      </c>
      <c r="S172" s="2">
        <f ca="1">IFERROR(__xludf.DUMMYFUNCTION("""COMPUTED_VALUE"""),0)</f>
        <v>0</v>
      </c>
      <c r="T172" s="2">
        <f ca="1">IFERROR(__xludf.DUMMYFUNCTION("""COMPUTED_VALUE"""),0)</f>
        <v>0</v>
      </c>
      <c r="U172" s="2">
        <f ca="1">IFERROR(__xludf.DUMMYFUNCTION("""COMPUTED_VALUE"""),5.58)</f>
        <v>5.58</v>
      </c>
      <c r="V172" s="2">
        <f ca="1">IFERROR(__xludf.DUMMYFUNCTION("""COMPUTED_VALUE"""),0)</f>
        <v>0</v>
      </c>
      <c r="W172" s="2">
        <f ca="1">IFERROR(__xludf.DUMMYFUNCTION("""COMPUTED_VALUE"""),0)</f>
        <v>0</v>
      </c>
      <c r="X172" s="2">
        <f ca="1">IFERROR(__xludf.DUMMYFUNCTION("""COMPUTED_VALUE"""),0)</f>
        <v>0</v>
      </c>
      <c r="Y172" s="2">
        <f ca="1">IFERROR(__xludf.DUMMYFUNCTION("""COMPUTED_VALUE"""),0)</f>
        <v>0</v>
      </c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>
        <f ca="1">IFERROR(__xludf.DUMMYFUNCTION("""COMPUTED_VALUE"""),0)</f>
        <v>0</v>
      </c>
      <c r="AN172" s="2">
        <f ca="1">IFERROR(__xludf.DUMMYFUNCTION("""COMPUTED_VALUE"""),0)</f>
        <v>0</v>
      </c>
      <c r="AO172" s="2">
        <f ca="1">IFERROR(__xludf.DUMMYFUNCTION("""COMPUTED_VALUE"""),0)</f>
        <v>0</v>
      </c>
      <c r="AP172" s="2">
        <f ca="1">IFERROR(__xludf.DUMMYFUNCTION("""COMPUTED_VALUE"""),0)</f>
        <v>0</v>
      </c>
      <c r="AQ172" s="2">
        <f ca="1">IFERROR(__xludf.DUMMYFUNCTION("""COMPUTED_VALUE"""),0)</f>
        <v>0</v>
      </c>
      <c r="AR172" s="2">
        <f ca="1">IFERROR(__xludf.DUMMYFUNCTION("""COMPUTED_VALUE"""),0)</f>
        <v>0</v>
      </c>
      <c r="AS172" s="2">
        <f ca="1">IFERROR(__xludf.DUMMYFUNCTION("""COMPUTED_VALUE"""),0)</f>
        <v>0</v>
      </c>
      <c r="AT172" s="2">
        <f ca="1">IFERROR(__xludf.DUMMYFUNCTION("""COMPUTED_VALUE"""),0)</f>
        <v>0</v>
      </c>
      <c r="AU172" s="2">
        <f ca="1">IFERROR(__xludf.DUMMYFUNCTION("""COMPUTED_VALUE"""),0)</f>
        <v>0</v>
      </c>
      <c r="AV172" s="2">
        <f ca="1">IFERROR(__xludf.DUMMYFUNCTION("""COMPUTED_VALUE"""),0)</f>
        <v>0</v>
      </c>
      <c r="AW172" s="2">
        <f ca="1">IFERROR(__xludf.DUMMYFUNCTION("""COMPUTED_VALUE"""),0)</f>
        <v>0</v>
      </c>
      <c r="AY172" s="2">
        <f t="shared" ca="1" si="0"/>
        <v>6</v>
      </c>
      <c r="AZ172" s="2" t="e">
        <f ca="1">IF(NOT(COUNTA(D172:J172)), _xludf.IFS(AL172="W", 'Round Bonuses'!$F$14, AL172="X", 'Round Bonuses'!$F$13, AK172="X", 'Round Bonuses'!$F$12, AJ172="X", 'Round Bonuses'!$F$11, AI172="X", 'Round Bonuses'!$F$10, AH172="X", 'Round Bonuses'!$F$9, AG172="X", 'Round Bonuses'!$F$8, AF172="X", 'Round Bonuses'!$F$7, AE172="X", 'Round Bonuses'!$F$6, AD172="X", 'Round Bonuses'!$F$5, AC172="X", 'Round Bonuses'!$F$4, AB172="X", 'Round Bonuses'!$F$3, TRUE, 0), IF(AA172="X", _xludf.IFS(AD172="X", 'Round Bonuses'!$E$4, AF172="X",'Round Bonuses'!$E$6,TRUE, 'Round Bonuses'!$E$7), 0) +IF(AB172="X", 'Round Bonuses'!$E$3, 0)+IF(AC172="X",'Round Bonuses'!$E$4, 0)+IF(AD172="X", 'Round Bonuses'!$E$5, 0)+IF(AE172="X", 'Round Bonuses'!$E$6, 0)+IF(AF172="X", 'Round Bonuses'!$E$7, 0)+IF(AG172="X", 'Round Bonuses'!$E$8, 0)+_xludf.IFS(AL172="W", 'Round Bonuses'!$G$14, AL172="X", 'Round Bonuses'!$G$13, AK172="X", 'Round Bonuses'!$G$12, AJ172="X", 'Round Bonuses'!$G$11, AI172="X", 'Round Bonuses'!$G$10, AH172="X", 'Round Bonuses'!$G$9, TRUE, 0))+_xludf.IFS(N172="W", 'Round Bonuses'!$C$13, N172="X", 'Round Bonuses'!$C$12, M172="X", 'Round Bonuses'!$C$11, L172="X", 'Round Bonuses'!$C$10, K172="X", 'Round Bonuses'!$C$9, J172="X", 'Round Bonuses'!$C$8, I172="X", 'Round Bonuses'!$C$7, H172="X", 'Round Bonuses'!$C$6, G172="X", 'Round Bonuses'!$C$5, F172="X", 'Round Bonuses'!$C$4, E172="X", 'Round Bonuses'!$C$3, D172="X", 'Round Bonuses'!$C$3, TRUE, 0)</f>
        <v>#NAME?</v>
      </c>
      <c r="BA172" s="2">
        <f t="shared" ca="1" si="1"/>
        <v>5.58</v>
      </c>
      <c r="BB172" s="10" t="e">
        <f t="shared" ca="1" si="2"/>
        <v>#NAME?</v>
      </c>
      <c r="BD172" s="11" t="str">
        <f t="shared" ca="1" si="3"/>
        <v>Rennes</v>
      </c>
      <c r="BE172" s="2" t="str">
        <f t="shared" ca="1" si="4"/>
        <v>France</v>
      </c>
      <c r="BF172" s="2" t="e">
        <f t="shared" ca="1" si="5"/>
        <v>#NAME?</v>
      </c>
      <c r="BG172" s="2">
        <f t="shared" ca="1" si="6"/>
        <v>6</v>
      </c>
      <c r="BH172" s="2" t="s">
        <v>237</v>
      </c>
      <c r="BI172" s="2" t="s">
        <v>210</v>
      </c>
      <c r="BJ172" s="7">
        <v>1.3199999999999998</v>
      </c>
      <c r="BK172" s="2">
        <v>2</v>
      </c>
      <c r="BL172" s="2">
        <f t="shared" si="10"/>
        <v>170</v>
      </c>
      <c r="BM172" s="2" t="str">
        <f t="shared" si="7"/>
        <v>Europa</v>
      </c>
      <c r="BN172" s="7">
        <f t="shared" ref="BN172:BO172" si="179">BJ172</f>
        <v>1.3199999999999998</v>
      </c>
      <c r="BO172" s="2">
        <f t="shared" si="179"/>
        <v>2</v>
      </c>
      <c r="BS172" s="2" t="str">
        <f t="shared" si="9"/>
        <v>Gibraltar</v>
      </c>
    </row>
    <row r="173" spans="1:71" ht="13.8" x14ac:dyDescent="0.45">
      <c r="A173" s="2" t="str">
        <f ca="1">IFERROR(__xludf.DUMMYFUNCTION("""COMPUTED_VALUE"""),"Renova")</f>
        <v>Renova</v>
      </c>
      <c r="B173" s="2">
        <f ca="1">IFERROR(__xludf.DUMMYFUNCTION("""COMPUTED_VALUE"""),0.629999999999999)</f>
        <v>0.62999999999999901</v>
      </c>
      <c r="C173" s="2" t="str">
        <f ca="1">IFERROR(__xludf.DUMMYFUNCTION("""COMPUTED_VALUE"""),"North Macedonia")</f>
        <v>North Macedonia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5">
        <f ca="1">IFERROR(__xludf.DUMMYFUNCTION("""COMPUTED_VALUE"""),0)</f>
        <v>0</v>
      </c>
      <c r="P173" s="2">
        <f ca="1">IFERROR(__xludf.DUMMYFUNCTION("""COMPUTED_VALUE"""),0)</f>
        <v>0</v>
      </c>
      <c r="Q173" s="2">
        <f ca="1">IFERROR(__xludf.DUMMYFUNCTION("""COMPUTED_VALUE"""),0)</f>
        <v>0</v>
      </c>
      <c r="R173" s="2">
        <f ca="1">IFERROR(__xludf.DUMMYFUNCTION("""COMPUTED_VALUE"""),0)</f>
        <v>0</v>
      </c>
      <c r="S173" s="2">
        <f ca="1">IFERROR(__xludf.DUMMYFUNCTION("""COMPUTED_VALUE"""),0)</f>
        <v>0</v>
      </c>
      <c r="T173" s="2">
        <f ca="1">IFERROR(__xludf.DUMMYFUNCTION("""COMPUTED_VALUE"""),0)</f>
        <v>0</v>
      </c>
      <c r="U173" s="2">
        <f ca="1">IFERROR(__xludf.DUMMYFUNCTION("""COMPUTED_VALUE"""),0)</f>
        <v>0</v>
      </c>
      <c r="V173" s="2">
        <f ca="1">IFERROR(__xludf.DUMMYFUNCTION("""COMPUTED_VALUE"""),0)</f>
        <v>0</v>
      </c>
      <c r="W173" s="2">
        <f ca="1">IFERROR(__xludf.DUMMYFUNCTION("""COMPUTED_VALUE"""),0)</f>
        <v>0</v>
      </c>
      <c r="X173" s="2">
        <f ca="1">IFERROR(__xludf.DUMMYFUNCTION("""COMPUTED_VALUE"""),0)</f>
        <v>0</v>
      </c>
      <c r="Y173" s="2">
        <f ca="1">IFERROR(__xludf.DUMMYFUNCTION("""COMPUTED_VALUE"""),0)</f>
        <v>0</v>
      </c>
      <c r="AB173" s="2"/>
      <c r="AC173" s="2" t="str">
        <f ca="1">IFERROR(__xludf.DUMMYFUNCTION("""COMPUTED_VALUE"""),"X")</f>
        <v>X</v>
      </c>
      <c r="AD173" s="2" t="str">
        <f ca="1">IFERROR(__xludf.DUMMYFUNCTION("""COMPUTED_VALUE"""),"X")</f>
        <v>X</v>
      </c>
      <c r="AE173" s="2"/>
      <c r="AF173" s="2"/>
      <c r="AG173" s="2"/>
      <c r="AH173" s="2"/>
      <c r="AI173" s="2"/>
      <c r="AJ173" s="2"/>
      <c r="AK173" s="2"/>
      <c r="AL173" s="2"/>
      <c r="AM173" s="2">
        <f ca="1">IFERROR(__xludf.DUMMYFUNCTION("""COMPUTED_VALUE"""),0)</f>
        <v>0</v>
      </c>
      <c r="AN173" s="2">
        <f ca="1">IFERROR(__xludf.DUMMYFUNCTION("""COMPUTED_VALUE"""),2.2275)</f>
        <v>2.2275</v>
      </c>
      <c r="AO173" s="2">
        <f ca="1">IFERROR(__xludf.DUMMYFUNCTION("""COMPUTED_VALUE"""),0.684999999999999)</f>
        <v>0.68499999999999905</v>
      </c>
      <c r="AP173" s="2">
        <f ca="1">IFERROR(__xludf.DUMMYFUNCTION("""COMPUTED_VALUE"""),0)</f>
        <v>0</v>
      </c>
      <c r="AQ173" s="2">
        <f ca="1">IFERROR(__xludf.DUMMYFUNCTION("""COMPUTED_VALUE"""),0)</f>
        <v>0</v>
      </c>
      <c r="AR173" s="2">
        <f ca="1">IFERROR(__xludf.DUMMYFUNCTION("""COMPUTED_VALUE"""),0)</f>
        <v>0</v>
      </c>
      <c r="AS173" s="2">
        <f ca="1">IFERROR(__xludf.DUMMYFUNCTION("""COMPUTED_VALUE"""),0)</f>
        <v>0</v>
      </c>
      <c r="AT173" s="2">
        <f ca="1">IFERROR(__xludf.DUMMYFUNCTION("""COMPUTED_VALUE"""),0)</f>
        <v>0</v>
      </c>
      <c r="AU173" s="2">
        <f ca="1">IFERROR(__xludf.DUMMYFUNCTION("""COMPUTED_VALUE"""),0)</f>
        <v>0</v>
      </c>
      <c r="AV173" s="2">
        <f ca="1">IFERROR(__xludf.DUMMYFUNCTION("""COMPUTED_VALUE"""),0)</f>
        <v>0</v>
      </c>
      <c r="AW173" s="2">
        <f ca="1">IFERROR(__xludf.DUMMYFUNCTION("""COMPUTED_VALUE"""),0)</f>
        <v>0</v>
      </c>
      <c r="AY173" s="2">
        <f t="shared" ca="1" si="0"/>
        <v>2</v>
      </c>
      <c r="AZ173" s="2" t="e">
        <f ca="1">IF(NOT(COUNTA(D173:J173)), _xludf.IFS(AL173="W", 'Round Bonuses'!$F$14, AL173="X", 'Round Bonuses'!$F$13, AK173="X", 'Round Bonuses'!$F$12, AJ173="X", 'Round Bonuses'!$F$11, AI173="X", 'Round Bonuses'!$F$10, AH173="X", 'Round Bonuses'!$F$9, AG173="X", 'Round Bonuses'!$F$8, AF173="X", 'Round Bonuses'!$F$7, AE173="X", 'Round Bonuses'!$F$6, AD173="X", 'Round Bonuses'!$F$5, AC173="X", 'Round Bonuses'!$F$4, AB173="X", 'Round Bonuses'!$F$3, TRUE, 0), IF(AA173="X", _xludf.IFS(AD173="X", 'Round Bonuses'!$E$4, AF173="X",'Round Bonuses'!$E$6,TRUE, 'Round Bonuses'!$E$7), 0) +IF(AB173="X", 'Round Bonuses'!$E$3, 0)+IF(AC173="X",'Round Bonuses'!$E$4, 0)+IF(AD173="X", 'Round Bonuses'!$E$5, 0)+IF(AE173="X", 'Round Bonuses'!$E$6, 0)+IF(AF173="X", 'Round Bonuses'!$E$7, 0)+IF(AG173="X", 'Round Bonuses'!$E$8, 0)+_xludf.IFS(AL173="W", 'Round Bonuses'!$G$14, AL173="X", 'Round Bonuses'!$G$13, AK173="X", 'Round Bonuses'!$G$12, AJ173="X", 'Round Bonuses'!$G$11, AI173="X", 'Round Bonuses'!$G$10, AH173="X", 'Round Bonuses'!$G$9, TRUE, 0))+_xludf.IFS(N173="W", 'Round Bonuses'!$C$13, N173="X", 'Round Bonuses'!$C$12, M173="X", 'Round Bonuses'!$C$11, L173="X", 'Round Bonuses'!$C$10, K173="X", 'Round Bonuses'!$C$9, J173="X", 'Round Bonuses'!$C$8, I173="X", 'Round Bonuses'!$C$7, H173="X", 'Round Bonuses'!$C$6, G173="X", 'Round Bonuses'!$C$5, F173="X", 'Round Bonuses'!$C$4, E173="X", 'Round Bonuses'!$C$3, D173="X", 'Round Bonuses'!$C$3, TRUE, 0)</f>
        <v>#NAME?</v>
      </c>
      <c r="BA173" s="2">
        <f t="shared" ca="1" si="1"/>
        <v>2.9124999999999992</v>
      </c>
      <c r="BB173" s="10" t="e">
        <f t="shared" ca="1" si="2"/>
        <v>#NAME?</v>
      </c>
      <c r="BD173" s="11" t="str">
        <f t="shared" ca="1" si="3"/>
        <v>Renova</v>
      </c>
      <c r="BE173" s="2" t="str">
        <f t="shared" ca="1" si="4"/>
        <v>North Macedonia</v>
      </c>
      <c r="BF173" s="2" t="e">
        <f t="shared" ca="1" si="5"/>
        <v>#NAME?</v>
      </c>
      <c r="BG173" s="2">
        <f t="shared" ca="1" si="6"/>
        <v>2</v>
      </c>
      <c r="BH173" s="2" t="s">
        <v>238</v>
      </c>
      <c r="BI173" s="2" t="s">
        <v>225</v>
      </c>
      <c r="BJ173" s="7">
        <v>1.3174999999999999</v>
      </c>
      <c r="BK173" s="2">
        <v>2</v>
      </c>
      <c r="BL173" s="2">
        <f t="shared" si="10"/>
        <v>171</v>
      </c>
      <c r="BM173" s="2" t="str">
        <f t="shared" si="7"/>
        <v>Fola Esch</v>
      </c>
      <c r="BN173" s="7">
        <f t="shared" ref="BN173:BO173" si="180">BJ173</f>
        <v>1.3174999999999999</v>
      </c>
      <c r="BO173" s="2">
        <f t="shared" si="180"/>
        <v>2</v>
      </c>
      <c r="BS173" s="2" t="str">
        <f t="shared" si="9"/>
        <v>Luxembourg</v>
      </c>
    </row>
    <row r="174" spans="1:71" ht="13.8" x14ac:dyDescent="0.45">
      <c r="A174" s="2" t="str">
        <f ca="1">IFERROR(__xludf.DUMMYFUNCTION("""COMPUTED_VALUE"""),"RFS")</f>
        <v>RFS</v>
      </c>
      <c r="B174" s="2">
        <f ca="1">IFERROR(__xludf.DUMMYFUNCTION("""COMPUTED_VALUE"""),0.56)</f>
        <v>0.56000000000000005</v>
      </c>
      <c r="C174" s="2" t="str">
        <f ca="1">IFERROR(__xludf.DUMMYFUNCTION("""COMPUTED_VALUE"""),"Latvia")</f>
        <v>Latvia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5">
        <f ca="1">IFERROR(__xludf.DUMMYFUNCTION("""COMPUTED_VALUE"""),0)</f>
        <v>0</v>
      </c>
      <c r="P174" s="2">
        <f ca="1">IFERROR(__xludf.DUMMYFUNCTION("""COMPUTED_VALUE"""),0)</f>
        <v>0</v>
      </c>
      <c r="Q174" s="2">
        <f ca="1">IFERROR(__xludf.DUMMYFUNCTION("""COMPUTED_VALUE"""),0)</f>
        <v>0</v>
      </c>
      <c r="R174" s="2">
        <f ca="1">IFERROR(__xludf.DUMMYFUNCTION("""COMPUTED_VALUE"""),0)</f>
        <v>0</v>
      </c>
      <c r="S174" s="2">
        <f ca="1">IFERROR(__xludf.DUMMYFUNCTION("""COMPUTED_VALUE"""),0)</f>
        <v>0</v>
      </c>
      <c r="T174" s="2">
        <f ca="1">IFERROR(__xludf.DUMMYFUNCTION("""COMPUTED_VALUE"""),0)</f>
        <v>0</v>
      </c>
      <c r="U174" s="2">
        <f ca="1">IFERROR(__xludf.DUMMYFUNCTION("""COMPUTED_VALUE"""),0)</f>
        <v>0</v>
      </c>
      <c r="V174" s="2">
        <f ca="1">IFERROR(__xludf.DUMMYFUNCTION("""COMPUTED_VALUE"""),0)</f>
        <v>0</v>
      </c>
      <c r="W174" s="2">
        <f ca="1">IFERROR(__xludf.DUMMYFUNCTION("""COMPUTED_VALUE"""),0)</f>
        <v>0</v>
      </c>
      <c r="X174" s="2">
        <f ca="1">IFERROR(__xludf.DUMMYFUNCTION("""COMPUTED_VALUE"""),0)</f>
        <v>0</v>
      </c>
      <c r="Y174" s="2">
        <f ca="1">IFERROR(__xludf.DUMMYFUNCTION("""COMPUTED_VALUE"""),0)</f>
        <v>0</v>
      </c>
      <c r="AB174" s="2"/>
      <c r="AC174" s="2" t="str">
        <f ca="1">IFERROR(__xludf.DUMMYFUNCTION("""COMPUTED_VALUE"""),"X")</f>
        <v>X</v>
      </c>
      <c r="AD174" s="2"/>
      <c r="AE174" s="2"/>
      <c r="AF174" s="2"/>
      <c r="AG174" s="2"/>
      <c r="AH174" s="2"/>
      <c r="AI174" s="2"/>
      <c r="AJ174" s="2"/>
      <c r="AK174" s="2"/>
      <c r="AL174" s="2"/>
      <c r="AM174" s="2">
        <f ca="1">IFERROR(__xludf.DUMMYFUNCTION("""COMPUTED_VALUE"""),0)</f>
        <v>0</v>
      </c>
      <c r="AN174" s="2">
        <f ca="1">IFERROR(__xludf.DUMMYFUNCTION("""COMPUTED_VALUE"""),0.675)</f>
        <v>0.67500000000000004</v>
      </c>
      <c r="AO174" s="2">
        <f ca="1">IFERROR(__xludf.DUMMYFUNCTION("""COMPUTED_VALUE"""),0)</f>
        <v>0</v>
      </c>
      <c r="AP174" s="2">
        <f ca="1">IFERROR(__xludf.DUMMYFUNCTION("""COMPUTED_VALUE"""),0)</f>
        <v>0</v>
      </c>
      <c r="AQ174" s="2">
        <f ca="1">IFERROR(__xludf.DUMMYFUNCTION("""COMPUTED_VALUE"""),0)</f>
        <v>0</v>
      </c>
      <c r="AR174" s="2">
        <f ca="1">IFERROR(__xludf.DUMMYFUNCTION("""COMPUTED_VALUE"""),0)</f>
        <v>0</v>
      </c>
      <c r="AS174" s="2">
        <f ca="1">IFERROR(__xludf.DUMMYFUNCTION("""COMPUTED_VALUE"""),0)</f>
        <v>0</v>
      </c>
      <c r="AT174" s="2">
        <f ca="1">IFERROR(__xludf.DUMMYFUNCTION("""COMPUTED_VALUE"""),0)</f>
        <v>0</v>
      </c>
      <c r="AU174" s="2">
        <f ca="1">IFERROR(__xludf.DUMMYFUNCTION("""COMPUTED_VALUE"""),0)</f>
        <v>0</v>
      </c>
      <c r="AV174" s="2">
        <f ca="1">IFERROR(__xludf.DUMMYFUNCTION("""COMPUTED_VALUE"""),0)</f>
        <v>0</v>
      </c>
      <c r="AW174" s="2">
        <f ca="1">IFERROR(__xludf.DUMMYFUNCTION("""COMPUTED_VALUE"""),0)</f>
        <v>0</v>
      </c>
      <c r="AY174" s="2">
        <f t="shared" ca="1" si="0"/>
        <v>1</v>
      </c>
      <c r="AZ174" s="2" t="e">
        <f ca="1">IF(NOT(COUNTA(D174:J174)), _xludf.IFS(AL174="W", 'Round Bonuses'!$F$14, AL174="X", 'Round Bonuses'!$F$13, AK174="X", 'Round Bonuses'!$F$12, AJ174="X", 'Round Bonuses'!$F$11, AI174="X", 'Round Bonuses'!$F$10, AH174="X", 'Round Bonuses'!$F$9, AG174="X", 'Round Bonuses'!$F$8, AF174="X", 'Round Bonuses'!$F$7, AE174="X", 'Round Bonuses'!$F$6, AD174="X", 'Round Bonuses'!$F$5, AC174="X", 'Round Bonuses'!$F$4, AB174="X", 'Round Bonuses'!$F$3, TRUE, 0), IF(AA174="X", _xludf.IFS(AD174="X", 'Round Bonuses'!$E$4, AF174="X",'Round Bonuses'!$E$6,TRUE, 'Round Bonuses'!$E$7), 0) +IF(AB174="X", 'Round Bonuses'!$E$3, 0)+IF(AC174="X",'Round Bonuses'!$E$4, 0)+IF(AD174="X", 'Round Bonuses'!$E$5, 0)+IF(AE174="X", 'Round Bonuses'!$E$6, 0)+IF(AF174="X", 'Round Bonuses'!$E$7, 0)+IF(AG174="X", 'Round Bonuses'!$E$8, 0)+_xludf.IFS(AL174="W", 'Round Bonuses'!$G$14, AL174="X", 'Round Bonuses'!$G$13, AK174="X", 'Round Bonuses'!$G$12, AJ174="X", 'Round Bonuses'!$G$11, AI174="X", 'Round Bonuses'!$G$10, AH174="X", 'Round Bonuses'!$G$9, TRUE, 0))+_xludf.IFS(N174="W", 'Round Bonuses'!$C$13, N174="X", 'Round Bonuses'!$C$12, M174="X", 'Round Bonuses'!$C$11, L174="X", 'Round Bonuses'!$C$10, K174="X", 'Round Bonuses'!$C$9, J174="X", 'Round Bonuses'!$C$8, I174="X", 'Round Bonuses'!$C$7, H174="X", 'Round Bonuses'!$C$6, G174="X", 'Round Bonuses'!$C$5, F174="X", 'Round Bonuses'!$C$4, E174="X", 'Round Bonuses'!$C$3, D174="X", 'Round Bonuses'!$C$3, TRUE, 0)</f>
        <v>#NAME?</v>
      </c>
      <c r="BA174" s="2">
        <f t="shared" ca="1" si="1"/>
        <v>0.67500000000000004</v>
      </c>
      <c r="BB174" s="10" t="e">
        <f t="shared" ca="1" si="2"/>
        <v>#NAME?</v>
      </c>
      <c r="BD174" s="11" t="str">
        <f t="shared" ca="1" si="3"/>
        <v>RFS</v>
      </c>
      <c r="BE174" s="2" t="str">
        <f t="shared" ca="1" si="4"/>
        <v>Latvia</v>
      </c>
      <c r="BF174" s="2" t="e">
        <f t="shared" ca="1" si="5"/>
        <v>#NAME?</v>
      </c>
      <c r="BG174" s="2">
        <f t="shared" ca="1" si="6"/>
        <v>1</v>
      </c>
      <c r="BH174" s="2" t="s">
        <v>239</v>
      </c>
      <c r="BI174" s="2" t="s">
        <v>126</v>
      </c>
      <c r="BJ174" s="7">
        <v>1.3049999999999999</v>
      </c>
      <c r="BK174" s="2">
        <v>1</v>
      </c>
      <c r="BL174" s="2">
        <f t="shared" si="10"/>
        <v>172</v>
      </c>
      <c r="BM174" s="2" t="str">
        <f t="shared" si="7"/>
        <v>IFK Göteborg</v>
      </c>
      <c r="BN174" s="7">
        <f t="shared" ref="BN174:BO174" si="181">BJ174</f>
        <v>1.3049999999999999</v>
      </c>
      <c r="BO174" s="2">
        <f t="shared" si="181"/>
        <v>1</v>
      </c>
      <c r="BS174" s="2" t="str">
        <f t="shared" si="9"/>
        <v>Sweden</v>
      </c>
    </row>
    <row r="175" spans="1:71" ht="13.8" x14ac:dyDescent="0.45">
      <c r="A175" s="2" t="str">
        <f ca="1">IFERROR(__xludf.DUMMYFUNCTION("""COMPUTED_VALUE"""),"Riga")</f>
        <v>Riga</v>
      </c>
      <c r="B175" s="2">
        <f ca="1">IFERROR(__xludf.DUMMYFUNCTION("""COMPUTED_VALUE"""),0.58)</f>
        <v>0.57999999999999996</v>
      </c>
      <c r="C175" s="2" t="str">
        <f ca="1">IFERROR(__xludf.DUMMYFUNCTION("""COMPUTED_VALUE"""),"Latvia")</f>
        <v>Latvia</v>
      </c>
      <c r="D175" s="2"/>
      <c r="E175" s="2"/>
      <c r="F175" s="2" t="str">
        <f ca="1">IFERROR(__xludf.DUMMYFUNCTION("""COMPUTED_VALUE"""),"X")</f>
        <v>X</v>
      </c>
      <c r="G175" s="2"/>
      <c r="H175" s="2"/>
      <c r="I175" s="2"/>
      <c r="J175" s="2"/>
      <c r="K175" s="2"/>
      <c r="L175" s="2"/>
      <c r="M175" s="2"/>
      <c r="N175" s="2"/>
      <c r="O175" s="5">
        <f ca="1">IFERROR(__xludf.DUMMYFUNCTION("""COMPUTED_VALUE"""),0)</f>
        <v>0</v>
      </c>
      <c r="P175" s="2">
        <f ca="1">IFERROR(__xludf.DUMMYFUNCTION("""COMPUTED_VALUE"""),0)</f>
        <v>0</v>
      </c>
      <c r="Q175" s="2">
        <f ca="1">IFERROR(__xludf.DUMMYFUNCTION("""COMPUTED_VALUE"""),0.48)</f>
        <v>0.48</v>
      </c>
      <c r="R175" s="2">
        <f ca="1">IFERROR(__xludf.DUMMYFUNCTION("""COMPUTED_VALUE"""),0)</f>
        <v>0</v>
      </c>
      <c r="S175" s="2">
        <f ca="1">IFERROR(__xludf.DUMMYFUNCTION("""COMPUTED_VALUE"""),0)</f>
        <v>0</v>
      </c>
      <c r="T175" s="2">
        <f ca="1">IFERROR(__xludf.DUMMYFUNCTION("""COMPUTED_VALUE"""),0)</f>
        <v>0</v>
      </c>
      <c r="U175" s="2">
        <f ca="1">IFERROR(__xludf.DUMMYFUNCTION("""COMPUTED_VALUE"""),0)</f>
        <v>0</v>
      </c>
      <c r="V175" s="2">
        <f ca="1">IFERROR(__xludf.DUMMYFUNCTION("""COMPUTED_VALUE"""),0)</f>
        <v>0</v>
      </c>
      <c r="W175" s="2">
        <f ca="1">IFERROR(__xludf.DUMMYFUNCTION("""COMPUTED_VALUE"""),0)</f>
        <v>0</v>
      </c>
      <c r="X175" s="2">
        <f ca="1">IFERROR(__xludf.DUMMYFUNCTION("""COMPUTED_VALUE"""),0)</f>
        <v>0</v>
      </c>
      <c r="Y175" s="2">
        <f ca="1">IFERROR(__xludf.DUMMYFUNCTION("""COMPUTED_VALUE"""),0)</f>
        <v>0</v>
      </c>
      <c r="AB175" s="2"/>
      <c r="AC175" s="2"/>
      <c r="AD175" s="2" t="str">
        <f ca="1">IFERROR(__xludf.DUMMYFUNCTION("""COMPUTED_VALUE"""),"X")</f>
        <v>X</v>
      </c>
      <c r="AE175" s="2" t="str">
        <f ca="1">IFERROR(__xludf.DUMMYFUNCTION("""COMPUTED_VALUE"""),"X")</f>
        <v>X</v>
      </c>
      <c r="AF175" s="2"/>
      <c r="AG175" s="2"/>
      <c r="AH175" s="2"/>
      <c r="AI175" s="2"/>
      <c r="AJ175" s="2"/>
      <c r="AK175" s="2"/>
      <c r="AL175" s="2"/>
      <c r="AM175" s="2">
        <f ca="1">IFERROR(__xludf.DUMMYFUNCTION("""COMPUTED_VALUE"""),0)</f>
        <v>0</v>
      </c>
      <c r="AN175" s="2">
        <f ca="1">IFERROR(__xludf.DUMMYFUNCTION("""COMPUTED_VALUE"""),0)</f>
        <v>0</v>
      </c>
      <c r="AO175" s="2">
        <f ca="1">IFERROR(__xludf.DUMMYFUNCTION("""COMPUTED_VALUE"""),1.85624999999999)</f>
        <v>1.85624999999999</v>
      </c>
      <c r="AP175" s="2">
        <f ca="1">IFERROR(__xludf.DUMMYFUNCTION("""COMPUTED_VALUE"""),0.675)</f>
        <v>0.67500000000000004</v>
      </c>
      <c r="AQ175" s="2">
        <f ca="1">IFERROR(__xludf.DUMMYFUNCTION("""COMPUTED_VALUE"""),0)</f>
        <v>0</v>
      </c>
      <c r="AR175" s="2">
        <f ca="1">IFERROR(__xludf.DUMMYFUNCTION("""COMPUTED_VALUE"""),0)</f>
        <v>0</v>
      </c>
      <c r="AS175" s="2">
        <f ca="1">IFERROR(__xludf.DUMMYFUNCTION("""COMPUTED_VALUE"""),0)</f>
        <v>0</v>
      </c>
      <c r="AT175" s="2">
        <f ca="1">IFERROR(__xludf.DUMMYFUNCTION("""COMPUTED_VALUE"""),0)</f>
        <v>0</v>
      </c>
      <c r="AU175" s="2">
        <f ca="1">IFERROR(__xludf.DUMMYFUNCTION("""COMPUTED_VALUE"""),0)</f>
        <v>0</v>
      </c>
      <c r="AV175" s="2">
        <f ca="1">IFERROR(__xludf.DUMMYFUNCTION("""COMPUTED_VALUE"""),0)</f>
        <v>0</v>
      </c>
      <c r="AW175" s="2">
        <f ca="1">IFERROR(__xludf.DUMMYFUNCTION("""COMPUTED_VALUE"""),0)</f>
        <v>0</v>
      </c>
      <c r="AY175" s="2">
        <f t="shared" ca="1" si="0"/>
        <v>3</v>
      </c>
      <c r="AZ175" s="2" t="e">
        <f ca="1">IF(NOT(COUNTA(D175:J175)), _xludf.IFS(AL175="W", 'Round Bonuses'!$F$14, AL175="X", 'Round Bonuses'!$F$13, AK175="X", 'Round Bonuses'!$F$12, AJ175="X", 'Round Bonuses'!$F$11, AI175="X", 'Round Bonuses'!$F$10, AH175="X", 'Round Bonuses'!$F$9, AG175="X", 'Round Bonuses'!$F$8, AF175="X", 'Round Bonuses'!$F$7, AE175="X", 'Round Bonuses'!$F$6, AD175="X", 'Round Bonuses'!$F$5, AC175="X", 'Round Bonuses'!$F$4, AB175="X", 'Round Bonuses'!$F$3, TRUE, 0), IF(AA175="X", _xludf.IFS(AD175="X", 'Round Bonuses'!$E$4, AF175="X",'Round Bonuses'!$E$6,TRUE, 'Round Bonuses'!$E$7), 0) +IF(AB175="X", 'Round Bonuses'!$E$3, 0)+IF(AC175="X",'Round Bonuses'!$E$4, 0)+IF(AD175="X", 'Round Bonuses'!$E$5, 0)+IF(AE175="X", 'Round Bonuses'!$E$6, 0)+IF(AF175="X", 'Round Bonuses'!$E$7, 0)+IF(AG175="X", 'Round Bonuses'!$E$8, 0)+_xludf.IFS(AL175="W", 'Round Bonuses'!$G$14, AL175="X", 'Round Bonuses'!$G$13, AK175="X", 'Round Bonuses'!$G$12, AJ175="X", 'Round Bonuses'!$G$11, AI175="X", 'Round Bonuses'!$G$10, AH175="X", 'Round Bonuses'!$G$9, TRUE, 0))+_xludf.IFS(N175="W", 'Round Bonuses'!$C$13, N175="X", 'Round Bonuses'!$C$12, M175="X", 'Round Bonuses'!$C$11, L175="X", 'Round Bonuses'!$C$10, K175="X", 'Round Bonuses'!$C$9, J175="X", 'Round Bonuses'!$C$8, I175="X", 'Round Bonuses'!$C$7, H175="X", 'Round Bonuses'!$C$6, G175="X", 'Round Bonuses'!$C$5, F175="X", 'Round Bonuses'!$C$4, E175="X", 'Round Bonuses'!$C$3, D175="X", 'Round Bonuses'!$C$3, TRUE, 0)</f>
        <v>#NAME?</v>
      </c>
      <c r="BA175" s="2">
        <f t="shared" ca="1" si="1"/>
        <v>3.0112499999999902</v>
      </c>
      <c r="BB175" s="10" t="e">
        <f t="shared" ca="1" si="2"/>
        <v>#NAME?</v>
      </c>
      <c r="BD175" s="11" t="str">
        <f t="shared" ca="1" si="3"/>
        <v>Riga</v>
      </c>
      <c r="BE175" s="2" t="str">
        <f t="shared" ca="1" si="4"/>
        <v>Latvia</v>
      </c>
      <c r="BF175" s="2" t="e">
        <f t="shared" ca="1" si="5"/>
        <v>#NAME?</v>
      </c>
      <c r="BG175" s="2">
        <f t="shared" ca="1" si="6"/>
        <v>3</v>
      </c>
      <c r="BH175" s="2" t="s">
        <v>240</v>
      </c>
      <c r="BI175" s="2" t="s">
        <v>212</v>
      </c>
      <c r="BJ175" s="7">
        <v>1.2999999999999998</v>
      </c>
      <c r="BK175" s="2">
        <v>2</v>
      </c>
      <c r="BL175" s="2">
        <f t="shared" si="10"/>
        <v>173</v>
      </c>
      <c r="BM175" s="2" t="str">
        <f t="shared" si="7"/>
        <v>Astana</v>
      </c>
      <c r="BN175" s="7">
        <f t="shared" ref="BN175:BO175" si="182">BJ175</f>
        <v>1.2999999999999998</v>
      </c>
      <c r="BO175" s="2">
        <f t="shared" si="182"/>
        <v>2</v>
      </c>
      <c r="BS175" s="2" t="str">
        <f t="shared" si="9"/>
        <v>Kazakhstan</v>
      </c>
    </row>
    <row r="176" spans="1:71" ht="13.8" x14ac:dyDescent="0.45">
      <c r="A176" s="2" t="str">
        <f ca="1">IFERROR(__xludf.DUMMYFUNCTION("""COMPUTED_VALUE"""),"Rijeka")</f>
        <v>Rijeka</v>
      </c>
      <c r="B176" s="2">
        <f ca="1">IFERROR(__xludf.DUMMYFUNCTION("""COMPUTED_VALUE"""),0.82)</f>
        <v>0.82</v>
      </c>
      <c r="C176" s="2" t="str">
        <f ca="1">IFERROR(__xludf.DUMMYFUNCTION("""COMPUTED_VALUE"""),"Croatia")</f>
        <v>Croatia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5">
        <f ca="1">IFERROR(__xludf.DUMMYFUNCTION("""COMPUTED_VALUE"""),0)</f>
        <v>0</v>
      </c>
      <c r="P176" s="2">
        <f ca="1">IFERROR(__xludf.DUMMYFUNCTION("""COMPUTED_VALUE"""),0)</f>
        <v>0</v>
      </c>
      <c r="Q176" s="2">
        <f ca="1">IFERROR(__xludf.DUMMYFUNCTION("""COMPUTED_VALUE"""),0)</f>
        <v>0</v>
      </c>
      <c r="R176" s="2">
        <f ca="1">IFERROR(__xludf.DUMMYFUNCTION("""COMPUTED_VALUE"""),0)</f>
        <v>0</v>
      </c>
      <c r="S176" s="2">
        <f ca="1">IFERROR(__xludf.DUMMYFUNCTION("""COMPUTED_VALUE"""),0)</f>
        <v>0</v>
      </c>
      <c r="T176" s="2">
        <f ca="1">IFERROR(__xludf.DUMMYFUNCTION("""COMPUTED_VALUE"""),0)</f>
        <v>0</v>
      </c>
      <c r="U176" s="2">
        <f ca="1">IFERROR(__xludf.DUMMYFUNCTION("""COMPUTED_VALUE"""),0)</f>
        <v>0</v>
      </c>
      <c r="V176" s="2">
        <f ca="1">IFERROR(__xludf.DUMMYFUNCTION("""COMPUTED_VALUE"""),0)</f>
        <v>0</v>
      </c>
      <c r="W176" s="2">
        <f ca="1">IFERROR(__xludf.DUMMYFUNCTION("""COMPUTED_VALUE"""),0)</f>
        <v>0</v>
      </c>
      <c r="X176" s="2">
        <f ca="1">IFERROR(__xludf.DUMMYFUNCTION("""COMPUTED_VALUE"""),0)</f>
        <v>0</v>
      </c>
      <c r="Y176" s="2">
        <f ca="1">IFERROR(__xludf.DUMMYFUNCTION("""COMPUTED_VALUE"""),0)</f>
        <v>0</v>
      </c>
      <c r="AB176" s="2"/>
      <c r="AC176" s="2"/>
      <c r="AD176" s="2"/>
      <c r="AE176" s="2" t="str">
        <f ca="1">IFERROR(__xludf.DUMMYFUNCTION("""COMPUTED_VALUE"""),"X")</f>
        <v>X</v>
      </c>
      <c r="AF176" s="2" t="str">
        <f ca="1">IFERROR(__xludf.DUMMYFUNCTION("""COMPUTED_VALUE"""),"X")</f>
        <v>X</v>
      </c>
      <c r="AG176" s="2" t="str">
        <f ca="1">IFERROR(__xludf.DUMMYFUNCTION("""COMPUTED_VALUE"""),"X")</f>
        <v>X</v>
      </c>
      <c r="AH176" s="2"/>
      <c r="AI176" s="2"/>
      <c r="AJ176" s="2"/>
      <c r="AK176" s="2"/>
      <c r="AL176" s="2"/>
      <c r="AM176" s="2">
        <f ca="1">IFERROR(__xludf.DUMMYFUNCTION("""COMPUTED_VALUE"""),0)</f>
        <v>0</v>
      </c>
      <c r="AN176" s="2">
        <f ca="1">IFERROR(__xludf.DUMMYFUNCTION("""COMPUTED_VALUE"""),0)</f>
        <v>0</v>
      </c>
      <c r="AO176" s="2">
        <f ca="1">IFERROR(__xludf.DUMMYFUNCTION("""COMPUTED_VALUE"""),0)</f>
        <v>0</v>
      </c>
      <c r="AP176" s="2">
        <f ca="1">IFERROR(__xludf.DUMMYFUNCTION("""COMPUTED_VALUE"""),3.6975)</f>
        <v>3.6974999999999998</v>
      </c>
      <c r="AQ176" s="2">
        <f ca="1">IFERROR(__xludf.DUMMYFUNCTION("""COMPUTED_VALUE"""),3.42375)</f>
        <v>3.4237500000000001</v>
      </c>
      <c r="AR176" s="2">
        <f ca="1">IFERROR(__xludf.DUMMYFUNCTION("""COMPUTED_VALUE"""),8.29499999999999)</f>
        <v>8.2949999999999893</v>
      </c>
      <c r="AS176" s="2">
        <f ca="1">IFERROR(__xludf.DUMMYFUNCTION("""COMPUTED_VALUE"""),0)</f>
        <v>0</v>
      </c>
      <c r="AT176" s="2">
        <f ca="1">IFERROR(__xludf.DUMMYFUNCTION("""COMPUTED_VALUE"""),0)</f>
        <v>0</v>
      </c>
      <c r="AU176" s="2">
        <f ca="1">IFERROR(__xludf.DUMMYFUNCTION("""COMPUTED_VALUE"""),0)</f>
        <v>0</v>
      </c>
      <c r="AV176" s="2">
        <f ca="1">IFERROR(__xludf.DUMMYFUNCTION("""COMPUTED_VALUE"""),0)</f>
        <v>0</v>
      </c>
      <c r="AW176" s="2">
        <f ca="1">IFERROR(__xludf.DUMMYFUNCTION("""COMPUTED_VALUE"""),0)</f>
        <v>0</v>
      </c>
      <c r="AY176" s="2">
        <f t="shared" ca="1" si="0"/>
        <v>8</v>
      </c>
      <c r="AZ176" s="2" t="e">
        <f ca="1">IF(NOT(COUNTA(D176:J176)), _xludf.IFS(AL176="W", 'Round Bonuses'!$F$14, AL176="X", 'Round Bonuses'!$F$13, AK176="X", 'Round Bonuses'!$F$12, AJ176="X", 'Round Bonuses'!$F$11, AI176="X", 'Round Bonuses'!$F$10, AH176="X", 'Round Bonuses'!$F$9, AG176="X", 'Round Bonuses'!$F$8, AF176="X", 'Round Bonuses'!$F$7, AE176="X", 'Round Bonuses'!$F$6, AD176="X", 'Round Bonuses'!$F$5, AC176="X", 'Round Bonuses'!$F$4, AB176="X", 'Round Bonuses'!$F$3, TRUE, 0), IF(AA176="X", _xludf.IFS(AD176="X", 'Round Bonuses'!$E$4, AF176="X",'Round Bonuses'!$E$6,TRUE, 'Round Bonuses'!$E$7), 0) +IF(AB176="X", 'Round Bonuses'!$E$3, 0)+IF(AC176="X",'Round Bonuses'!$E$4, 0)+IF(AD176="X", 'Round Bonuses'!$E$5, 0)+IF(AE176="X", 'Round Bonuses'!$E$6, 0)+IF(AF176="X", 'Round Bonuses'!$E$7, 0)+IF(AG176="X", 'Round Bonuses'!$E$8, 0)+_xludf.IFS(AL176="W", 'Round Bonuses'!$G$14, AL176="X", 'Round Bonuses'!$G$13, AK176="X", 'Round Bonuses'!$G$12, AJ176="X", 'Round Bonuses'!$G$11, AI176="X", 'Round Bonuses'!$G$10, AH176="X", 'Round Bonuses'!$G$9, TRUE, 0))+_xludf.IFS(N176="W", 'Round Bonuses'!$C$13, N176="X", 'Round Bonuses'!$C$12, M176="X", 'Round Bonuses'!$C$11, L176="X", 'Round Bonuses'!$C$10, K176="X", 'Round Bonuses'!$C$9, J176="X", 'Round Bonuses'!$C$8, I176="X", 'Round Bonuses'!$C$7, H176="X", 'Round Bonuses'!$C$6, G176="X", 'Round Bonuses'!$C$5, F176="X", 'Round Bonuses'!$C$4, E176="X", 'Round Bonuses'!$C$3, D176="X", 'Round Bonuses'!$C$3, TRUE, 0)</f>
        <v>#NAME?</v>
      </c>
      <c r="BA176" s="2">
        <f t="shared" ca="1" si="1"/>
        <v>15.416249999999989</v>
      </c>
      <c r="BB176" s="10" t="e">
        <f t="shared" ca="1" si="2"/>
        <v>#NAME?</v>
      </c>
      <c r="BD176" s="11" t="str">
        <f t="shared" ca="1" si="3"/>
        <v>Rijeka</v>
      </c>
      <c r="BE176" s="2" t="str">
        <f t="shared" ca="1" si="4"/>
        <v>Croatia</v>
      </c>
      <c r="BF176" s="2" t="e">
        <f t="shared" ca="1" si="5"/>
        <v>#NAME?</v>
      </c>
      <c r="BG176" s="2">
        <f t="shared" ca="1" si="6"/>
        <v>8</v>
      </c>
      <c r="BH176" s="2" t="s">
        <v>241</v>
      </c>
      <c r="BI176" s="2" t="s">
        <v>52</v>
      </c>
      <c r="BJ176" s="7">
        <v>1.2849999999999999</v>
      </c>
      <c r="BK176" s="2">
        <v>1</v>
      </c>
      <c r="BL176" s="2">
        <f t="shared" si="10"/>
        <v>174</v>
      </c>
      <c r="BM176" s="2" t="str">
        <f t="shared" si="7"/>
        <v>Osijek</v>
      </c>
      <c r="BN176" s="7">
        <f t="shared" ref="BN176:BO176" si="183">BJ176</f>
        <v>1.2849999999999999</v>
      </c>
      <c r="BO176" s="2">
        <f t="shared" si="183"/>
        <v>1</v>
      </c>
      <c r="BS176" s="2" t="str">
        <f t="shared" si="9"/>
        <v>Croatia</v>
      </c>
    </row>
    <row r="177" spans="1:71" ht="13.8" x14ac:dyDescent="0.45">
      <c r="A177" s="2" t="str">
        <f ca="1">IFERROR(__xludf.DUMMYFUNCTION("""COMPUTED_VALUE"""),"Rio Ave")</f>
        <v>Rio Ave</v>
      </c>
      <c r="B177" s="2">
        <f ca="1">IFERROR(__xludf.DUMMYFUNCTION("""COMPUTED_VALUE"""),0.889999999999999)</f>
        <v>0.88999999999999901</v>
      </c>
      <c r="C177" s="2" t="str">
        <f ca="1">IFERROR(__xludf.DUMMYFUNCTION("""COMPUTED_VALUE"""),"Portugal")</f>
        <v>Portugal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5">
        <f ca="1">IFERROR(__xludf.DUMMYFUNCTION("""COMPUTED_VALUE"""),0)</f>
        <v>0</v>
      </c>
      <c r="P177" s="2">
        <f ca="1">IFERROR(__xludf.DUMMYFUNCTION("""COMPUTED_VALUE"""),0)</f>
        <v>0</v>
      </c>
      <c r="Q177" s="2">
        <f ca="1">IFERROR(__xludf.DUMMYFUNCTION("""COMPUTED_VALUE"""),0)</f>
        <v>0</v>
      </c>
      <c r="R177" s="2">
        <f ca="1">IFERROR(__xludf.DUMMYFUNCTION("""COMPUTED_VALUE"""),0)</f>
        <v>0</v>
      </c>
      <c r="S177" s="2">
        <f ca="1">IFERROR(__xludf.DUMMYFUNCTION("""COMPUTED_VALUE"""),0)</f>
        <v>0</v>
      </c>
      <c r="T177" s="2">
        <f ca="1">IFERROR(__xludf.DUMMYFUNCTION("""COMPUTED_VALUE"""),0)</f>
        <v>0</v>
      </c>
      <c r="U177" s="2">
        <f ca="1">IFERROR(__xludf.DUMMYFUNCTION("""COMPUTED_VALUE"""),0)</f>
        <v>0</v>
      </c>
      <c r="V177" s="2">
        <f ca="1">IFERROR(__xludf.DUMMYFUNCTION("""COMPUTED_VALUE"""),0)</f>
        <v>0</v>
      </c>
      <c r="W177" s="2">
        <f ca="1">IFERROR(__xludf.DUMMYFUNCTION("""COMPUTED_VALUE"""),0)</f>
        <v>0</v>
      </c>
      <c r="X177" s="2">
        <f ca="1">IFERROR(__xludf.DUMMYFUNCTION("""COMPUTED_VALUE"""),0)</f>
        <v>0</v>
      </c>
      <c r="Y177" s="2">
        <f ca="1">IFERROR(__xludf.DUMMYFUNCTION("""COMPUTED_VALUE"""),0)</f>
        <v>0</v>
      </c>
      <c r="AB177" s="2"/>
      <c r="AC177" s="2"/>
      <c r="AD177" s="2" t="str">
        <f ca="1">IFERROR(__xludf.DUMMYFUNCTION("""COMPUTED_VALUE"""),"X")</f>
        <v>X</v>
      </c>
      <c r="AE177" s="2" t="str">
        <f ca="1">IFERROR(__xludf.DUMMYFUNCTION("""COMPUTED_VALUE"""),"X")</f>
        <v>X</v>
      </c>
      <c r="AF177" s="2" t="str">
        <f ca="1">IFERROR(__xludf.DUMMYFUNCTION("""COMPUTED_VALUE"""),"X")</f>
        <v>X</v>
      </c>
      <c r="AG177" s="2"/>
      <c r="AH177" s="2"/>
      <c r="AI177" s="2"/>
      <c r="AJ177" s="2"/>
      <c r="AK177" s="2"/>
      <c r="AL177" s="2"/>
      <c r="AM177" s="2">
        <f ca="1">IFERROR(__xludf.DUMMYFUNCTION("""COMPUTED_VALUE"""),0)</f>
        <v>0</v>
      </c>
      <c r="AN177" s="2">
        <f ca="1">IFERROR(__xludf.DUMMYFUNCTION("""COMPUTED_VALUE"""),0)</f>
        <v>0</v>
      </c>
      <c r="AO177" s="2">
        <f ca="1">IFERROR(__xludf.DUMMYFUNCTION("""COMPUTED_VALUE"""),2.4225)</f>
        <v>2.4224999999999999</v>
      </c>
      <c r="AP177" s="2">
        <f ca="1">IFERROR(__xludf.DUMMYFUNCTION("""COMPUTED_VALUE"""),3.08)</f>
        <v>3.08</v>
      </c>
      <c r="AQ177" s="2">
        <f ca="1">IFERROR(__xludf.DUMMYFUNCTION("""COMPUTED_VALUE"""),0.919999999999999)</f>
        <v>0.91999999999999904</v>
      </c>
      <c r="AR177" s="2">
        <f ca="1">IFERROR(__xludf.DUMMYFUNCTION("""COMPUTED_VALUE"""),0)</f>
        <v>0</v>
      </c>
      <c r="AS177" s="2">
        <f ca="1">IFERROR(__xludf.DUMMYFUNCTION("""COMPUTED_VALUE"""),0)</f>
        <v>0</v>
      </c>
      <c r="AT177" s="2">
        <f ca="1">IFERROR(__xludf.DUMMYFUNCTION("""COMPUTED_VALUE"""),0)</f>
        <v>0</v>
      </c>
      <c r="AU177" s="2">
        <f ca="1">IFERROR(__xludf.DUMMYFUNCTION("""COMPUTED_VALUE"""),0)</f>
        <v>0</v>
      </c>
      <c r="AV177" s="2">
        <f ca="1">IFERROR(__xludf.DUMMYFUNCTION("""COMPUTED_VALUE"""),0)</f>
        <v>0</v>
      </c>
      <c r="AW177" s="2">
        <f ca="1">IFERROR(__xludf.DUMMYFUNCTION("""COMPUTED_VALUE"""),0)</f>
        <v>0</v>
      </c>
      <c r="AY177" s="2">
        <f t="shared" ca="1" si="0"/>
        <v>3</v>
      </c>
      <c r="AZ177" s="2" t="e">
        <f ca="1">IF(NOT(COUNTA(D177:J177)), _xludf.IFS(AL177="W", 'Round Bonuses'!$F$14, AL177="X", 'Round Bonuses'!$F$13, AK177="X", 'Round Bonuses'!$F$12, AJ177="X", 'Round Bonuses'!$F$11, AI177="X", 'Round Bonuses'!$F$10, AH177="X", 'Round Bonuses'!$F$9, AG177="X", 'Round Bonuses'!$F$8, AF177="X", 'Round Bonuses'!$F$7, AE177="X", 'Round Bonuses'!$F$6, AD177="X", 'Round Bonuses'!$F$5, AC177="X", 'Round Bonuses'!$F$4, AB177="X", 'Round Bonuses'!$F$3, TRUE, 0), IF(AA177="X", _xludf.IFS(AD177="X", 'Round Bonuses'!$E$4, AF177="X",'Round Bonuses'!$E$6,TRUE, 'Round Bonuses'!$E$7), 0) +IF(AB177="X", 'Round Bonuses'!$E$3, 0)+IF(AC177="X",'Round Bonuses'!$E$4, 0)+IF(AD177="X", 'Round Bonuses'!$E$5, 0)+IF(AE177="X", 'Round Bonuses'!$E$6, 0)+IF(AF177="X", 'Round Bonuses'!$E$7, 0)+IF(AG177="X", 'Round Bonuses'!$E$8, 0)+_xludf.IFS(AL177="W", 'Round Bonuses'!$G$14, AL177="X", 'Round Bonuses'!$G$13, AK177="X", 'Round Bonuses'!$G$12, AJ177="X", 'Round Bonuses'!$G$11, AI177="X", 'Round Bonuses'!$G$10, AH177="X", 'Round Bonuses'!$G$9, TRUE, 0))+_xludf.IFS(N177="W", 'Round Bonuses'!$C$13, N177="X", 'Round Bonuses'!$C$12, M177="X", 'Round Bonuses'!$C$11, L177="X", 'Round Bonuses'!$C$10, K177="X", 'Round Bonuses'!$C$9, J177="X", 'Round Bonuses'!$C$8, I177="X", 'Round Bonuses'!$C$7, H177="X", 'Round Bonuses'!$C$6, G177="X", 'Round Bonuses'!$C$5, F177="X", 'Round Bonuses'!$C$4, E177="X", 'Round Bonuses'!$C$3, D177="X", 'Round Bonuses'!$C$3, TRUE, 0)</f>
        <v>#NAME?</v>
      </c>
      <c r="BA177" s="2">
        <f t="shared" ca="1" si="1"/>
        <v>6.4224999999999985</v>
      </c>
      <c r="BB177" s="10" t="e">
        <f t="shared" ca="1" si="2"/>
        <v>#NAME?</v>
      </c>
      <c r="BD177" s="11" t="str">
        <f t="shared" ca="1" si="3"/>
        <v>Rio Ave</v>
      </c>
      <c r="BE177" s="2" t="str">
        <f t="shared" ca="1" si="4"/>
        <v>Portugal</v>
      </c>
      <c r="BF177" s="2" t="e">
        <f t="shared" ca="1" si="5"/>
        <v>#NAME?</v>
      </c>
      <c r="BG177" s="2">
        <f t="shared" ca="1" si="6"/>
        <v>3</v>
      </c>
      <c r="BH177" s="2" t="s">
        <v>242</v>
      </c>
      <c r="BI177" s="2" t="s">
        <v>194</v>
      </c>
      <c r="BJ177" s="7">
        <v>1.2774999999999999</v>
      </c>
      <c r="BK177" s="2">
        <v>2</v>
      </c>
      <c r="BL177" s="2">
        <f t="shared" si="10"/>
        <v>175</v>
      </c>
      <c r="BM177" s="2" t="str">
        <f t="shared" si="7"/>
        <v>Connah's Quay Nomads</v>
      </c>
      <c r="BN177" s="7">
        <f t="shared" ref="BN177:BO177" si="184">BJ177</f>
        <v>1.2774999999999999</v>
      </c>
      <c r="BO177" s="2">
        <f t="shared" si="184"/>
        <v>2</v>
      </c>
      <c r="BS177" s="2" t="str">
        <f t="shared" si="9"/>
        <v>Wales</v>
      </c>
    </row>
    <row r="178" spans="1:71" ht="13.8" x14ac:dyDescent="0.45">
      <c r="A178" s="2" t="str">
        <f ca="1">IFERROR(__xludf.DUMMYFUNCTION("""COMPUTED_VALUE"""),"Riteriai")</f>
        <v>Riteriai</v>
      </c>
      <c r="B178" s="2">
        <f ca="1">IFERROR(__xludf.DUMMYFUNCTION("""COMPUTED_VALUE"""),0.57)</f>
        <v>0.56999999999999995</v>
      </c>
      <c r="C178" s="2" t="str">
        <f ca="1">IFERROR(__xludf.DUMMYFUNCTION("""COMPUTED_VALUE"""),"Lithuania")</f>
        <v>Lithuania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5">
        <f ca="1">IFERROR(__xludf.DUMMYFUNCTION("""COMPUTED_VALUE"""),0)</f>
        <v>0</v>
      </c>
      <c r="P178" s="2">
        <f ca="1">IFERROR(__xludf.DUMMYFUNCTION("""COMPUTED_VALUE"""),0)</f>
        <v>0</v>
      </c>
      <c r="Q178" s="2">
        <f ca="1">IFERROR(__xludf.DUMMYFUNCTION("""COMPUTED_VALUE"""),0)</f>
        <v>0</v>
      </c>
      <c r="R178" s="2">
        <f ca="1">IFERROR(__xludf.DUMMYFUNCTION("""COMPUTED_VALUE"""),0)</f>
        <v>0</v>
      </c>
      <c r="S178" s="2">
        <f ca="1">IFERROR(__xludf.DUMMYFUNCTION("""COMPUTED_VALUE"""),0)</f>
        <v>0</v>
      </c>
      <c r="T178" s="2">
        <f ca="1">IFERROR(__xludf.DUMMYFUNCTION("""COMPUTED_VALUE"""),0)</f>
        <v>0</v>
      </c>
      <c r="U178" s="2">
        <f ca="1">IFERROR(__xludf.DUMMYFUNCTION("""COMPUTED_VALUE"""),0)</f>
        <v>0</v>
      </c>
      <c r="V178" s="2">
        <f ca="1">IFERROR(__xludf.DUMMYFUNCTION("""COMPUTED_VALUE"""),0)</f>
        <v>0</v>
      </c>
      <c r="W178" s="2">
        <f ca="1">IFERROR(__xludf.DUMMYFUNCTION("""COMPUTED_VALUE"""),0)</f>
        <v>0</v>
      </c>
      <c r="X178" s="2">
        <f ca="1">IFERROR(__xludf.DUMMYFUNCTION("""COMPUTED_VALUE"""),0)</f>
        <v>0</v>
      </c>
      <c r="Y178" s="2">
        <f ca="1">IFERROR(__xludf.DUMMYFUNCTION("""COMPUTED_VALUE"""),0)</f>
        <v>0</v>
      </c>
      <c r="AB178" s="2"/>
      <c r="AC178" s="2" t="str">
        <f ca="1">IFERROR(__xludf.DUMMYFUNCTION("""COMPUTED_VALUE"""),"X")</f>
        <v>X</v>
      </c>
      <c r="AD178" s="2" t="str">
        <f ca="1">IFERROR(__xludf.DUMMYFUNCTION("""COMPUTED_VALUE"""),"X")</f>
        <v>X</v>
      </c>
      <c r="AE178" s="2"/>
      <c r="AF178" s="2"/>
      <c r="AG178" s="2"/>
      <c r="AH178" s="2"/>
      <c r="AI178" s="2"/>
      <c r="AJ178" s="2"/>
      <c r="AK178" s="2"/>
      <c r="AL178" s="2"/>
      <c r="AM178" s="2">
        <f ca="1">IFERROR(__xludf.DUMMYFUNCTION("""COMPUTED_VALUE"""),0)</f>
        <v>0</v>
      </c>
      <c r="AN178" s="2">
        <f ca="1">IFERROR(__xludf.DUMMYFUNCTION("""COMPUTED_VALUE"""),2.475)</f>
        <v>2.4750000000000001</v>
      </c>
      <c r="AO178" s="2">
        <f ca="1">IFERROR(__xludf.DUMMYFUNCTION("""COMPUTED_VALUE"""),0.329999999999999)</f>
        <v>0.32999999999999902</v>
      </c>
      <c r="AP178" s="2">
        <f ca="1">IFERROR(__xludf.DUMMYFUNCTION("""COMPUTED_VALUE"""),0)</f>
        <v>0</v>
      </c>
      <c r="AQ178" s="2">
        <f ca="1">IFERROR(__xludf.DUMMYFUNCTION("""COMPUTED_VALUE"""),0)</f>
        <v>0</v>
      </c>
      <c r="AR178" s="2">
        <f ca="1">IFERROR(__xludf.DUMMYFUNCTION("""COMPUTED_VALUE"""),0)</f>
        <v>0</v>
      </c>
      <c r="AS178" s="2">
        <f ca="1">IFERROR(__xludf.DUMMYFUNCTION("""COMPUTED_VALUE"""),0)</f>
        <v>0</v>
      </c>
      <c r="AT178" s="2">
        <f ca="1">IFERROR(__xludf.DUMMYFUNCTION("""COMPUTED_VALUE"""),0)</f>
        <v>0</v>
      </c>
      <c r="AU178" s="2">
        <f ca="1">IFERROR(__xludf.DUMMYFUNCTION("""COMPUTED_VALUE"""),0)</f>
        <v>0</v>
      </c>
      <c r="AV178" s="2">
        <f ca="1">IFERROR(__xludf.DUMMYFUNCTION("""COMPUTED_VALUE"""),0)</f>
        <v>0</v>
      </c>
      <c r="AW178" s="2">
        <f ca="1">IFERROR(__xludf.DUMMYFUNCTION("""COMPUTED_VALUE"""),0)</f>
        <v>0</v>
      </c>
      <c r="AY178" s="2">
        <f t="shared" ca="1" si="0"/>
        <v>2</v>
      </c>
      <c r="AZ178" s="2" t="e">
        <f ca="1">IF(NOT(COUNTA(D178:J178)), _xludf.IFS(AL178="W", 'Round Bonuses'!$F$14, AL178="X", 'Round Bonuses'!$F$13, AK178="X", 'Round Bonuses'!$F$12, AJ178="X", 'Round Bonuses'!$F$11, AI178="X", 'Round Bonuses'!$F$10, AH178="X", 'Round Bonuses'!$F$9, AG178="X", 'Round Bonuses'!$F$8, AF178="X", 'Round Bonuses'!$F$7, AE178="X", 'Round Bonuses'!$F$6, AD178="X", 'Round Bonuses'!$F$5, AC178="X", 'Round Bonuses'!$F$4, AB178="X", 'Round Bonuses'!$F$3, TRUE, 0), IF(AA178="X", _xludf.IFS(AD178="X", 'Round Bonuses'!$E$4, AF178="X",'Round Bonuses'!$E$6,TRUE, 'Round Bonuses'!$E$7), 0) +IF(AB178="X", 'Round Bonuses'!$E$3, 0)+IF(AC178="X",'Round Bonuses'!$E$4, 0)+IF(AD178="X", 'Round Bonuses'!$E$5, 0)+IF(AE178="X", 'Round Bonuses'!$E$6, 0)+IF(AF178="X", 'Round Bonuses'!$E$7, 0)+IF(AG178="X", 'Round Bonuses'!$E$8, 0)+_xludf.IFS(AL178="W", 'Round Bonuses'!$G$14, AL178="X", 'Round Bonuses'!$G$13, AK178="X", 'Round Bonuses'!$G$12, AJ178="X", 'Round Bonuses'!$G$11, AI178="X", 'Round Bonuses'!$G$10, AH178="X", 'Round Bonuses'!$G$9, TRUE, 0))+_xludf.IFS(N178="W", 'Round Bonuses'!$C$13, N178="X", 'Round Bonuses'!$C$12, M178="X", 'Round Bonuses'!$C$11, L178="X", 'Round Bonuses'!$C$10, K178="X", 'Round Bonuses'!$C$9, J178="X", 'Round Bonuses'!$C$8, I178="X", 'Round Bonuses'!$C$7, H178="X", 'Round Bonuses'!$C$6, G178="X", 'Round Bonuses'!$C$5, F178="X", 'Round Bonuses'!$C$4, E178="X", 'Round Bonuses'!$C$3, D178="X", 'Round Bonuses'!$C$3, TRUE, 0)</f>
        <v>#NAME?</v>
      </c>
      <c r="BA178" s="2">
        <f t="shared" ca="1" si="1"/>
        <v>2.8049999999999993</v>
      </c>
      <c r="BB178" s="10" t="e">
        <f t="shared" ca="1" si="2"/>
        <v>#NAME?</v>
      </c>
      <c r="BD178" s="11" t="str">
        <f t="shared" ca="1" si="3"/>
        <v>Riteriai</v>
      </c>
      <c r="BE178" s="2" t="str">
        <f t="shared" ca="1" si="4"/>
        <v>Lithuania</v>
      </c>
      <c r="BF178" s="2" t="e">
        <f t="shared" ca="1" si="5"/>
        <v>#NAME?</v>
      </c>
      <c r="BG178" s="2">
        <f t="shared" ca="1" si="6"/>
        <v>2</v>
      </c>
      <c r="BH178" s="2" t="s">
        <v>243</v>
      </c>
      <c r="BI178" s="2" t="s">
        <v>162</v>
      </c>
      <c r="BJ178" s="7">
        <v>1.2725</v>
      </c>
      <c r="BK178" s="2">
        <v>2</v>
      </c>
      <c r="BL178" s="2">
        <f t="shared" si="10"/>
        <v>176</v>
      </c>
      <c r="BM178" s="2" t="str">
        <f t="shared" si="7"/>
        <v>Slovan Bratislava</v>
      </c>
      <c r="BN178" s="7">
        <f t="shared" ref="BN178:BO178" si="185">BJ178</f>
        <v>1.2725</v>
      </c>
      <c r="BO178" s="2">
        <f t="shared" si="185"/>
        <v>2</v>
      </c>
      <c r="BS178" s="2" t="str">
        <f t="shared" si="9"/>
        <v>Slovakia</v>
      </c>
    </row>
    <row r="179" spans="1:71" ht="13.8" x14ac:dyDescent="0.45">
      <c r="A179" s="2" t="str">
        <f ca="1">IFERROR(__xludf.DUMMYFUNCTION("""COMPUTED_VALUE"""),"Roma")</f>
        <v>Roma</v>
      </c>
      <c r="B179" s="2">
        <f ca="1">IFERROR(__xludf.DUMMYFUNCTION("""COMPUTED_VALUE"""),0.929999999999999)</f>
        <v>0.92999999999999905</v>
      </c>
      <c r="C179" s="2" t="str">
        <f ca="1">IFERROR(__xludf.DUMMYFUNCTION("""COMPUTED_VALUE"""),"Italy")</f>
        <v>Italy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5">
        <f ca="1">IFERROR(__xludf.DUMMYFUNCTION("""COMPUTED_VALUE"""),0)</f>
        <v>0</v>
      </c>
      <c r="P179" s="2">
        <f ca="1">IFERROR(__xludf.DUMMYFUNCTION("""COMPUTED_VALUE"""),0)</f>
        <v>0</v>
      </c>
      <c r="Q179" s="2">
        <f ca="1">IFERROR(__xludf.DUMMYFUNCTION("""COMPUTED_VALUE"""),0)</f>
        <v>0</v>
      </c>
      <c r="R179" s="2">
        <f ca="1">IFERROR(__xludf.DUMMYFUNCTION("""COMPUTED_VALUE"""),0)</f>
        <v>0</v>
      </c>
      <c r="S179" s="2">
        <f ca="1">IFERROR(__xludf.DUMMYFUNCTION("""COMPUTED_VALUE"""),0)</f>
        <v>0</v>
      </c>
      <c r="T179" s="2">
        <f ca="1">IFERROR(__xludf.DUMMYFUNCTION("""COMPUTED_VALUE"""),0)</f>
        <v>0</v>
      </c>
      <c r="U179" s="2">
        <f ca="1">IFERROR(__xludf.DUMMYFUNCTION("""COMPUTED_VALUE"""),0)</f>
        <v>0</v>
      </c>
      <c r="V179" s="2">
        <f ca="1">IFERROR(__xludf.DUMMYFUNCTION("""COMPUTED_VALUE"""),0)</f>
        <v>0</v>
      </c>
      <c r="W179" s="2">
        <f ca="1">IFERROR(__xludf.DUMMYFUNCTION("""COMPUTED_VALUE"""),0)</f>
        <v>0</v>
      </c>
      <c r="X179" s="2">
        <f ca="1">IFERROR(__xludf.DUMMYFUNCTION("""COMPUTED_VALUE"""),0)</f>
        <v>0</v>
      </c>
      <c r="Y179" s="2">
        <f ca="1">IFERROR(__xludf.DUMMYFUNCTION("""COMPUTED_VALUE"""),0)</f>
        <v>0</v>
      </c>
      <c r="AB179" s="2"/>
      <c r="AC179" s="2"/>
      <c r="AD179" s="2"/>
      <c r="AE179" s="2"/>
      <c r="AF179" s="2"/>
      <c r="AG179" s="2" t="str">
        <f ca="1">IFERROR(__xludf.DUMMYFUNCTION("""COMPUTED_VALUE"""),"X")</f>
        <v>X</v>
      </c>
      <c r="AH179" s="2" t="str">
        <f ca="1">IFERROR(__xludf.DUMMYFUNCTION("""COMPUTED_VALUE"""),"X")</f>
        <v>X</v>
      </c>
      <c r="AI179" s="2" t="str">
        <f ca="1">IFERROR(__xludf.DUMMYFUNCTION("""COMPUTED_VALUE"""),"X")</f>
        <v>X</v>
      </c>
      <c r="AJ179" s="2" t="str">
        <f ca="1">IFERROR(__xludf.DUMMYFUNCTION("""COMPUTED_VALUE"""),"X")</f>
        <v>X</v>
      </c>
      <c r="AK179" s="2" t="str">
        <f ca="1">IFERROR(__xludf.DUMMYFUNCTION("""COMPUTED_VALUE"""),"X")</f>
        <v>X</v>
      </c>
      <c r="AL179" s="2"/>
      <c r="AM179" s="2">
        <f ca="1">IFERROR(__xludf.DUMMYFUNCTION("""COMPUTED_VALUE"""),0)</f>
        <v>0</v>
      </c>
      <c r="AN179" s="2">
        <f ca="1">IFERROR(__xludf.DUMMYFUNCTION("""COMPUTED_VALUE"""),0)</f>
        <v>0</v>
      </c>
      <c r="AO179" s="2">
        <f ca="1">IFERROR(__xludf.DUMMYFUNCTION("""COMPUTED_VALUE"""),0)</f>
        <v>0</v>
      </c>
      <c r="AP179" s="2">
        <f ca="1">IFERROR(__xludf.DUMMYFUNCTION("""COMPUTED_VALUE"""),0)</f>
        <v>0</v>
      </c>
      <c r="AQ179" s="2">
        <f ca="1">IFERROR(__xludf.DUMMYFUNCTION("""COMPUTED_VALUE"""),0)</f>
        <v>0</v>
      </c>
      <c r="AR179" s="2">
        <f ca="1">IFERROR(__xludf.DUMMYFUNCTION("""COMPUTED_VALUE"""),15.1325)</f>
        <v>15.1325</v>
      </c>
      <c r="AS179" s="2">
        <f ca="1">IFERROR(__xludf.DUMMYFUNCTION("""COMPUTED_VALUE"""),7.73499999999999)</f>
        <v>7.7349999999999897</v>
      </c>
      <c r="AT179" s="2">
        <f ca="1">IFERROR(__xludf.DUMMYFUNCTION("""COMPUTED_VALUE"""),7.735)</f>
        <v>7.7350000000000003</v>
      </c>
      <c r="AU179" s="2">
        <f ca="1">IFERROR(__xludf.DUMMYFUNCTION("""COMPUTED_VALUE"""),5.45125)</f>
        <v>5.4512499999999999</v>
      </c>
      <c r="AV179" s="2">
        <f ca="1">IFERROR(__xludf.DUMMYFUNCTION("""COMPUTED_VALUE"""),4.42)</f>
        <v>4.42</v>
      </c>
      <c r="AW179" s="2">
        <f ca="1">IFERROR(__xludf.DUMMYFUNCTION("""COMPUTED_VALUE"""),0)</f>
        <v>0</v>
      </c>
      <c r="AY179" s="2">
        <f t="shared" ca="1" si="0"/>
        <v>14</v>
      </c>
      <c r="AZ179" s="2" t="e">
        <f ca="1">IF(NOT(COUNTA(D179:J179)), _xludf.IFS(AL179="W", 'Round Bonuses'!$F$14, AL179="X", 'Round Bonuses'!$F$13, AK179="X", 'Round Bonuses'!$F$12, AJ179="X", 'Round Bonuses'!$F$11, AI179="X", 'Round Bonuses'!$F$10, AH179="X", 'Round Bonuses'!$F$9, AG179="X", 'Round Bonuses'!$F$8, AF179="X", 'Round Bonuses'!$F$7, AE179="X", 'Round Bonuses'!$F$6, AD179="X", 'Round Bonuses'!$F$5, AC179="X", 'Round Bonuses'!$F$4, AB179="X", 'Round Bonuses'!$F$3, TRUE, 0), IF(AA179="X", _xludf.IFS(AD179="X", 'Round Bonuses'!$E$4, AF179="X",'Round Bonuses'!$E$6,TRUE, 'Round Bonuses'!$E$7), 0) +IF(AB179="X", 'Round Bonuses'!$E$3, 0)+IF(AC179="X",'Round Bonuses'!$E$4, 0)+IF(AD179="X", 'Round Bonuses'!$E$5, 0)+IF(AE179="X", 'Round Bonuses'!$E$6, 0)+IF(AF179="X", 'Round Bonuses'!$E$7, 0)+IF(AG179="X", 'Round Bonuses'!$E$8, 0)+_xludf.IFS(AL179="W", 'Round Bonuses'!$G$14, AL179="X", 'Round Bonuses'!$G$13, AK179="X", 'Round Bonuses'!$G$12, AJ179="X", 'Round Bonuses'!$G$11, AI179="X", 'Round Bonuses'!$G$10, AH179="X", 'Round Bonuses'!$G$9, TRUE, 0))+_xludf.IFS(N179="W", 'Round Bonuses'!$C$13, N179="X", 'Round Bonuses'!$C$12, M179="X", 'Round Bonuses'!$C$11, L179="X", 'Round Bonuses'!$C$10, K179="X", 'Round Bonuses'!$C$9, J179="X", 'Round Bonuses'!$C$8, I179="X", 'Round Bonuses'!$C$7, H179="X", 'Round Bonuses'!$C$6, G179="X", 'Round Bonuses'!$C$5, F179="X", 'Round Bonuses'!$C$4, E179="X", 'Round Bonuses'!$C$3, D179="X", 'Round Bonuses'!$C$3, TRUE, 0)</f>
        <v>#NAME?</v>
      </c>
      <c r="BA179" s="2">
        <f t="shared" ca="1" si="1"/>
        <v>40.473749999999988</v>
      </c>
      <c r="BB179" s="10" t="e">
        <f t="shared" ca="1" si="2"/>
        <v>#NAME?</v>
      </c>
      <c r="BD179" s="11" t="str">
        <f t="shared" ca="1" si="3"/>
        <v>Roma</v>
      </c>
      <c r="BE179" s="2" t="str">
        <f t="shared" ca="1" si="4"/>
        <v>Italy</v>
      </c>
      <c r="BF179" s="2" t="e">
        <f t="shared" ca="1" si="5"/>
        <v>#NAME?</v>
      </c>
      <c r="BG179" s="2">
        <f t="shared" ca="1" si="6"/>
        <v>14</v>
      </c>
      <c r="BH179" s="2" t="s">
        <v>244</v>
      </c>
      <c r="BI179" s="2" t="s">
        <v>46</v>
      </c>
      <c r="BJ179" s="7">
        <v>1.2650000000000001</v>
      </c>
      <c r="BK179" s="2">
        <v>1</v>
      </c>
      <c r="BL179" s="2">
        <f t="shared" si="10"/>
        <v>177</v>
      </c>
      <c r="BM179" s="2" t="str">
        <f t="shared" si="7"/>
        <v>OFI</v>
      </c>
      <c r="BN179" s="7">
        <f t="shared" ref="BN179:BO179" si="186">BJ179</f>
        <v>1.2650000000000001</v>
      </c>
      <c r="BO179" s="2">
        <f t="shared" si="186"/>
        <v>1</v>
      </c>
      <c r="BS179" s="2" t="str">
        <f t="shared" si="9"/>
        <v>Greece</v>
      </c>
    </row>
    <row r="180" spans="1:71" ht="13.8" x14ac:dyDescent="0.45">
      <c r="A180" s="2" t="str">
        <f ca="1">IFERROR(__xludf.DUMMYFUNCTION("""COMPUTED_VALUE"""),"Rosenborg")</f>
        <v>Rosenborg</v>
      </c>
      <c r="B180" s="2">
        <f ca="1">IFERROR(__xludf.DUMMYFUNCTION("""COMPUTED_VALUE"""),0.75)</f>
        <v>0.75</v>
      </c>
      <c r="C180" s="2" t="str">
        <f ca="1">IFERROR(__xludf.DUMMYFUNCTION("""COMPUTED_VALUE"""),"Norway")</f>
        <v>Norway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5">
        <f ca="1">IFERROR(__xludf.DUMMYFUNCTION("""COMPUTED_VALUE"""),0)</f>
        <v>0</v>
      </c>
      <c r="P180" s="2">
        <f ca="1">IFERROR(__xludf.DUMMYFUNCTION("""COMPUTED_VALUE"""),0)</f>
        <v>0</v>
      </c>
      <c r="Q180" s="2">
        <f ca="1">IFERROR(__xludf.DUMMYFUNCTION("""COMPUTED_VALUE"""),0)</f>
        <v>0</v>
      </c>
      <c r="R180" s="2">
        <f ca="1">IFERROR(__xludf.DUMMYFUNCTION("""COMPUTED_VALUE"""),0)</f>
        <v>0</v>
      </c>
      <c r="S180" s="2">
        <f ca="1">IFERROR(__xludf.DUMMYFUNCTION("""COMPUTED_VALUE"""),0)</f>
        <v>0</v>
      </c>
      <c r="T180" s="2">
        <f ca="1">IFERROR(__xludf.DUMMYFUNCTION("""COMPUTED_VALUE"""),0)</f>
        <v>0</v>
      </c>
      <c r="U180" s="2">
        <f ca="1">IFERROR(__xludf.DUMMYFUNCTION("""COMPUTED_VALUE"""),0)</f>
        <v>0</v>
      </c>
      <c r="V180" s="2">
        <f ca="1">IFERROR(__xludf.DUMMYFUNCTION("""COMPUTED_VALUE"""),0)</f>
        <v>0</v>
      </c>
      <c r="W180" s="2">
        <f ca="1">IFERROR(__xludf.DUMMYFUNCTION("""COMPUTED_VALUE"""),0)</f>
        <v>0</v>
      </c>
      <c r="X180" s="2">
        <f ca="1">IFERROR(__xludf.DUMMYFUNCTION("""COMPUTED_VALUE"""),0)</f>
        <v>0</v>
      </c>
      <c r="Y180" s="2">
        <f ca="1">IFERROR(__xludf.DUMMYFUNCTION("""COMPUTED_VALUE"""),0)</f>
        <v>0</v>
      </c>
      <c r="AB180" s="2"/>
      <c r="AC180" s="2" t="str">
        <f ca="1">IFERROR(__xludf.DUMMYFUNCTION("""COMPUTED_VALUE"""),"X")</f>
        <v>X</v>
      </c>
      <c r="AD180" s="2" t="str">
        <f ca="1">IFERROR(__xludf.DUMMYFUNCTION("""COMPUTED_VALUE"""),"X")</f>
        <v>X</v>
      </c>
      <c r="AE180" s="2" t="str">
        <f ca="1">IFERROR(__xludf.DUMMYFUNCTION("""COMPUTED_VALUE"""),"X")</f>
        <v>X</v>
      </c>
      <c r="AF180" s="2" t="str">
        <f ca="1">IFERROR(__xludf.DUMMYFUNCTION("""COMPUTED_VALUE"""),"X")</f>
        <v>X</v>
      </c>
      <c r="AG180" s="2"/>
      <c r="AH180" s="2"/>
      <c r="AI180" s="2"/>
      <c r="AJ180" s="2"/>
      <c r="AK180" s="2"/>
      <c r="AL180" s="2"/>
      <c r="AM180" s="2">
        <f ca="1">IFERROR(__xludf.DUMMYFUNCTION("""COMPUTED_VALUE"""),0)</f>
        <v>0</v>
      </c>
      <c r="AN180" s="2">
        <f ca="1">IFERROR(__xludf.DUMMYFUNCTION("""COMPUTED_VALUE"""),2.55)</f>
        <v>2.5499999999999998</v>
      </c>
      <c r="AO180" s="2">
        <f ca="1">IFERROR(__xludf.DUMMYFUNCTION("""COMPUTED_VALUE"""),2.52)</f>
        <v>2.52</v>
      </c>
      <c r="AP180" s="2">
        <f ca="1">IFERROR(__xludf.DUMMYFUNCTION("""COMPUTED_VALUE"""),3.5475)</f>
        <v>3.5474999999999999</v>
      </c>
      <c r="AQ180" s="2">
        <f ca="1">IFERROR(__xludf.DUMMYFUNCTION("""COMPUTED_VALUE"""),0.61)</f>
        <v>0.61</v>
      </c>
      <c r="AR180" s="2">
        <f ca="1">IFERROR(__xludf.DUMMYFUNCTION("""COMPUTED_VALUE"""),0)</f>
        <v>0</v>
      </c>
      <c r="AS180" s="2">
        <f ca="1">IFERROR(__xludf.DUMMYFUNCTION("""COMPUTED_VALUE"""),0)</f>
        <v>0</v>
      </c>
      <c r="AT180" s="2">
        <f ca="1">IFERROR(__xludf.DUMMYFUNCTION("""COMPUTED_VALUE"""),0)</f>
        <v>0</v>
      </c>
      <c r="AU180" s="2">
        <f ca="1">IFERROR(__xludf.DUMMYFUNCTION("""COMPUTED_VALUE"""),0)</f>
        <v>0</v>
      </c>
      <c r="AV180" s="2">
        <f ca="1">IFERROR(__xludf.DUMMYFUNCTION("""COMPUTED_VALUE"""),0)</f>
        <v>0</v>
      </c>
      <c r="AW180" s="2">
        <f ca="1">IFERROR(__xludf.DUMMYFUNCTION("""COMPUTED_VALUE"""),0)</f>
        <v>0</v>
      </c>
      <c r="AY180" s="2">
        <f t="shared" ca="1" si="0"/>
        <v>4</v>
      </c>
      <c r="AZ180" s="2" t="e">
        <f ca="1">IF(NOT(COUNTA(D180:J180)), _xludf.IFS(AL180="W", 'Round Bonuses'!$F$14, AL180="X", 'Round Bonuses'!$F$13, AK180="X", 'Round Bonuses'!$F$12, AJ180="X", 'Round Bonuses'!$F$11, AI180="X", 'Round Bonuses'!$F$10, AH180="X", 'Round Bonuses'!$F$9, AG180="X", 'Round Bonuses'!$F$8, AF180="X", 'Round Bonuses'!$F$7, AE180="X", 'Round Bonuses'!$F$6, AD180="X", 'Round Bonuses'!$F$5, AC180="X", 'Round Bonuses'!$F$4, AB180="X", 'Round Bonuses'!$F$3, TRUE, 0), IF(AA180="X", _xludf.IFS(AD180="X", 'Round Bonuses'!$E$4, AF180="X",'Round Bonuses'!$E$6,TRUE, 'Round Bonuses'!$E$7), 0) +IF(AB180="X", 'Round Bonuses'!$E$3, 0)+IF(AC180="X",'Round Bonuses'!$E$4, 0)+IF(AD180="X", 'Round Bonuses'!$E$5, 0)+IF(AE180="X", 'Round Bonuses'!$E$6, 0)+IF(AF180="X", 'Round Bonuses'!$E$7, 0)+IF(AG180="X", 'Round Bonuses'!$E$8, 0)+_xludf.IFS(AL180="W", 'Round Bonuses'!$G$14, AL180="X", 'Round Bonuses'!$G$13, AK180="X", 'Round Bonuses'!$G$12, AJ180="X", 'Round Bonuses'!$G$11, AI180="X", 'Round Bonuses'!$G$10, AH180="X", 'Round Bonuses'!$G$9, TRUE, 0))+_xludf.IFS(N180="W", 'Round Bonuses'!$C$13, N180="X", 'Round Bonuses'!$C$12, M180="X", 'Round Bonuses'!$C$11, L180="X", 'Round Bonuses'!$C$10, K180="X", 'Round Bonuses'!$C$9, J180="X", 'Round Bonuses'!$C$8, I180="X", 'Round Bonuses'!$C$7, H180="X", 'Round Bonuses'!$C$6, G180="X", 'Round Bonuses'!$C$5, F180="X", 'Round Bonuses'!$C$4, E180="X", 'Round Bonuses'!$C$3, D180="X", 'Round Bonuses'!$C$3, TRUE, 0)</f>
        <v>#NAME?</v>
      </c>
      <c r="BA180" s="2">
        <f t="shared" ca="1" si="1"/>
        <v>9.2274999999999991</v>
      </c>
      <c r="BB180" s="10" t="e">
        <f t="shared" ca="1" si="2"/>
        <v>#NAME?</v>
      </c>
      <c r="BD180" s="11" t="str">
        <f t="shared" ca="1" si="3"/>
        <v>Rosenborg</v>
      </c>
      <c r="BE180" s="2" t="str">
        <f t="shared" ca="1" si="4"/>
        <v>Norway</v>
      </c>
      <c r="BF180" s="2" t="e">
        <f t="shared" ca="1" si="5"/>
        <v>#NAME?</v>
      </c>
      <c r="BG180" s="2">
        <f t="shared" ca="1" si="6"/>
        <v>4</v>
      </c>
      <c r="BH180" s="2" t="s">
        <v>245</v>
      </c>
      <c r="BI180" s="2" t="s">
        <v>60</v>
      </c>
      <c r="BJ180" s="7">
        <v>1.2050000000000001</v>
      </c>
      <c r="BK180" s="2">
        <v>1</v>
      </c>
      <c r="BL180" s="2">
        <f t="shared" si="10"/>
        <v>178</v>
      </c>
      <c r="BM180" s="2" t="str">
        <f t="shared" si="7"/>
        <v>Hartberg</v>
      </c>
      <c r="BN180" s="7">
        <f t="shared" ref="BN180:BO180" si="187">BJ180</f>
        <v>1.2050000000000001</v>
      </c>
      <c r="BO180" s="2">
        <f t="shared" si="187"/>
        <v>1</v>
      </c>
      <c r="BS180" s="2" t="str">
        <f t="shared" si="9"/>
        <v>Austria</v>
      </c>
    </row>
    <row r="181" spans="1:71" ht="13.8" x14ac:dyDescent="0.45">
      <c r="A181" s="2" t="str">
        <f ca="1">IFERROR(__xludf.DUMMYFUNCTION("""COMPUTED_VALUE"""),"Rostov")</f>
        <v>Rostov</v>
      </c>
      <c r="B181" s="2">
        <f ca="1">IFERROR(__xludf.DUMMYFUNCTION("""COMPUTED_VALUE"""),0.899999999999999)</f>
        <v>0.89999999999999902</v>
      </c>
      <c r="C181" s="2" t="str">
        <f ca="1">IFERROR(__xludf.DUMMYFUNCTION("""COMPUTED_VALUE"""),"Russia")</f>
        <v>Russia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5">
        <f ca="1">IFERROR(__xludf.DUMMYFUNCTION("""COMPUTED_VALUE"""),0)</f>
        <v>0</v>
      </c>
      <c r="P181" s="2">
        <f ca="1">IFERROR(__xludf.DUMMYFUNCTION("""COMPUTED_VALUE"""),0)</f>
        <v>0</v>
      </c>
      <c r="Q181" s="2">
        <f ca="1">IFERROR(__xludf.DUMMYFUNCTION("""COMPUTED_VALUE"""),0)</f>
        <v>0</v>
      </c>
      <c r="R181" s="2">
        <f ca="1">IFERROR(__xludf.DUMMYFUNCTION("""COMPUTED_VALUE"""),0)</f>
        <v>0</v>
      </c>
      <c r="S181" s="2">
        <f ca="1">IFERROR(__xludf.DUMMYFUNCTION("""COMPUTED_VALUE"""),0)</f>
        <v>0</v>
      </c>
      <c r="T181" s="2">
        <f ca="1">IFERROR(__xludf.DUMMYFUNCTION("""COMPUTED_VALUE"""),0)</f>
        <v>0</v>
      </c>
      <c r="U181" s="2">
        <f ca="1">IFERROR(__xludf.DUMMYFUNCTION("""COMPUTED_VALUE"""),0)</f>
        <v>0</v>
      </c>
      <c r="V181" s="2">
        <f ca="1">IFERROR(__xludf.DUMMYFUNCTION("""COMPUTED_VALUE"""),0)</f>
        <v>0</v>
      </c>
      <c r="W181" s="2">
        <f ca="1">IFERROR(__xludf.DUMMYFUNCTION("""COMPUTED_VALUE"""),0)</f>
        <v>0</v>
      </c>
      <c r="X181" s="2">
        <f ca="1">IFERROR(__xludf.DUMMYFUNCTION("""COMPUTED_VALUE"""),0)</f>
        <v>0</v>
      </c>
      <c r="Y181" s="2">
        <f ca="1">IFERROR(__xludf.DUMMYFUNCTION("""COMPUTED_VALUE"""),0)</f>
        <v>0</v>
      </c>
      <c r="AB181" s="2"/>
      <c r="AC181" s="2"/>
      <c r="AD181" s="2"/>
      <c r="AE181" s="2" t="str">
        <f ca="1">IFERROR(__xludf.DUMMYFUNCTION("""COMPUTED_VALUE"""),"X")</f>
        <v>X</v>
      </c>
      <c r="AF181" s="2"/>
      <c r="AG181" s="2"/>
      <c r="AH181" s="2"/>
      <c r="AI181" s="2"/>
      <c r="AJ181" s="2"/>
      <c r="AK181" s="2"/>
      <c r="AL181" s="2"/>
      <c r="AM181" s="2">
        <f ca="1">IFERROR(__xludf.DUMMYFUNCTION("""COMPUTED_VALUE"""),0)</f>
        <v>0</v>
      </c>
      <c r="AN181" s="2">
        <f ca="1">IFERROR(__xludf.DUMMYFUNCTION("""COMPUTED_VALUE"""),0)</f>
        <v>0</v>
      </c>
      <c r="AO181" s="2">
        <f ca="1">IFERROR(__xludf.DUMMYFUNCTION("""COMPUTED_VALUE"""),0)</f>
        <v>0</v>
      </c>
      <c r="AP181" s="2">
        <f ca="1">IFERROR(__xludf.DUMMYFUNCTION("""COMPUTED_VALUE"""),0.595)</f>
        <v>0.59499999999999997</v>
      </c>
      <c r="AQ181" s="2">
        <f ca="1">IFERROR(__xludf.DUMMYFUNCTION("""COMPUTED_VALUE"""),0)</f>
        <v>0</v>
      </c>
      <c r="AR181" s="2">
        <f ca="1">IFERROR(__xludf.DUMMYFUNCTION("""COMPUTED_VALUE"""),0)</f>
        <v>0</v>
      </c>
      <c r="AS181" s="2">
        <f ca="1">IFERROR(__xludf.DUMMYFUNCTION("""COMPUTED_VALUE"""),0)</f>
        <v>0</v>
      </c>
      <c r="AT181" s="2">
        <f ca="1">IFERROR(__xludf.DUMMYFUNCTION("""COMPUTED_VALUE"""),0)</f>
        <v>0</v>
      </c>
      <c r="AU181" s="2">
        <f ca="1">IFERROR(__xludf.DUMMYFUNCTION("""COMPUTED_VALUE"""),0)</f>
        <v>0</v>
      </c>
      <c r="AV181" s="2">
        <f ca="1">IFERROR(__xludf.DUMMYFUNCTION("""COMPUTED_VALUE"""),0)</f>
        <v>0</v>
      </c>
      <c r="AW181" s="2">
        <f ca="1">IFERROR(__xludf.DUMMYFUNCTION("""COMPUTED_VALUE"""),0)</f>
        <v>0</v>
      </c>
      <c r="AY181" s="2">
        <f t="shared" ca="1" si="0"/>
        <v>1</v>
      </c>
      <c r="AZ181" s="2" t="e">
        <f ca="1">IF(NOT(COUNTA(D181:J181)), _xludf.IFS(AL181="W", 'Round Bonuses'!$F$14, AL181="X", 'Round Bonuses'!$F$13, AK181="X", 'Round Bonuses'!$F$12, AJ181="X", 'Round Bonuses'!$F$11, AI181="X", 'Round Bonuses'!$F$10, AH181="X", 'Round Bonuses'!$F$9, AG181="X", 'Round Bonuses'!$F$8, AF181="X", 'Round Bonuses'!$F$7, AE181="X", 'Round Bonuses'!$F$6, AD181="X", 'Round Bonuses'!$F$5, AC181="X", 'Round Bonuses'!$F$4, AB181="X", 'Round Bonuses'!$F$3, TRUE, 0), IF(AA181="X", _xludf.IFS(AD181="X", 'Round Bonuses'!$E$4, AF181="X",'Round Bonuses'!$E$6,TRUE, 'Round Bonuses'!$E$7), 0) +IF(AB181="X", 'Round Bonuses'!$E$3, 0)+IF(AC181="X",'Round Bonuses'!$E$4, 0)+IF(AD181="X", 'Round Bonuses'!$E$5, 0)+IF(AE181="X", 'Round Bonuses'!$E$6, 0)+IF(AF181="X", 'Round Bonuses'!$E$7, 0)+IF(AG181="X", 'Round Bonuses'!$E$8, 0)+_xludf.IFS(AL181="W", 'Round Bonuses'!$G$14, AL181="X", 'Round Bonuses'!$G$13, AK181="X", 'Round Bonuses'!$G$12, AJ181="X", 'Round Bonuses'!$G$11, AI181="X", 'Round Bonuses'!$G$10, AH181="X", 'Round Bonuses'!$G$9, TRUE, 0))+_xludf.IFS(N181="W", 'Round Bonuses'!$C$13, N181="X", 'Round Bonuses'!$C$12, M181="X", 'Round Bonuses'!$C$11, L181="X", 'Round Bonuses'!$C$10, K181="X", 'Round Bonuses'!$C$9, J181="X", 'Round Bonuses'!$C$8, I181="X", 'Round Bonuses'!$C$7, H181="X", 'Round Bonuses'!$C$6, G181="X", 'Round Bonuses'!$C$5, F181="X", 'Round Bonuses'!$C$4, E181="X", 'Round Bonuses'!$C$3, D181="X", 'Round Bonuses'!$C$3, TRUE, 0)</f>
        <v>#NAME?</v>
      </c>
      <c r="BA181" s="2">
        <f t="shared" ca="1" si="1"/>
        <v>0.59499999999999997</v>
      </c>
      <c r="BB181" s="10" t="e">
        <f t="shared" ca="1" si="2"/>
        <v>#NAME?</v>
      </c>
      <c r="BD181" s="11" t="str">
        <f t="shared" ca="1" si="3"/>
        <v>Rostov</v>
      </c>
      <c r="BE181" s="2" t="str">
        <f t="shared" ca="1" si="4"/>
        <v>Russia</v>
      </c>
      <c r="BF181" s="2" t="e">
        <f t="shared" ca="1" si="5"/>
        <v>#NAME?</v>
      </c>
      <c r="BG181" s="2">
        <f t="shared" ca="1" si="6"/>
        <v>1</v>
      </c>
      <c r="BH181" s="2" t="s">
        <v>246</v>
      </c>
      <c r="BI181" s="2" t="s">
        <v>247</v>
      </c>
      <c r="BJ181" s="7">
        <v>1.175</v>
      </c>
      <c r="BK181" s="2">
        <v>2</v>
      </c>
      <c r="BL181" s="2">
        <f t="shared" si="10"/>
        <v>179</v>
      </c>
      <c r="BM181" s="2" t="str">
        <f t="shared" si="7"/>
        <v>Inter Club d'Escaldes</v>
      </c>
      <c r="BN181" s="7">
        <f t="shared" ref="BN181:BO181" si="188">BJ181</f>
        <v>1.175</v>
      </c>
      <c r="BO181" s="2">
        <f t="shared" si="188"/>
        <v>2</v>
      </c>
      <c r="BS181" s="2" t="str">
        <f t="shared" si="9"/>
        <v>Andorra</v>
      </c>
    </row>
    <row r="182" spans="1:71" ht="13.8" x14ac:dyDescent="0.45">
      <c r="A182" s="2" t="str">
        <f ca="1">IFERROR(__xludf.DUMMYFUNCTION("""COMPUTED_VALUE"""),"Ružomberok")</f>
        <v>Ružomberok</v>
      </c>
      <c r="B182" s="2">
        <f ca="1">IFERROR(__xludf.DUMMYFUNCTION("""COMPUTED_VALUE"""),0.669999999999999)</f>
        <v>0.66999999999999904</v>
      </c>
      <c r="C182" s="2" t="str">
        <f ca="1">IFERROR(__xludf.DUMMYFUNCTION("""COMPUTED_VALUE"""),"Slovakia")</f>
        <v>Slovakia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5">
        <f ca="1">IFERROR(__xludf.DUMMYFUNCTION("""COMPUTED_VALUE"""),0)</f>
        <v>0</v>
      </c>
      <c r="P182" s="2">
        <f ca="1">IFERROR(__xludf.DUMMYFUNCTION("""COMPUTED_VALUE"""),0)</f>
        <v>0</v>
      </c>
      <c r="Q182" s="2">
        <f ca="1">IFERROR(__xludf.DUMMYFUNCTION("""COMPUTED_VALUE"""),0)</f>
        <v>0</v>
      </c>
      <c r="R182" s="2">
        <f ca="1">IFERROR(__xludf.DUMMYFUNCTION("""COMPUTED_VALUE"""),0)</f>
        <v>0</v>
      </c>
      <c r="S182" s="2">
        <f ca="1">IFERROR(__xludf.DUMMYFUNCTION("""COMPUTED_VALUE"""),0)</f>
        <v>0</v>
      </c>
      <c r="T182" s="2">
        <f ca="1">IFERROR(__xludf.DUMMYFUNCTION("""COMPUTED_VALUE"""),0)</f>
        <v>0</v>
      </c>
      <c r="U182" s="2">
        <f ca="1">IFERROR(__xludf.DUMMYFUNCTION("""COMPUTED_VALUE"""),0)</f>
        <v>0</v>
      </c>
      <c r="V182" s="2">
        <f ca="1">IFERROR(__xludf.DUMMYFUNCTION("""COMPUTED_VALUE"""),0)</f>
        <v>0</v>
      </c>
      <c r="W182" s="2">
        <f ca="1">IFERROR(__xludf.DUMMYFUNCTION("""COMPUTED_VALUE"""),0)</f>
        <v>0</v>
      </c>
      <c r="X182" s="2">
        <f ca="1">IFERROR(__xludf.DUMMYFUNCTION("""COMPUTED_VALUE"""),0)</f>
        <v>0</v>
      </c>
      <c r="Y182" s="2">
        <f ca="1">IFERROR(__xludf.DUMMYFUNCTION("""COMPUTED_VALUE"""),0)</f>
        <v>0</v>
      </c>
      <c r="AB182" s="2"/>
      <c r="AC182" s="2" t="str">
        <f ca="1">IFERROR(__xludf.DUMMYFUNCTION("""COMPUTED_VALUE"""),"X")</f>
        <v>X</v>
      </c>
      <c r="AD182" s="2"/>
      <c r="AE182" s="2"/>
      <c r="AF182" s="2"/>
      <c r="AG182" s="2"/>
      <c r="AH182" s="2"/>
      <c r="AI182" s="2"/>
      <c r="AJ182" s="2"/>
      <c r="AK182" s="2"/>
      <c r="AL182" s="2"/>
      <c r="AM182" s="2">
        <f ca="1">IFERROR(__xludf.DUMMYFUNCTION("""COMPUTED_VALUE"""),0)</f>
        <v>0</v>
      </c>
      <c r="AN182" s="2">
        <f ca="1">IFERROR(__xludf.DUMMYFUNCTION("""COMPUTED_VALUE"""),0.424999999999999)</f>
        <v>0.42499999999999899</v>
      </c>
      <c r="AO182" s="2">
        <f ca="1">IFERROR(__xludf.DUMMYFUNCTION("""COMPUTED_VALUE"""),0)</f>
        <v>0</v>
      </c>
      <c r="AP182" s="2">
        <f ca="1">IFERROR(__xludf.DUMMYFUNCTION("""COMPUTED_VALUE"""),0)</f>
        <v>0</v>
      </c>
      <c r="AQ182" s="2">
        <f ca="1">IFERROR(__xludf.DUMMYFUNCTION("""COMPUTED_VALUE"""),0)</f>
        <v>0</v>
      </c>
      <c r="AR182" s="2">
        <f ca="1">IFERROR(__xludf.DUMMYFUNCTION("""COMPUTED_VALUE"""),0)</f>
        <v>0</v>
      </c>
      <c r="AS182" s="2">
        <f ca="1">IFERROR(__xludf.DUMMYFUNCTION("""COMPUTED_VALUE"""),0)</f>
        <v>0</v>
      </c>
      <c r="AT182" s="2">
        <f ca="1">IFERROR(__xludf.DUMMYFUNCTION("""COMPUTED_VALUE"""),0)</f>
        <v>0</v>
      </c>
      <c r="AU182" s="2">
        <f ca="1">IFERROR(__xludf.DUMMYFUNCTION("""COMPUTED_VALUE"""),0)</f>
        <v>0</v>
      </c>
      <c r="AV182" s="2">
        <f ca="1">IFERROR(__xludf.DUMMYFUNCTION("""COMPUTED_VALUE"""),0)</f>
        <v>0</v>
      </c>
      <c r="AW182" s="2">
        <f ca="1">IFERROR(__xludf.DUMMYFUNCTION("""COMPUTED_VALUE"""),0)</f>
        <v>0</v>
      </c>
      <c r="AY182" s="2">
        <f t="shared" ca="1" si="0"/>
        <v>1</v>
      </c>
      <c r="AZ182" s="2" t="e">
        <f ca="1">IF(NOT(COUNTA(D182:J182)), _xludf.IFS(AL182="W", 'Round Bonuses'!$F$14, AL182="X", 'Round Bonuses'!$F$13, AK182="X", 'Round Bonuses'!$F$12, AJ182="X", 'Round Bonuses'!$F$11, AI182="X", 'Round Bonuses'!$F$10, AH182="X", 'Round Bonuses'!$F$9, AG182="X", 'Round Bonuses'!$F$8, AF182="X", 'Round Bonuses'!$F$7, AE182="X", 'Round Bonuses'!$F$6, AD182="X", 'Round Bonuses'!$F$5, AC182="X", 'Round Bonuses'!$F$4, AB182="X", 'Round Bonuses'!$F$3, TRUE, 0), IF(AA182="X", _xludf.IFS(AD182="X", 'Round Bonuses'!$E$4, AF182="X",'Round Bonuses'!$E$6,TRUE, 'Round Bonuses'!$E$7), 0) +IF(AB182="X", 'Round Bonuses'!$E$3, 0)+IF(AC182="X",'Round Bonuses'!$E$4, 0)+IF(AD182="X", 'Round Bonuses'!$E$5, 0)+IF(AE182="X", 'Round Bonuses'!$E$6, 0)+IF(AF182="X", 'Round Bonuses'!$E$7, 0)+IF(AG182="X", 'Round Bonuses'!$E$8, 0)+_xludf.IFS(AL182="W", 'Round Bonuses'!$G$14, AL182="X", 'Round Bonuses'!$G$13, AK182="X", 'Round Bonuses'!$G$12, AJ182="X", 'Round Bonuses'!$G$11, AI182="X", 'Round Bonuses'!$G$10, AH182="X", 'Round Bonuses'!$G$9, TRUE, 0))+_xludf.IFS(N182="W", 'Round Bonuses'!$C$13, N182="X", 'Round Bonuses'!$C$12, M182="X", 'Round Bonuses'!$C$11, L182="X", 'Round Bonuses'!$C$10, K182="X", 'Round Bonuses'!$C$9, J182="X", 'Round Bonuses'!$C$8, I182="X", 'Round Bonuses'!$C$7, H182="X", 'Round Bonuses'!$C$6, G182="X", 'Round Bonuses'!$C$5, F182="X", 'Round Bonuses'!$C$4, E182="X", 'Round Bonuses'!$C$3, D182="X", 'Round Bonuses'!$C$3, TRUE, 0)</f>
        <v>#NAME?</v>
      </c>
      <c r="BA182" s="2">
        <f t="shared" ca="1" si="1"/>
        <v>0.42499999999999899</v>
      </c>
      <c r="BB182" s="10" t="e">
        <f t="shared" ca="1" si="2"/>
        <v>#NAME?</v>
      </c>
      <c r="BD182" s="11" t="str">
        <f t="shared" ca="1" si="3"/>
        <v>Ružomberok</v>
      </c>
      <c r="BE182" s="2" t="str">
        <f t="shared" ca="1" si="4"/>
        <v>Slovakia</v>
      </c>
      <c r="BF182" s="2" t="e">
        <f t="shared" ca="1" si="5"/>
        <v>#NAME?</v>
      </c>
      <c r="BG182" s="2">
        <f t="shared" ca="1" si="6"/>
        <v>1</v>
      </c>
      <c r="BH182" s="2" t="s">
        <v>248</v>
      </c>
      <c r="BI182" s="2" t="s">
        <v>249</v>
      </c>
      <c r="BJ182" s="7">
        <v>1.1324999999999998</v>
      </c>
      <c r="BK182" s="2">
        <v>2</v>
      </c>
      <c r="BL182" s="2">
        <f t="shared" si="10"/>
        <v>180</v>
      </c>
      <c r="BM182" s="2" t="str">
        <f t="shared" si="7"/>
        <v>KR</v>
      </c>
      <c r="BN182" s="7">
        <f t="shared" ref="BN182:BO182" si="189">BJ182</f>
        <v>1.1324999999999998</v>
      </c>
      <c r="BO182" s="2">
        <f t="shared" si="189"/>
        <v>2</v>
      </c>
      <c r="BS182" s="2" t="str">
        <f t="shared" si="9"/>
        <v>Iceland</v>
      </c>
    </row>
    <row r="183" spans="1:71" ht="13.8" x14ac:dyDescent="0.45">
      <c r="A183" s="2" t="str">
        <f ca="1">IFERROR(__xludf.DUMMYFUNCTION("""COMPUTED_VALUE"""),"Saburtalo Tbilisi")</f>
        <v>Saburtalo Tbilisi</v>
      </c>
      <c r="B183" s="2">
        <f ca="1">IFERROR(__xludf.DUMMYFUNCTION("""COMPUTED_VALUE"""),0.51)</f>
        <v>0.51</v>
      </c>
      <c r="C183" s="2" t="str">
        <f ca="1">IFERROR(__xludf.DUMMYFUNCTION("""COMPUTED_VALUE"""),"Georgia")</f>
        <v>Georgia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5">
        <f ca="1">IFERROR(__xludf.DUMMYFUNCTION("""COMPUTED_VALUE"""),0)</f>
        <v>0</v>
      </c>
      <c r="P183" s="2">
        <f ca="1">IFERROR(__xludf.DUMMYFUNCTION("""COMPUTED_VALUE"""),0)</f>
        <v>0</v>
      </c>
      <c r="Q183" s="2">
        <f ca="1">IFERROR(__xludf.DUMMYFUNCTION("""COMPUTED_VALUE"""),0)</f>
        <v>0</v>
      </c>
      <c r="R183" s="2">
        <f ca="1">IFERROR(__xludf.DUMMYFUNCTION("""COMPUTED_VALUE"""),0)</f>
        <v>0</v>
      </c>
      <c r="S183" s="2">
        <f ca="1">IFERROR(__xludf.DUMMYFUNCTION("""COMPUTED_VALUE"""),0)</f>
        <v>0</v>
      </c>
      <c r="T183" s="2">
        <f ca="1">IFERROR(__xludf.DUMMYFUNCTION("""COMPUTED_VALUE"""),0)</f>
        <v>0</v>
      </c>
      <c r="U183" s="2">
        <f ca="1">IFERROR(__xludf.DUMMYFUNCTION("""COMPUTED_VALUE"""),0)</f>
        <v>0</v>
      </c>
      <c r="V183" s="2">
        <f ca="1">IFERROR(__xludf.DUMMYFUNCTION("""COMPUTED_VALUE"""),0)</f>
        <v>0</v>
      </c>
      <c r="W183" s="2">
        <f ca="1">IFERROR(__xludf.DUMMYFUNCTION("""COMPUTED_VALUE"""),0)</f>
        <v>0</v>
      </c>
      <c r="X183" s="2">
        <f ca="1">IFERROR(__xludf.DUMMYFUNCTION("""COMPUTED_VALUE"""),0)</f>
        <v>0</v>
      </c>
      <c r="Y183" s="2">
        <f ca="1">IFERROR(__xludf.DUMMYFUNCTION("""COMPUTED_VALUE"""),0)</f>
        <v>0</v>
      </c>
      <c r="AB183" s="2"/>
      <c r="AC183" s="2" t="str">
        <f ca="1">IFERROR(__xludf.DUMMYFUNCTION("""COMPUTED_VALUE"""),"X")</f>
        <v>X</v>
      </c>
      <c r="AD183" s="2"/>
      <c r="AE183" s="2"/>
      <c r="AF183" s="2"/>
      <c r="AG183" s="2"/>
      <c r="AH183" s="2"/>
      <c r="AI183" s="2"/>
      <c r="AJ183" s="2"/>
      <c r="AK183" s="2"/>
      <c r="AL183" s="2"/>
      <c r="AM183" s="2">
        <f ca="1">IFERROR(__xludf.DUMMYFUNCTION("""COMPUTED_VALUE"""),0)</f>
        <v>0</v>
      </c>
      <c r="AN183" s="2">
        <f ca="1">IFERROR(__xludf.DUMMYFUNCTION("""COMPUTED_VALUE"""),0.29)</f>
        <v>0.28999999999999998</v>
      </c>
      <c r="AO183" s="2">
        <f ca="1">IFERROR(__xludf.DUMMYFUNCTION("""COMPUTED_VALUE"""),0)</f>
        <v>0</v>
      </c>
      <c r="AP183" s="2">
        <f ca="1">IFERROR(__xludf.DUMMYFUNCTION("""COMPUTED_VALUE"""),0)</f>
        <v>0</v>
      </c>
      <c r="AQ183" s="2">
        <f ca="1">IFERROR(__xludf.DUMMYFUNCTION("""COMPUTED_VALUE"""),0)</f>
        <v>0</v>
      </c>
      <c r="AR183" s="2">
        <f ca="1">IFERROR(__xludf.DUMMYFUNCTION("""COMPUTED_VALUE"""),0)</f>
        <v>0</v>
      </c>
      <c r="AS183" s="2">
        <f ca="1">IFERROR(__xludf.DUMMYFUNCTION("""COMPUTED_VALUE"""),0)</f>
        <v>0</v>
      </c>
      <c r="AT183" s="2">
        <f ca="1">IFERROR(__xludf.DUMMYFUNCTION("""COMPUTED_VALUE"""),0)</f>
        <v>0</v>
      </c>
      <c r="AU183" s="2">
        <f ca="1">IFERROR(__xludf.DUMMYFUNCTION("""COMPUTED_VALUE"""),0)</f>
        <v>0</v>
      </c>
      <c r="AV183" s="2">
        <f ca="1">IFERROR(__xludf.DUMMYFUNCTION("""COMPUTED_VALUE"""),0)</f>
        <v>0</v>
      </c>
      <c r="AW183" s="2">
        <f ca="1">IFERROR(__xludf.DUMMYFUNCTION("""COMPUTED_VALUE"""),0)</f>
        <v>0</v>
      </c>
      <c r="AY183" s="2">
        <f t="shared" ca="1" si="0"/>
        <v>1</v>
      </c>
      <c r="AZ183" s="2" t="e">
        <f ca="1">IF(NOT(COUNTA(D183:J183)), _xludf.IFS(AL183="W", 'Round Bonuses'!$F$14, AL183="X", 'Round Bonuses'!$F$13, AK183="X", 'Round Bonuses'!$F$12, AJ183="X", 'Round Bonuses'!$F$11, AI183="X", 'Round Bonuses'!$F$10, AH183="X", 'Round Bonuses'!$F$9, AG183="X", 'Round Bonuses'!$F$8, AF183="X", 'Round Bonuses'!$F$7, AE183="X", 'Round Bonuses'!$F$6, AD183="X", 'Round Bonuses'!$F$5, AC183="X", 'Round Bonuses'!$F$4, AB183="X", 'Round Bonuses'!$F$3, TRUE, 0), IF(AA183="X", _xludf.IFS(AD183="X", 'Round Bonuses'!$E$4, AF183="X",'Round Bonuses'!$E$6,TRUE, 'Round Bonuses'!$E$7), 0) +IF(AB183="X", 'Round Bonuses'!$E$3, 0)+IF(AC183="X",'Round Bonuses'!$E$4, 0)+IF(AD183="X", 'Round Bonuses'!$E$5, 0)+IF(AE183="X", 'Round Bonuses'!$E$6, 0)+IF(AF183="X", 'Round Bonuses'!$E$7, 0)+IF(AG183="X", 'Round Bonuses'!$E$8, 0)+_xludf.IFS(AL183="W", 'Round Bonuses'!$G$14, AL183="X", 'Round Bonuses'!$G$13, AK183="X", 'Round Bonuses'!$G$12, AJ183="X", 'Round Bonuses'!$G$11, AI183="X", 'Round Bonuses'!$G$10, AH183="X", 'Round Bonuses'!$G$9, TRUE, 0))+_xludf.IFS(N183="W", 'Round Bonuses'!$C$13, N183="X", 'Round Bonuses'!$C$12, M183="X", 'Round Bonuses'!$C$11, L183="X", 'Round Bonuses'!$C$10, K183="X", 'Round Bonuses'!$C$9, J183="X", 'Round Bonuses'!$C$8, I183="X", 'Round Bonuses'!$C$7, H183="X", 'Round Bonuses'!$C$6, G183="X", 'Round Bonuses'!$C$5, F183="X", 'Round Bonuses'!$C$4, E183="X", 'Round Bonuses'!$C$3, D183="X", 'Round Bonuses'!$C$3, TRUE, 0)</f>
        <v>#NAME?</v>
      </c>
      <c r="BA183" s="2">
        <f t="shared" ca="1" si="1"/>
        <v>0.28999999999999998</v>
      </c>
      <c r="BB183" s="10" t="e">
        <f t="shared" ca="1" si="2"/>
        <v>#NAME?</v>
      </c>
      <c r="BD183" s="11" t="str">
        <f t="shared" ca="1" si="3"/>
        <v>Saburtalo Tbilisi</v>
      </c>
      <c r="BE183" s="2" t="str">
        <f t="shared" ca="1" si="4"/>
        <v>Georgia</v>
      </c>
      <c r="BF183" s="2" t="e">
        <f t="shared" ca="1" si="5"/>
        <v>#NAME?</v>
      </c>
      <c r="BG183" s="2">
        <f t="shared" ca="1" si="6"/>
        <v>1</v>
      </c>
      <c r="BH183" s="2" t="s">
        <v>250</v>
      </c>
      <c r="BI183" s="2" t="s">
        <v>157</v>
      </c>
      <c r="BJ183" s="7">
        <v>1.1299999999999999</v>
      </c>
      <c r="BK183" s="2">
        <v>2</v>
      </c>
      <c r="BL183" s="2">
        <f t="shared" si="10"/>
        <v>181</v>
      </c>
      <c r="BM183" s="2" t="str">
        <f t="shared" si="7"/>
        <v>Sileks</v>
      </c>
      <c r="BN183" s="7">
        <f t="shared" ref="BN183:BO183" si="190">BJ183</f>
        <v>1.1299999999999999</v>
      </c>
      <c r="BO183" s="2">
        <f t="shared" si="190"/>
        <v>2</v>
      </c>
      <c r="BS183" s="2" t="str">
        <f t="shared" si="9"/>
        <v>North Macedonia</v>
      </c>
    </row>
    <row r="184" spans="1:71" ht="13.8" x14ac:dyDescent="0.45">
      <c r="A184" s="2" t="str">
        <f ca="1">IFERROR(__xludf.DUMMYFUNCTION("""COMPUTED_VALUE"""),"Sarajevo")</f>
        <v>Sarajevo</v>
      </c>
      <c r="B184" s="2">
        <f ca="1">IFERROR(__xludf.DUMMYFUNCTION("""COMPUTED_VALUE"""),0.6)</f>
        <v>0.6</v>
      </c>
      <c r="C184" s="2" t="str">
        <f ca="1">IFERROR(__xludf.DUMMYFUNCTION("""COMPUTED_VALUE"""),"Bosnia and Herzegovina")</f>
        <v>Bosnia and Herzegovina</v>
      </c>
      <c r="D184" s="2"/>
      <c r="E184" s="2"/>
      <c r="F184" s="2" t="str">
        <f ca="1">IFERROR(__xludf.DUMMYFUNCTION("""COMPUTED_VALUE"""),"X")</f>
        <v>X</v>
      </c>
      <c r="G184" s="2" t="str">
        <f ca="1">IFERROR(__xludf.DUMMYFUNCTION("""COMPUTED_VALUE"""),"X")</f>
        <v>X</v>
      </c>
      <c r="H184" s="2"/>
      <c r="I184" s="2"/>
      <c r="J184" s="2"/>
      <c r="K184" s="2"/>
      <c r="L184" s="2"/>
      <c r="M184" s="2"/>
      <c r="N184" s="2"/>
      <c r="O184" s="5">
        <f ca="1">IFERROR(__xludf.DUMMYFUNCTION("""COMPUTED_VALUE"""),0)</f>
        <v>0</v>
      </c>
      <c r="P184" s="2">
        <f ca="1">IFERROR(__xludf.DUMMYFUNCTION("""COMPUTED_VALUE"""),0)</f>
        <v>0</v>
      </c>
      <c r="Q184" s="2">
        <f ca="1">IFERROR(__xludf.DUMMYFUNCTION("""COMPUTED_VALUE"""),2.21)</f>
        <v>2.21</v>
      </c>
      <c r="R184" s="2">
        <f ca="1">IFERROR(__xludf.DUMMYFUNCTION("""COMPUTED_VALUE"""),0.665)</f>
        <v>0.66500000000000004</v>
      </c>
      <c r="S184" s="2">
        <f ca="1">IFERROR(__xludf.DUMMYFUNCTION("""COMPUTED_VALUE"""),0)</f>
        <v>0</v>
      </c>
      <c r="T184" s="2">
        <f ca="1">IFERROR(__xludf.DUMMYFUNCTION("""COMPUTED_VALUE"""),0)</f>
        <v>0</v>
      </c>
      <c r="U184" s="2">
        <f ca="1">IFERROR(__xludf.DUMMYFUNCTION("""COMPUTED_VALUE"""),0)</f>
        <v>0</v>
      </c>
      <c r="V184" s="2">
        <f ca="1">IFERROR(__xludf.DUMMYFUNCTION("""COMPUTED_VALUE"""),0)</f>
        <v>0</v>
      </c>
      <c r="W184" s="2">
        <f ca="1">IFERROR(__xludf.DUMMYFUNCTION("""COMPUTED_VALUE"""),0)</f>
        <v>0</v>
      </c>
      <c r="X184" s="2">
        <f ca="1">IFERROR(__xludf.DUMMYFUNCTION("""COMPUTED_VALUE"""),0)</f>
        <v>0</v>
      </c>
      <c r="Y184" s="2">
        <f ca="1">IFERROR(__xludf.DUMMYFUNCTION("""COMPUTED_VALUE"""),0)</f>
        <v>0</v>
      </c>
      <c r="AB184" s="2"/>
      <c r="AC184" s="2"/>
      <c r="AD184" s="2"/>
      <c r="AE184" s="2" t="str">
        <f ca="1">IFERROR(__xludf.DUMMYFUNCTION("""COMPUTED_VALUE"""),"X")</f>
        <v>X</v>
      </c>
      <c r="AF184" s="2" t="str">
        <f ca="1">IFERROR(__xludf.DUMMYFUNCTION("""COMPUTED_VALUE"""),"X")</f>
        <v>X</v>
      </c>
      <c r="AG184" s="2"/>
      <c r="AH184" s="2"/>
      <c r="AI184" s="2"/>
      <c r="AJ184" s="2"/>
      <c r="AK184" s="2"/>
      <c r="AL184" s="2"/>
      <c r="AM184" s="2">
        <f ca="1">IFERROR(__xludf.DUMMYFUNCTION("""COMPUTED_VALUE"""),0)</f>
        <v>0</v>
      </c>
      <c r="AN184" s="2">
        <f ca="1">IFERROR(__xludf.DUMMYFUNCTION("""COMPUTED_VALUE"""),0)</f>
        <v>0</v>
      </c>
      <c r="AO184" s="2">
        <f ca="1">IFERROR(__xludf.DUMMYFUNCTION("""COMPUTED_VALUE"""),0)</f>
        <v>0</v>
      </c>
      <c r="AP184" s="2">
        <f ca="1">IFERROR(__xludf.DUMMYFUNCTION("""COMPUTED_VALUE"""),2.10375)</f>
        <v>2.1037499999999998</v>
      </c>
      <c r="AQ184" s="2">
        <f ca="1">IFERROR(__xludf.DUMMYFUNCTION("""COMPUTED_VALUE"""),0.675)</f>
        <v>0.67500000000000004</v>
      </c>
      <c r="AR184" s="2">
        <f ca="1">IFERROR(__xludf.DUMMYFUNCTION("""COMPUTED_VALUE"""),0)</f>
        <v>0</v>
      </c>
      <c r="AS184" s="2">
        <f ca="1">IFERROR(__xludf.DUMMYFUNCTION("""COMPUTED_VALUE"""),0)</f>
        <v>0</v>
      </c>
      <c r="AT184" s="2">
        <f ca="1">IFERROR(__xludf.DUMMYFUNCTION("""COMPUTED_VALUE"""),0)</f>
        <v>0</v>
      </c>
      <c r="AU184" s="2">
        <f ca="1">IFERROR(__xludf.DUMMYFUNCTION("""COMPUTED_VALUE"""),0)</f>
        <v>0</v>
      </c>
      <c r="AV184" s="2">
        <f ca="1">IFERROR(__xludf.DUMMYFUNCTION("""COMPUTED_VALUE"""),0)</f>
        <v>0</v>
      </c>
      <c r="AW184" s="2">
        <f ca="1">IFERROR(__xludf.DUMMYFUNCTION("""COMPUTED_VALUE"""),0)</f>
        <v>0</v>
      </c>
      <c r="AY184" s="2">
        <f t="shared" ca="1" si="0"/>
        <v>4</v>
      </c>
      <c r="AZ184" s="2" t="e">
        <f ca="1">IF(NOT(COUNTA(D184:J184)), _xludf.IFS(AL184="W", 'Round Bonuses'!$F$14, AL184="X", 'Round Bonuses'!$F$13, AK184="X", 'Round Bonuses'!$F$12, AJ184="X", 'Round Bonuses'!$F$11, AI184="X", 'Round Bonuses'!$F$10, AH184="X", 'Round Bonuses'!$F$9, AG184="X", 'Round Bonuses'!$F$8, AF184="X", 'Round Bonuses'!$F$7, AE184="X", 'Round Bonuses'!$F$6, AD184="X", 'Round Bonuses'!$F$5, AC184="X", 'Round Bonuses'!$F$4, AB184="X", 'Round Bonuses'!$F$3, TRUE, 0), IF(AA184="X", _xludf.IFS(AD184="X", 'Round Bonuses'!$E$4, AF184="X",'Round Bonuses'!$E$6,TRUE, 'Round Bonuses'!$E$7), 0) +IF(AB184="X", 'Round Bonuses'!$E$3, 0)+IF(AC184="X",'Round Bonuses'!$E$4, 0)+IF(AD184="X", 'Round Bonuses'!$E$5, 0)+IF(AE184="X", 'Round Bonuses'!$E$6, 0)+IF(AF184="X", 'Round Bonuses'!$E$7, 0)+IF(AG184="X", 'Round Bonuses'!$E$8, 0)+_xludf.IFS(AL184="W", 'Round Bonuses'!$G$14, AL184="X", 'Round Bonuses'!$G$13, AK184="X", 'Round Bonuses'!$G$12, AJ184="X", 'Round Bonuses'!$G$11, AI184="X", 'Round Bonuses'!$G$10, AH184="X", 'Round Bonuses'!$G$9, TRUE, 0))+_xludf.IFS(N184="W", 'Round Bonuses'!$C$13, N184="X", 'Round Bonuses'!$C$12, M184="X", 'Round Bonuses'!$C$11, L184="X", 'Round Bonuses'!$C$10, K184="X", 'Round Bonuses'!$C$9, J184="X", 'Round Bonuses'!$C$8, I184="X", 'Round Bonuses'!$C$7, H184="X", 'Round Bonuses'!$C$6, G184="X", 'Round Bonuses'!$C$5, F184="X", 'Round Bonuses'!$C$4, E184="X", 'Round Bonuses'!$C$3, D184="X", 'Round Bonuses'!$C$3, TRUE, 0)</f>
        <v>#NAME?</v>
      </c>
      <c r="BA184" s="2">
        <f t="shared" ca="1" si="1"/>
        <v>5.6537499999999996</v>
      </c>
      <c r="BB184" s="10" t="e">
        <f t="shared" ca="1" si="2"/>
        <v>#NAME?</v>
      </c>
      <c r="BD184" s="11" t="str">
        <f t="shared" ca="1" si="3"/>
        <v>Sarajevo</v>
      </c>
      <c r="BE184" s="2" t="str">
        <f t="shared" ca="1" si="4"/>
        <v>Bosnia and Herzegovina</v>
      </c>
      <c r="BF184" s="2" t="e">
        <f t="shared" ca="1" si="5"/>
        <v>#NAME?</v>
      </c>
      <c r="BG184" s="2">
        <f t="shared" ca="1" si="6"/>
        <v>4</v>
      </c>
      <c r="BH184" s="2" t="s">
        <v>251</v>
      </c>
      <c r="BI184" s="2" t="s">
        <v>58</v>
      </c>
      <c r="BJ184" s="7">
        <v>1.1200000000000001</v>
      </c>
      <c r="BK184" s="2">
        <v>1</v>
      </c>
      <c r="BL184" s="2">
        <f t="shared" si="10"/>
        <v>182</v>
      </c>
      <c r="BM184" s="2" t="str">
        <f t="shared" si="7"/>
        <v>Viking</v>
      </c>
      <c r="BN184" s="7">
        <f t="shared" ref="BN184:BO184" si="191">BJ184</f>
        <v>1.1200000000000001</v>
      </c>
      <c r="BO184" s="2">
        <f t="shared" si="191"/>
        <v>1</v>
      </c>
      <c r="BS184" s="2" t="str">
        <f t="shared" si="9"/>
        <v>Norway</v>
      </c>
    </row>
    <row r="185" spans="1:71" ht="13.8" x14ac:dyDescent="0.45">
      <c r="A185" s="2" t="str">
        <f ca="1">IFERROR(__xludf.DUMMYFUNCTION("""COMPUTED_VALUE"""),"Servette")</f>
        <v>Servette</v>
      </c>
      <c r="B185" s="2">
        <f ca="1">IFERROR(__xludf.DUMMYFUNCTION("""COMPUTED_VALUE"""),0.799999999999999)</f>
        <v>0.79999999999999905</v>
      </c>
      <c r="C185" s="2" t="str">
        <f ca="1">IFERROR(__xludf.DUMMYFUNCTION("""COMPUTED_VALUE"""),"Switzerland")</f>
        <v>Switzerland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5">
        <f ca="1">IFERROR(__xludf.DUMMYFUNCTION("""COMPUTED_VALUE"""),0)</f>
        <v>0</v>
      </c>
      <c r="P185" s="2">
        <f ca="1">IFERROR(__xludf.DUMMYFUNCTION("""COMPUTED_VALUE"""),0)</f>
        <v>0</v>
      </c>
      <c r="Q185" s="2">
        <f ca="1">IFERROR(__xludf.DUMMYFUNCTION("""COMPUTED_VALUE"""),0)</f>
        <v>0</v>
      </c>
      <c r="R185" s="2">
        <f ca="1">IFERROR(__xludf.DUMMYFUNCTION("""COMPUTED_VALUE"""),0)</f>
        <v>0</v>
      </c>
      <c r="S185" s="2">
        <f ca="1">IFERROR(__xludf.DUMMYFUNCTION("""COMPUTED_VALUE"""),0)</f>
        <v>0</v>
      </c>
      <c r="T185" s="2">
        <f ca="1">IFERROR(__xludf.DUMMYFUNCTION("""COMPUTED_VALUE"""),0)</f>
        <v>0</v>
      </c>
      <c r="U185" s="2">
        <f ca="1">IFERROR(__xludf.DUMMYFUNCTION("""COMPUTED_VALUE"""),0)</f>
        <v>0</v>
      </c>
      <c r="V185" s="2">
        <f ca="1">IFERROR(__xludf.DUMMYFUNCTION("""COMPUTED_VALUE"""),0)</f>
        <v>0</v>
      </c>
      <c r="W185" s="2">
        <f ca="1">IFERROR(__xludf.DUMMYFUNCTION("""COMPUTED_VALUE"""),0)</f>
        <v>0</v>
      </c>
      <c r="X185" s="2">
        <f ca="1">IFERROR(__xludf.DUMMYFUNCTION("""COMPUTED_VALUE"""),0)</f>
        <v>0</v>
      </c>
      <c r="Y185" s="2">
        <f ca="1">IFERROR(__xludf.DUMMYFUNCTION("""COMPUTED_VALUE"""),0)</f>
        <v>0</v>
      </c>
      <c r="AB185" s="2"/>
      <c r="AC185" s="2" t="str">
        <f ca="1">IFERROR(__xludf.DUMMYFUNCTION("""COMPUTED_VALUE"""),"X")</f>
        <v>X</v>
      </c>
      <c r="AD185" s="2" t="str">
        <f ca="1">IFERROR(__xludf.DUMMYFUNCTION("""COMPUTED_VALUE"""),"X")</f>
        <v>X</v>
      </c>
      <c r="AE185" s="2"/>
      <c r="AF185" s="2"/>
      <c r="AG185" s="2"/>
      <c r="AH185" s="2"/>
      <c r="AI185" s="2"/>
      <c r="AJ185" s="2"/>
      <c r="AK185" s="2"/>
      <c r="AL185" s="2"/>
      <c r="AM185" s="2">
        <f ca="1">IFERROR(__xludf.DUMMYFUNCTION("""COMPUTED_VALUE"""),0)</f>
        <v>0</v>
      </c>
      <c r="AN185" s="2">
        <f ca="1">IFERROR(__xludf.DUMMYFUNCTION("""COMPUTED_VALUE"""),2.93124999999999)</f>
        <v>2.9312499999999901</v>
      </c>
      <c r="AO185" s="2">
        <f ca="1">IFERROR(__xludf.DUMMYFUNCTION("""COMPUTED_VALUE"""),0.774999999999999)</f>
        <v>0.77499999999999902</v>
      </c>
      <c r="AP185" s="2">
        <f ca="1">IFERROR(__xludf.DUMMYFUNCTION("""COMPUTED_VALUE"""),0)</f>
        <v>0</v>
      </c>
      <c r="AQ185" s="2">
        <f ca="1">IFERROR(__xludf.DUMMYFUNCTION("""COMPUTED_VALUE"""),0)</f>
        <v>0</v>
      </c>
      <c r="AR185" s="2">
        <f ca="1">IFERROR(__xludf.DUMMYFUNCTION("""COMPUTED_VALUE"""),0)</f>
        <v>0</v>
      </c>
      <c r="AS185" s="2">
        <f ca="1">IFERROR(__xludf.DUMMYFUNCTION("""COMPUTED_VALUE"""),0)</f>
        <v>0</v>
      </c>
      <c r="AT185" s="2">
        <f ca="1">IFERROR(__xludf.DUMMYFUNCTION("""COMPUTED_VALUE"""),0)</f>
        <v>0</v>
      </c>
      <c r="AU185" s="2">
        <f ca="1">IFERROR(__xludf.DUMMYFUNCTION("""COMPUTED_VALUE"""),0)</f>
        <v>0</v>
      </c>
      <c r="AV185" s="2">
        <f ca="1">IFERROR(__xludf.DUMMYFUNCTION("""COMPUTED_VALUE"""),0)</f>
        <v>0</v>
      </c>
      <c r="AW185" s="2">
        <f ca="1">IFERROR(__xludf.DUMMYFUNCTION("""COMPUTED_VALUE"""),0)</f>
        <v>0</v>
      </c>
      <c r="AY185" s="2">
        <f t="shared" ca="1" si="0"/>
        <v>2</v>
      </c>
      <c r="AZ185" s="2" t="e">
        <f ca="1">IF(NOT(COUNTA(D185:J185)), _xludf.IFS(AL185="W", 'Round Bonuses'!$F$14, AL185="X", 'Round Bonuses'!$F$13, AK185="X", 'Round Bonuses'!$F$12, AJ185="X", 'Round Bonuses'!$F$11, AI185="X", 'Round Bonuses'!$F$10, AH185="X", 'Round Bonuses'!$F$9, AG185="X", 'Round Bonuses'!$F$8, AF185="X", 'Round Bonuses'!$F$7, AE185="X", 'Round Bonuses'!$F$6, AD185="X", 'Round Bonuses'!$F$5, AC185="X", 'Round Bonuses'!$F$4, AB185="X", 'Round Bonuses'!$F$3, TRUE, 0), IF(AA185="X", _xludf.IFS(AD185="X", 'Round Bonuses'!$E$4, AF185="X",'Round Bonuses'!$E$6,TRUE, 'Round Bonuses'!$E$7), 0) +IF(AB185="X", 'Round Bonuses'!$E$3, 0)+IF(AC185="X",'Round Bonuses'!$E$4, 0)+IF(AD185="X", 'Round Bonuses'!$E$5, 0)+IF(AE185="X", 'Round Bonuses'!$E$6, 0)+IF(AF185="X", 'Round Bonuses'!$E$7, 0)+IF(AG185="X", 'Round Bonuses'!$E$8, 0)+_xludf.IFS(AL185="W", 'Round Bonuses'!$G$14, AL185="X", 'Round Bonuses'!$G$13, AK185="X", 'Round Bonuses'!$G$12, AJ185="X", 'Round Bonuses'!$G$11, AI185="X", 'Round Bonuses'!$G$10, AH185="X", 'Round Bonuses'!$G$9, TRUE, 0))+_xludf.IFS(N185="W", 'Round Bonuses'!$C$13, N185="X", 'Round Bonuses'!$C$12, M185="X", 'Round Bonuses'!$C$11, L185="X", 'Round Bonuses'!$C$10, K185="X", 'Round Bonuses'!$C$9, J185="X", 'Round Bonuses'!$C$8, I185="X", 'Round Bonuses'!$C$7, H185="X", 'Round Bonuses'!$C$6, G185="X", 'Round Bonuses'!$C$5, F185="X", 'Round Bonuses'!$C$4, E185="X", 'Round Bonuses'!$C$3, D185="X", 'Round Bonuses'!$C$3, TRUE, 0)</f>
        <v>#NAME?</v>
      </c>
      <c r="BA185" s="2">
        <f t="shared" ca="1" si="1"/>
        <v>3.7062499999999892</v>
      </c>
      <c r="BB185" s="10" t="e">
        <f t="shared" ca="1" si="2"/>
        <v>#NAME?</v>
      </c>
      <c r="BD185" s="11" t="str">
        <f t="shared" ca="1" si="3"/>
        <v>Servette</v>
      </c>
      <c r="BE185" s="2" t="str">
        <f t="shared" ca="1" si="4"/>
        <v>Switzerland</v>
      </c>
      <c r="BF185" s="2" t="e">
        <f t="shared" ca="1" si="5"/>
        <v>#NAME?</v>
      </c>
      <c r="BG185" s="2">
        <f t="shared" ca="1" si="6"/>
        <v>2</v>
      </c>
      <c r="BH185" s="2" t="s">
        <v>252</v>
      </c>
      <c r="BI185" s="2" t="s">
        <v>253</v>
      </c>
      <c r="BJ185" s="7">
        <v>1.0925</v>
      </c>
      <c r="BK185" s="2">
        <v>2</v>
      </c>
      <c r="BL185" s="2">
        <f t="shared" si="10"/>
        <v>183</v>
      </c>
      <c r="BM185" s="2" t="str">
        <f t="shared" si="7"/>
        <v>Tre Fiori</v>
      </c>
      <c r="BN185" s="7">
        <f t="shared" ref="BN185:BO185" si="192">BJ185</f>
        <v>1.0925</v>
      </c>
      <c r="BO185" s="2">
        <f t="shared" si="192"/>
        <v>2</v>
      </c>
      <c r="BS185" s="2" t="str">
        <f t="shared" si="9"/>
        <v>San Marino</v>
      </c>
    </row>
    <row r="186" spans="1:71" ht="13.8" x14ac:dyDescent="0.45">
      <c r="A186" s="2" t="str">
        <f ca="1">IFERROR(__xludf.DUMMYFUNCTION("""COMPUTED_VALUE"""),"Sevilla")</f>
        <v>Sevilla</v>
      </c>
      <c r="B186" s="2">
        <f ca="1">IFERROR(__xludf.DUMMYFUNCTION("""COMPUTED_VALUE"""),0.96)</f>
        <v>0.96</v>
      </c>
      <c r="C186" s="2" t="str">
        <f ca="1">IFERROR(__xludf.DUMMYFUNCTION("""COMPUTED_VALUE"""),"Spain")</f>
        <v>Spain</v>
      </c>
      <c r="D186" s="2"/>
      <c r="E186" s="2"/>
      <c r="F186" s="2"/>
      <c r="G186" s="2"/>
      <c r="H186" s="2"/>
      <c r="I186" s="2"/>
      <c r="J186" s="2" t="str">
        <f ca="1">IFERROR(__xludf.DUMMYFUNCTION("""COMPUTED_VALUE"""),"X")</f>
        <v>X</v>
      </c>
      <c r="K186" s="2" t="str">
        <f ca="1">IFERROR(__xludf.DUMMYFUNCTION("""COMPUTED_VALUE"""),"X")</f>
        <v>X</v>
      </c>
      <c r="L186" s="2"/>
      <c r="M186" s="2"/>
      <c r="N186" s="2"/>
      <c r="O186" s="5">
        <f ca="1">IFERROR(__xludf.DUMMYFUNCTION("""COMPUTED_VALUE"""),0)</f>
        <v>0</v>
      </c>
      <c r="P186" s="2">
        <f ca="1">IFERROR(__xludf.DUMMYFUNCTION("""COMPUTED_VALUE"""),0)</f>
        <v>0</v>
      </c>
      <c r="Q186" s="2">
        <f ca="1">IFERROR(__xludf.DUMMYFUNCTION("""COMPUTED_VALUE"""),0)</f>
        <v>0</v>
      </c>
      <c r="R186" s="2">
        <f ca="1">IFERROR(__xludf.DUMMYFUNCTION("""COMPUTED_VALUE"""),0)</f>
        <v>0</v>
      </c>
      <c r="S186" s="2">
        <f ca="1">IFERROR(__xludf.DUMMYFUNCTION("""COMPUTED_VALUE"""),0)</f>
        <v>0</v>
      </c>
      <c r="T186" s="2">
        <f ca="1">IFERROR(__xludf.DUMMYFUNCTION("""COMPUTED_VALUE"""),0)</f>
        <v>0</v>
      </c>
      <c r="U186" s="2">
        <f ca="1">IFERROR(__xludf.DUMMYFUNCTION("""COMPUTED_VALUE"""),17.7287499999999)</f>
        <v>17.728749999999899</v>
      </c>
      <c r="V186" s="2">
        <f ca="1">IFERROR(__xludf.DUMMYFUNCTION("""COMPUTED_VALUE"""),2.72499999999999)</f>
        <v>2.7249999999999899</v>
      </c>
      <c r="W186" s="2">
        <f ca="1">IFERROR(__xludf.DUMMYFUNCTION("""COMPUTED_VALUE"""),0)</f>
        <v>0</v>
      </c>
      <c r="X186" s="2">
        <f ca="1">IFERROR(__xludf.DUMMYFUNCTION("""COMPUTED_VALUE"""),0)</f>
        <v>0</v>
      </c>
      <c r="Y186" s="2">
        <f ca="1">IFERROR(__xludf.DUMMYFUNCTION("""COMPUTED_VALUE"""),0)</f>
        <v>0</v>
      </c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>
        <f ca="1">IFERROR(__xludf.DUMMYFUNCTION("""COMPUTED_VALUE"""),0)</f>
        <v>0</v>
      </c>
      <c r="AN186" s="2">
        <f ca="1">IFERROR(__xludf.DUMMYFUNCTION("""COMPUTED_VALUE"""),0)</f>
        <v>0</v>
      </c>
      <c r="AO186" s="2">
        <f ca="1">IFERROR(__xludf.DUMMYFUNCTION("""COMPUTED_VALUE"""),0)</f>
        <v>0</v>
      </c>
      <c r="AP186" s="2">
        <f ca="1">IFERROR(__xludf.DUMMYFUNCTION("""COMPUTED_VALUE"""),0)</f>
        <v>0</v>
      </c>
      <c r="AQ186" s="2">
        <f ca="1">IFERROR(__xludf.DUMMYFUNCTION("""COMPUTED_VALUE"""),0)</f>
        <v>0</v>
      </c>
      <c r="AR186" s="2">
        <f ca="1">IFERROR(__xludf.DUMMYFUNCTION("""COMPUTED_VALUE"""),0)</f>
        <v>0</v>
      </c>
      <c r="AS186" s="2">
        <f ca="1">IFERROR(__xludf.DUMMYFUNCTION("""COMPUTED_VALUE"""),0)</f>
        <v>0</v>
      </c>
      <c r="AT186" s="2">
        <f ca="1">IFERROR(__xludf.DUMMYFUNCTION("""COMPUTED_VALUE"""),0)</f>
        <v>0</v>
      </c>
      <c r="AU186" s="2">
        <f ca="1">IFERROR(__xludf.DUMMYFUNCTION("""COMPUTED_VALUE"""),0)</f>
        <v>0</v>
      </c>
      <c r="AV186" s="2">
        <f ca="1">IFERROR(__xludf.DUMMYFUNCTION("""COMPUTED_VALUE"""),0)</f>
        <v>0</v>
      </c>
      <c r="AW186" s="2">
        <f ca="1">IFERROR(__xludf.DUMMYFUNCTION("""COMPUTED_VALUE"""),0)</f>
        <v>0</v>
      </c>
      <c r="AY186" s="2">
        <f t="shared" ca="1" si="0"/>
        <v>8</v>
      </c>
      <c r="AZ186" s="2" t="e">
        <f ca="1">IF(NOT(COUNTA(D186:J186)), _xludf.IFS(AL186="W", 'Round Bonuses'!$F$14, AL186="X", 'Round Bonuses'!$F$13, AK186="X", 'Round Bonuses'!$F$12, AJ186="X", 'Round Bonuses'!$F$11, AI186="X", 'Round Bonuses'!$F$10, AH186="X", 'Round Bonuses'!$F$9, AG186="X", 'Round Bonuses'!$F$8, AF186="X", 'Round Bonuses'!$F$7, AE186="X", 'Round Bonuses'!$F$6, AD186="X", 'Round Bonuses'!$F$5, AC186="X", 'Round Bonuses'!$F$4, AB186="X", 'Round Bonuses'!$F$3, TRUE, 0), IF(AA186="X", _xludf.IFS(AD186="X", 'Round Bonuses'!$E$4, AF186="X",'Round Bonuses'!$E$6,TRUE, 'Round Bonuses'!$E$7), 0) +IF(AB186="X", 'Round Bonuses'!$E$3, 0)+IF(AC186="X",'Round Bonuses'!$E$4, 0)+IF(AD186="X", 'Round Bonuses'!$E$5, 0)+IF(AE186="X", 'Round Bonuses'!$E$6, 0)+IF(AF186="X", 'Round Bonuses'!$E$7, 0)+IF(AG186="X", 'Round Bonuses'!$E$8, 0)+_xludf.IFS(AL186="W", 'Round Bonuses'!$G$14, AL186="X", 'Round Bonuses'!$G$13, AK186="X", 'Round Bonuses'!$G$12, AJ186="X", 'Round Bonuses'!$G$11, AI186="X", 'Round Bonuses'!$G$10, AH186="X", 'Round Bonuses'!$G$9, TRUE, 0))+_xludf.IFS(N186="W", 'Round Bonuses'!$C$13, N186="X", 'Round Bonuses'!$C$12, M186="X", 'Round Bonuses'!$C$11, L186="X", 'Round Bonuses'!$C$10, K186="X", 'Round Bonuses'!$C$9, J186="X", 'Round Bonuses'!$C$8, I186="X", 'Round Bonuses'!$C$7, H186="X", 'Round Bonuses'!$C$6, G186="X", 'Round Bonuses'!$C$5, F186="X", 'Round Bonuses'!$C$4, E186="X", 'Round Bonuses'!$C$3, D186="X", 'Round Bonuses'!$C$3, TRUE, 0)</f>
        <v>#NAME?</v>
      </c>
      <c r="BA186" s="2">
        <f t="shared" ca="1" si="1"/>
        <v>20.453749999999889</v>
      </c>
      <c r="BB186" s="10" t="e">
        <f t="shared" ca="1" si="2"/>
        <v>#NAME?</v>
      </c>
      <c r="BD186" s="11" t="str">
        <f t="shared" ca="1" si="3"/>
        <v>Sevilla</v>
      </c>
      <c r="BE186" s="2" t="str">
        <f t="shared" ca="1" si="4"/>
        <v>Spain</v>
      </c>
      <c r="BF186" s="2" t="e">
        <f t="shared" ca="1" si="5"/>
        <v>#NAME?</v>
      </c>
      <c r="BG186" s="2">
        <f t="shared" ca="1" si="6"/>
        <v>8</v>
      </c>
      <c r="BH186" s="2" t="s">
        <v>254</v>
      </c>
      <c r="BI186" s="2" t="s">
        <v>123</v>
      </c>
      <c r="BJ186" s="7">
        <v>1.06</v>
      </c>
      <c r="BK186" s="2">
        <v>1</v>
      </c>
      <c r="BL186" s="2">
        <f t="shared" si="10"/>
        <v>184</v>
      </c>
      <c r="BM186" s="2" t="str">
        <f t="shared" si="7"/>
        <v>BATE Borisov</v>
      </c>
      <c r="BN186" s="7">
        <f t="shared" ref="BN186:BO186" si="193">BJ186</f>
        <v>1.06</v>
      </c>
      <c r="BO186" s="2">
        <f t="shared" si="193"/>
        <v>1</v>
      </c>
      <c r="BS186" s="2" t="str">
        <f t="shared" si="9"/>
        <v>Belarus</v>
      </c>
    </row>
    <row r="187" spans="1:71" ht="13.8" x14ac:dyDescent="0.45">
      <c r="A187" s="2" t="str">
        <f ca="1">IFERROR(__xludf.DUMMYFUNCTION("""COMPUTED_VALUE"""),"Sfîntul Gheorghe")</f>
        <v>Sfîntul Gheorghe</v>
      </c>
      <c r="B187" s="2">
        <f ca="1">IFERROR(__xludf.DUMMYFUNCTION("""COMPUTED_VALUE"""),0.639999999999999)</f>
        <v>0.63999999999999901</v>
      </c>
      <c r="C187" s="2" t="str">
        <f ca="1">IFERROR(__xludf.DUMMYFUNCTION("""COMPUTED_VALUE"""),"Moldova")</f>
        <v>Moldova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5">
        <f ca="1">IFERROR(__xludf.DUMMYFUNCTION("""COMPUTED_VALUE"""),0)</f>
        <v>0</v>
      </c>
      <c r="P187" s="2">
        <f ca="1">IFERROR(__xludf.DUMMYFUNCTION("""COMPUTED_VALUE"""),0)</f>
        <v>0</v>
      </c>
      <c r="Q187" s="2">
        <f ca="1">IFERROR(__xludf.DUMMYFUNCTION("""COMPUTED_VALUE"""),0)</f>
        <v>0</v>
      </c>
      <c r="R187" s="2">
        <f ca="1">IFERROR(__xludf.DUMMYFUNCTION("""COMPUTED_VALUE"""),0)</f>
        <v>0</v>
      </c>
      <c r="S187" s="2">
        <f ca="1">IFERROR(__xludf.DUMMYFUNCTION("""COMPUTED_VALUE"""),0)</f>
        <v>0</v>
      </c>
      <c r="T187" s="2">
        <f ca="1">IFERROR(__xludf.DUMMYFUNCTION("""COMPUTED_VALUE"""),0)</f>
        <v>0</v>
      </c>
      <c r="U187" s="2">
        <f ca="1">IFERROR(__xludf.DUMMYFUNCTION("""COMPUTED_VALUE"""),0)</f>
        <v>0</v>
      </c>
      <c r="V187" s="2">
        <f ca="1">IFERROR(__xludf.DUMMYFUNCTION("""COMPUTED_VALUE"""),0)</f>
        <v>0</v>
      </c>
      <c r="W187" s="2">
        <f ca="1">IFERROR(__xludf.DUMMYFUNCTION("""COMPUTED_VALUE"""),0)</f>
        <v>0</v>
      </c>
      <c r="X187" s="2">
        <f ca="1">IFERROR(__xludf.DUMMYFUNCTION("""COMPUTED_VALUE"""),0)</f>
        <v>0</v>
      </c>
      <c r="Y187" s="2">
        <f ca="1">IFERROR(__xludf.DUMMYFUNCTION("""COMPUTED_VALUE"""),0)</f>
        <v>0</v>
      </c>
      <c r="AB187" s="2"/>
      <c r="AC187" s="2" t="str">
        <f ca="1">IFERROR(__xludf.DUMMYFUNCTION("""COMPUTED_VALUE"""),"X")</f>
        <v>X</v>
      </c>
      <c r="AD187" s="2" t="str">
        <f ca="1">IFERROR(__xludf.DUMMYFUNCTION("""COMPUTED_VALUE"""),"X")</f>
        <v>X</v>
      </c>
      <c r="AE187" s="2"/>
      <c r="AF187" s="2"/>
      <c r="AG187" s="2"/>
      <c r="AH187" s="2"/>
      <c r="AI187" s="2"/>
      <c r="AJ187" s="2"/>
      <c r="AK187" s="2"/>
      <c r="AL187" s="2"/>
      <c r="AM187" s="2">
        <f ca="1">IFERROR(__xludf.DUMMYFUNCTION("""COMPUTED_VALUE"""),0)</f>
        <v>0</v>
      </c>
      <c r="AN187" s="2">
        <f ca="1">IFERROR(__xludf.DUMMYFUNCTION("""COMPUTED_VALUE"""),2.695)</f>
        <v>2.6949999999999998</v>
      </c>
      <c r="AO187" s="2">
        <f ca="1">IFERROR(__xludf.DUMMYFUNCTION("""COMPUTED_VALUE"""),0.675)</f>
        <v>0.67500000000000004</v>
      </c>
      <c r="AP187" s="2">
        <f ca="1">IFERROR(__xludf.DUMMYFUNCTION("""COMPUTED_VALUE"""),0)</f>
        <v>0</v>
      </c>
      <c r="AQ187" s="2">
        <f ca="1">IFERROR(__xludf.DUMMYFUNCTION("""COMPUTED_VALUE"""),0)</f>
        <v>0</v>
      </c>
      <c r="AR187" s="2">
        <f ca="1">IFERROR(__xludf.DUMMYFUNCTION("""COMPUTED_VALUE"""),0)</f>
        <v>0</v>
      </c>
      <c r="AS187" s="2">
        <f ca="1">IFERROR(__xludf.DUMMYFUNCTION("""COMPUTED_VALUE"""),0)</f>
        <v>0</v>
      </c>
      <c r="AT187" s="2">
        <f ca="1">IFERROR(__xludf.DUMMYFUNCTION("""COMPUTED_VALUE"""),0)</f>
        <v>0</v>
      </c>
      <c r="AU187" s="2">
        <f ca="1">IFERROR(__xludf.DUMMYFUNCTION("""COMPUTED_VALUE"""),0)</f>
        <v>0</v>
      </c>
      <c r="AV187" s="2">
        <f ca="1">IFERROR(__xludf.DUMMYFUNCTION("""COMPUTED_VALUE"""),0)</f>
        <v>0</v>
      </c>
      <c r="AW187" s="2">
        <f ca="1">IFERROR(__xludf.DUMMYFUNCTION("""COMPUTED_VALUE"""),0)</f>
        <v>0</v>
      </c>
      <c r="AY187" s="2">
        <f t="shared" ca="1" si="0"/>
        <v>2</v>
      </c>
      <c r="AZ187" s="2" t="e">
        <f ca="1">IF(NOT(COUNTA(D187:J187)), _xludf.IFS(AL187="W", 'Round Bonuses'!$F$14, AL187="X", 'Round Bonuses'!$F$13, AK187="X", 'Round Bonuses'!$F$12, AJ187="X", 'Round Bonuses'!$F$11, AI187="X", 'Round Bonuses'!$F$10, AH187="X", 'Round Bonuses'!$F$9, AG187="X", 'Round Bonuses'!$F$8, AF187="X", 'Round Bonuses'!$F$7, AE187="X", 'Round Bonuses'!$F$6, AD187="X", 'Round Bonuses'!$F$5, AC187="X", 'Round Bonuses'!$F$4, AB187="X", 'Round Bonuses'!$F$3, TRUE, 0), IF(AA187="X", _xludf.IFS(AD187="X", 'Round Bonuses'!$E$4, AF187="X",'Round Bonuses'!$E$6,TRUE, 'Round Bonuses'!$E$7), 0) +IF(AB187="X", 'Round Bonuses'!$E$3, 0)+IF(AC187="X",'Round Bonuses'!$E$4, 0)+IF(AD187="X", 'Round Bonuses'!$E$5, 0)+IF(AE187="X", 'Round Bonuses'!$E$6, 0)+IF(AF187="X", 'Round Bonuses'!$E$7, 0)+IF(AG187="X", 'Round Bonuses'!$E$8, 0)+_xludf.IFS(AL187="W", 'Round Bonuses'!$G$14, AL187="X", 'Round Bonuses'!$G$13, AK187="X", 'Round Bonuses'!$G$12, AJ187="X", 'Round Bonuses'!$G$11, AI187="X", 'Round Bonuses'!$G$10, AH187="X", 'Round Bonuses'!$G$9, TRUE, 0))+_xludf.IFS(N187="W", 'Round Bonuses'!$C$13, N187="X", 'Round Bonuses'!$C$12, M187="X", 'Round Bonuses'!$C$11, L187="X", 'Round Bonuses'!$C$10, K187="X", 'Round Bonuses'!$C$9, J187="X", 'Round Bonuses'!$C$8, I187="X", 'Round Bonuses'!$C$7, H187="X", 'Round Bonuses'!$C$6, G187="X", 'Round Bonuses'!$C$5, F187="X", 'Round Bonuses'!$C$4, E187="X", 'Round Bonuses'!$C$3, D187="X", 'Round Bonuses'!$C$3, TRUE, 0)</f>
        <v>#NAME?</v>
      </c>
      <c r="BA187" s="2">
        <f t="shared" ca="1" si="1"/>
        <v>3.37</v>
      </c>
      <c r="BB187" s="10" t="e">
        <f t="shared" ca="1" si="2"/>
        <v>#NAME?</v>
      </c>
      <c r="BD187" s="11" t="str">
        <f t="shared" ca="1" si="3"/>
        <v>Sfîntul Gheorghe</v>
      </c>
      <c r="BE187" s="2" t="str">
        <f t="shared" ca="1" si="4"/>
        <v>Moldova</v>
      </c>
      <c r="BF187" s="2" t="e">
        <f t="shared" ca="1" si="5"/>
        <v>#NAME?</v>
      </c>
      <c r="BG187" s="2">
        <f t="shared" ca="1" si="6"/>
        <v>2</v>
      </c>
      <c r="BH187" s="2" t="s">
        <v>255</v>
      </c>
      <c r="BI187" s="2" t="s">
        <v>48</v>
      </c>
      <c r="BJ187" s="7">
        <v>1.0299999999999998</v>
      </c>
      <c r="BK187" s="2">
        <v>1</v>
      </c>
      <c r="BL187" s="2">
        <f t="shared" si="10"/>
        <v>185</v>
      </c>
      <c r="BM187" s="2" t="str">
        <f t="shared" si="7"/>
        <v>Jablonec</v>
      </c>
      <c r="BN187" s="7">
        <f t="shared" ref="BN187:BO187" si="194">BJ187</f>
        <v>1.0299999999999998</v>
      </c>
      <c r="BO187" s="2">
        <f t="shared" si="194"/>
        <v>1</v>
      </c>
      <c r="BS187" s="2" t="str">
        <f t="shared" si="9"/>
        <v>Czech Republic</v>
      </c>
    </row>
    <row r="188" spans="1:71" ht="13.8" x14ac:dyDescent="0.45">
      <c r="A188" s="2" t="str">
        <f ca="1">IFERROR(__xludf.DUMMYFUNCTION("""COMPUTED_VALUE"""),"Shakhtar Donetsk")</f>
        <v>Shakhtar Donetsk</v>
      </c>
      <c r="B188" s="2">
        <f ca="1">IFERROR(__xludf.DUMMYFUNCTION("""COMPUTED_VALUE"""),0.91)</f>
        <v>0.91</v>
      </c>
      <c r="C188" s="2" t="str">
        <f ca="1">IFERROR(__xludf.DUMMYFUNCTION("""COMPUTED_VALUE"""),"Ukraine")</f>
        <v>Ukraine</v>
      </c>
      <c r="D188" s="2"/>
      <c r="E188" s="2"/>
      <c r="F188" s="2"/>
      <c r="G188" s="2"/>
      <c r="H188" s="2"/>
      <c r="I188" s="2"/>
      <c r="J188" s="2" t="str">
        <f ca="1">IFERROR(__xludf.DUMMYFUNCTION("""COMPUTED_VALUE"""),"X")</f>
        <v>X</v>
      </c>
      <c r="K188" s="2"/>
      <c r="L188" s="2"/>
      <c r="M188" s="2"/>
      <c r="N188" s="2"/>
      <c r="O188" s="5">
        <f ca="1">IFERROR(__xludf.DUMMYFUNCTION("""COMPUTED_VALUE"""),0)</f>
        <v>0</v>
      </c>
      <c r="P188" s="2">
        <f ca="1">IFERROR(__xludf.DUMMYFUNCTION("""COMPUTED_VALUE"""),0)</f>
        <v>0</v>
      </c>
      <c r="Q188" s="2">
        <f ca="1">IFERROR(__xludf.DUMMYFUNCTION("""COMPUTED_VALUE"""),0)</f>
        <v>0</v>
      </c>
      <c r="R188" s="2">
        <f ca="1">IFERROR(__xludf.DUMMYFUNCTION("""COMPUTED_VALUE"""),0)</f>
        <v>0</v>
      </c>
      <c r="S188" s="2">
        <f ca="1">IFERROR(__xludf.DUMMYFUNCTION("""COMPUTED_VALUE"""),0)</f>
        <v>0</v>
      </c>
      <c r="T188" s="2">
        <f ca="1">IFERROR(__xludf.DUMMYFUNCTION("""COMPUTED_VALUE"""),0)</f>
        <v>0</v>
      </c>
      <c r="U188" s="2">
        <f ca="1">IFERROR(__xludf.DUMMYFUNCTION("""COMPUTED_VALUE"""),12.7412499999999)</f>
        <v>12.7412499999999</v>
      </c>
      <c r="V188" s="2">
        <f ca="1">IFERROR(__xludf.DUMMYFUNCTION("""COMPUTED_VALUE"""),0)</f>
        <v>0</v>
      </c>
      <c r="W188" s="2">
        <f ca="1">IFERROR(__xludf.DUMMYFUNCTION("""COMPUTED_VALUE"""),0)</f>
        <v>0</v>
      </c>
      <c r="X188" s="2">
        <f ca="1">IFERROR(__xludf.DUMMYFUNCTION("""COMPUTED_VALUE"""),0)</f>
        <v>0</v>
      </c>
      <c r="Y188" s="2">
        <f ca="1">IFERROR(__xludf.DUMMYFUNCTION("""COMPUTED_VALUE"""),0)</f>
        <v>0</v>
      </c>
      <c r="AB188" s="2"/>
      <c r="AC188" s="2"/>
      <c r="AD188" s="2"/>
      <c r="AE188" s="2"/>
      <c r="AF188" s="2"/>
      <c r="AG188" s="2"/>
      <c r="AH188" s="2" t="str">
        <f ca="1">IFERROR(__xludf.DUMMYFUNCTION("""COMPUTED_VALUE"""),"X")</f>
        <v>X</v>
      </c>
      <c r="AI188" s="2" t="str">
        <f ca="1">IFERROR(__xludf.DUMMYFUNCTION("""COMPUTED_VALUE"""),"X")</f>
        <v>X</v>
      </c>
      <c r="AJ188" s="2"/>
      <c r="AK188" s="2"/>
      <c r="AL188" s="2"/>
      <c r="AM188" s="2">
        <f ca="1">IFERROR(__xludf.DUMMYFUNCTION("""COMPUTED_VALUE"""),0)</f>
        <v>0</v>
      </c>
      <c r="AN188" s="2">
        <f ca="1">IFERROR(__xludf.DUMMYFUNCTION("""COMPUTED_VALUE"""),0)</f>
        <v>0</v>
      </c>
      <c r="AO188" s="2">
        <f ca="1">IFERROR(__xludf.DUMMYFUNCTION("""COMPUTED_VALUE"""),0)</f>
        <v>0</v>
      </c>
      <c r="AP188" s="2">
        <f ca="1">IFERROR(__xludf.DUMMYFUNCTION("""COMPUTED_VALUE"""),0)</f>
        <v>0</v>
      </c>
      <c r="AQ188" s="2">
        <f ca="1">IFERROR(__xludf.DUMMYFUNCTION("""COMPUTED_VALUE"""),0)</f>
        <v>0</v>
      </c>
      <c r="AR188" s="2">
        <f ca="1">IFERROR(__xludf.DUMMYFUNCTION("""COMPUTED_VALUE"""),0)</f>
        <v>0</v>
      </c>
      <c r="AS188" s="2">
        <f ca="1">IFERROR(__xludf.DUMMYFUNCTION("""COMPUTED_VALUE"""),6.11375)</f>
        <v>6.1137499999999996</v>
      </c>
      <c r="AT188" s="2">
        <f ca="1">IFERROR(__xludf.DUMMYFUNCTION("""COMPUTED_VALUE"""),1.35999999999999)</f>
        <v>1.3599999999999901</v>
      </c>
      <c r="AU188" s="2">
        <f ca="1">IFERROR(__xludf.DUMMYFUNCTION("""COMPUTED_VALUE"""),0)</f>
        <v>0</v>
      </c>
      <c r="AV188" s="2">
        <f ca="1">IFERROR(__xludf.DUMMYFUNCTION("""COMPUTED_VALUE"""),0)</f>
        <v>0</v>
      </c>
      <c r="AW188" s="2">
        <f ca="1">IFERROR(__xludf.DUMMYFUNCTION("""COMPUTED_VALUE"""),0)</f>
        <v>0</v>
      </c>
      <c r="AY188" s="2">
        <f t="shared" ca="1" si="0"/>
        <v>10</v>
      </c>
      <c r="AZ188" s="2" t="e">
        <f ca="1">IF(NOT(COUNTA(D188:J188)), _xludf.IFS(AL188="W", 'Round Bonuses'!$F$14, AL188="X", 'Round Bonuses'!$F$13, AK188="X", 'Round Bonuses'!$F$12, AJ188="X", 'Round Bonuses'!$F$11, AI188="X", 'Round Bonuses'!$F$10, AH188="X", 'Round Bonuses'!$F$9, AG188="X", 'Round Bonuses'!$F$8, AF188="X", 'Round Bonuses'!$F$7, AE188="X", 'Round Bonuses'!$F$6, AD188="X", 'Round Bonuses'!$F$5, AC188="X", 'Round Bonuses'!$F$4, AB188="X", 'Round Bonuses'!$F$3, TRUE, 0), IF(AA188="X", _xludf.IFS(AD188="X", 'Round Bonuses'!$E$4, AF188="X",'Round Bonuses'!$E$6,TRUE, 'Round Bonuses'!$E$7), 0) +IF(AB188="X", 'Round Bonuses'!$E$3, 0)+IF(AC188="X",'Round Bonuses'!$E$4, 0)+IF(AD188="X", 'Round Bonuses'!$E$5, 0)+IF(AE188="X", 'Round Bonuses'!$E$6, 0)+IF(AF188="X", 'Round Bonuses'!$E$7, 0)+IF(AG188="X", 'Round Bonuses'!$E$8, 0)+_xludf.IFS(AL188="W", 'Round Bonuses'!$G$14, AL188="X", 'Round Bonuses'!$G$13, AK188="X", 'Round Bonuses'!$G$12, AJ188="X", 'Round Bonuses'!$G$11, AI188="X", 'Round Bonuses'!$G$10, AH188="X", 'Round Bonuses'!$G$9, TRUE, 0))+_xludf.IFS(N188="W", 'Round Bonuses'!$C$13, N188="X", 'Round Bonuses'!$C$12, M188="X", 'Round Bonuses'!$C$11, L188="X", 'Round Bonuses'!$C$10, K188="X", 'Round Bonuses'!$C$9, J188="X", 'Round Bonuses'!$C$8, I188="X", 'Round Bonuses'!$C$7, H188="X", 'Round Bonuses'!$C$6, G188="X", 'Round Bonuses'!$C$5, F188="X", 'Round Bonuses'!$C$4, E188="X", 'Round Bonuses'!$C$3, D188="X", 'Round Bonuses'!$C$3, TRUE, 0)</f>
        <v>#NAME?</v>
      </c>
      <c r="BA188" s="2">
        <f t="shared" ca="1" si="1"/>
        <v>20.21499999999989</v>
      </c>
      <c r="BB188" s="10" t="e">
        <f t="shared" ca="1" si="2"/>
        <v>#NAME?</v>
      </c>
      <c r="BD188" s="11" t="str">
        <f t="shared" ca="1" si="3"/>
        <v>Shakhtar Donetsk</v>
      </c>
      <c r="BE188" s="2" t="str">
        <f t="shared" ca="1" si="4"/>
        <v>Ukraine</v>
      </c>
      <c r="BF188" s="2" t="e">
        <f t="shared" ca="1" si="5"/>
        <v>#NAME?</v>
      </c>
      <c r="BG188" s="2">
        <f t="shared" ca="1" si="6"/>
        <v>10</v>
      </c>
      <c r="BH188" s="2" t="s">
        <v>256</v>
      </c>
      <c r="BI188" s="2" t="s">
        <v>212</v>
      </c>
      <c r="BJ188" s="7">
        <v>1.0249999999999999</v>
      </c>
      <c r="BK188" s="2">
        <v>1</v>
      </c>
      <c r="BL188" s="2">
        <f t="shared" si="10"/>
        <v>186</v>
      </c>
      <c r="BM188" s="2" t="str">
        <f t="shared" si="7"/>
        <v>Kaisar</v>
      </c>
      <c r="BN188" s="7">
        <f t="shared" ref="BN188:BO188" si="195">BJ188</f>
        <v>1.0249999999999999</v>
      </c>
      <c r="BO188" s="2">
        <f t="shared" si="195"/>
        <v>1</v>
      </c>
      <c r="BS188" s="2" t="str">
        <f t="shared" si="9"/>
        <v>Kazakhstan</v>
      </c>
    </row>
    <row r="189" spans="1:71" ht="13.8" x14ac:dyDescent="0.45">
      <c r="A189" s="2" t="str">
        <f ca="1">IFERROR(__xludf.DUMMYFUNCTION("""COMPUTED_VALUE"""),"Shakhtyor Soligorsk")</f>
        <v>Shakhtyor Soligorsk</v>
      </c>
      <c r="B189" s="2">
        <f ca="1">IFERROR(__xludf.DUMMYFUNCTION("""COMPUTED_VALUE"""),0.77)</f>
        <v>0.77</v>
      </c>
      <c r="C189" s="2" t="str">
        <f ca="1">IFERROR(__xludf.DUMMYFUNCTION("""COMPUTED_VALUE"""),"Belarus")</f>
        <v>Belarus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5">
        <f ca="1">IFERROR(__xludf.DUMMYFUNCTION("""COMPUTED_VALUE"""),0)</f>
        <v>0</v>
      </c>
      <c r="P189" s="2">
        <f ca="1">IFERROR(__xludf.DUMMYFUNCTION("""COMPUTED_VALUE"""),0)</f>
        <v>0</v>
      </c>
      <c r="Q189" s="2">
        <f ca="1">IFERROR(__xludf.DUMMYFUNCTION("""COMPUTED_VALUE"""),0)</f>
        <v>0</v>
      </c>
      <c r="R189" s="2">
        <f ca="1">IFERROR(__xludf.DUMMYFUNCTION("""COMPUTED_VALUE"""),0)</f>
        <v>0</v>
      </c>
      <c r="S189" s="2">
        <f ca="1">IFERROR(__xludf.DUMMYFUNCTION("""COMPUTED_VALUE"""),0)</f>
        <v>0</v>
      </c>
      <c r="T189" s="2">
        <f ca="1">IFERROR(__xludf.DUMMYFUNCTION("""COMPUTED_VALUE"""),0)</f>
        <v>0</v>
      </c>
      <c r="U189" s="2">
        <f ca="1">IFERROR(__xludf.DUMMYFUNCTION("""COMPUTED_VALUE"""),0)</f>
        <v>0</v>
      </c>
      <c r="V189" s="2">
        <f ca="1">IFERROR(__xludf.DUMMYFUNCTION("""COMPUTED_VALUE"""),0)</f>
        <v>0</v>
      </c>
      <c r="W189" s="2">
        <f ca="1">IFERROR(__xludf.DUMMYFUNCTION("""COMPUTED_VALUE"""),0)</f>
        <v>0</v>
      </c>
      <c r="X189" s="2">
        <f ca="1">IFERROR(__xludf.DUMMYFUNCTION("""COMPUTED_VALUE"""),0)</f>
        <v>0</v>
      </c>
      <c r="Y189" s="2">
        <f ca="1">IFERROR(__xludf.DUMMYFUNCTION("""COMPUTED_VALUE"""),0)</f>
        <v>0</v>
      </c>
      <c r="AB189" s="2"/>
      <c r="AC189" s="2" t="str">
        <f ca="1">IFERROR(__xludf.DUMMYFUNCTION("""COMPUTED_VALUE"""),"X")</f>
        <v>X</v>
      </c>
      <c r="AD189" s="2"/>
      <c r="AE189" s="2"/>
      <c r="AF189" s="2"/>
      <c r="AG189" s="2"/>
      <c r="AH189" s="2"/>
      <c r="AI189" s="2"/>
      <c r="AJ189" s="2"/>
      <c r="AK189" s="2"/>
      <c r="AL189" s="2"/>
      <c r="AM189" s="2">
        <f ca="1">IFERROR(__xludf.DUMMYFUNCTION("""COMPUTED_VALUE"""),0)</f>
        <v>0</v>
      </c>
      <c r="AN189" s="2">
        <f ca="1">IFERROR(__xludf.DUMMYFUNCTION("""COMPUTED_VALUE"""),0.639999999999999)</f>
        <v>0.63999999999999901</v>
      </c>
      <c r="AO189" s="2">
        <f ca="1">IFERROR(__xludf.DUMMYFUNCTION("""COMPUTED_VALUE"""),0)</f>
        <v>0</v>
      </c>
      <c r="AP189" s="2">
        <f ca="1">IFERROR(__xludf.DUMMYFUNCTION("""COMPUTED_VALUE"""),0)</f>
        <v>0</v>
      </c>
      <c r="AQ189" s="2">
        <f ca="1">IFERROR(__xludf.DUMMYFUNCTION("""COMPUTED_VALUE"""),0)</f>
        <v>0</v>
      </c>
      <c r="AR189" s="2">
        <f ca="1">IFERROR(__xludf.DUMMYFUNCTION("""COMPUTED_VALUE"""),0)</f>
        <v>0</v>
      </c>
      <c r="AS189" s="2">
        <f ca="1">IFERROR(__xludf.DUMMYFUNCTION("""COMPUTED_VALUE"""),0)</f>
        <v>0</v>
      </c>
      <c r="AT189" s="2">
        <f ca="1">IFERROR(__xludf.DUMMYFUNCTION("""COMPUTED_VALUE"""),0)</f>
        <v>0</v>
      </c>
      <c r="AU189" s="2">
        <f ca="1">IFERROR(__xludf.DUMMYFUNCTION("""COMPUTED_VALUE"""),0)</f>
        <v>0</v>
      </c>
      <c r="AV189" s="2">
        <f ca="1">IFERROR(__xludf.DUMMYFUNCTION("""COMPUTED_VALUE"""),0)</f>
        <v>0</v>
      </c>
      <c r="AW189" s="2">
        <f ca="1">IFERROR(__xludf.DUMMYFUNCTION("""COMPUTED_VALUE"""),0)</f>
        <v>0</v>
      </c>
      <c r="AY189" s="2">
        <f t="shared" ca="1" si="0"/>
        <v>1</v>
      </c>
      <c r="AZ189" s="2" t="e">
        <f ca="1">IF(NOT(COUNTA(D189:J189)), _xludf.IFS(AL189="W", 'Round Bonuses'!$F$14, AL189="X", 'Round Bonuses'!$F$13, AK189="X", 'Round Bonuses'!$F$12, AJ189="X", 'Round Bonuses'!$F$11, AI189="X", 'Round Bonuses'!$F$10, AH189="X", 'Round Bonuses'!$F$9, AG189="X", 'Round Bonuses'!$F$8, AF189="X", 'Round Bonuses'!$F$7, AE189="X", 'Round Bonuses'!$F$6, AD189="X", 'Round Bonuses'!$F$5, AC189="X", 'Round Bonuses'!$F$4, AB189="X", 'Round Bonuses'!$F$3, TRUE, 0), IF(AA189="X", _xludf.IFS(AD189="X", 'Round Bonuses'!$E$4, AF189="X",'Round Bonuses'!$E$6,TRUE, 'Round Bonuses'!$E$7), 0) +IF(AB189="X", 'Round Bonuses'!$E$3, 0)+IF(AC189="X",'Round Bonuses'!$E$4, 0)+IF(AD189="X", 'Round Bonuses'!$E$5, 0)+IF(AE189="X", 'Round Bonuses'!$E$6, 0)+IF(AF189="X", 'Round Bonuses'!$E$7, 0)+IF(AG189="X", 'Round Bonuses'!$E$8, 0)+_xludf.IFS(AL189="W", 'Round Bonuses'!$G$14, AL189="X", 'Round Bonuses'!$G$13, AK189="X", 'Round Bonuses'!$G$12, AJ189="X", 'Round Bonuses'!$G$11, AI189="X", 'Round Bonuses'!$G$10, AH189="X", 'Round Bonuses'!$G$9, TRUE, 0))+_xludf.IFS(N189="W", 'Round Bonuses'!$C$13, N189="X", 'Round Bonuses'!$C$12, M189="X", 'Round Bonuses'!$C$11, L189="X", 'Round Bonuses'!$C$10, K189="X", 'Round Bonuses'!$C$9, J189="X", 'Round Bonuses'!$C$8, I189="X", 'Round Bonuses'!$C$7, H189="X", 'Round Bonuses'!$C$6, G189="X", 'Round Bonuses'!$C$5, F189="X", 'Round Bonuses'!$C$4, E189="X", 'Round Bonuses'!$C$3, D189="X", 'Round Bonuses'!$C$3, TRUE, 0)</f>
        <v>#NAME?</v>
      </c>
      <c r="BA189" s="2">
        <f t="shared" ca="1" si="1"/>
        <v>0.63999999999999901</v>
      </c>
      <c r="BB189" s="10" t="e">
        <f t="shared" ca="1" si="2"/>
        <v>#NAME?</v>
      </c>
      <c r="BD189" s="11" t="str">
        <f t="shared" ca="1" si="3"/>
        <v>Shakhtyor Soligorsk</v>
      </c>
      <c r="BE189" s="2" t="str">
        <f t="shared" ca="1" si="4"/>
        <v>Belarus</v>
      </c>
      <c r="BF189" s="2" t="e">
        <f t="shared" ca="1" si="5"/>
        <v>#NAME?</v>
      </c>
      <c r="BG189" s="2">
        <f t="shared" ca="1" si="6"/>
        <v>1</v>
      </c>
      <c r="BH189" s="2" t="s">
        <v>257</v>
      </c>
      <c r="BI189" s="2" t="s">
        <v>56</v>
      </c>
      <c r="BJ189" s="7">
        <v>0.97499999999999998</v>
      </c>
      <c r="BK189" s="2">
        <v>1</v>
      </c>
      <c r="BL189" s="2">
        <f t="shared" si="10"/>
        <v>187</v>
      </c>
      <c r="BM189" s="2" t="str">
        <f t="shared" si="7"/>
        <v>Dynamo Moscow</v>
      </c>
      <c r="BN189" s="7">
        <f t="shared" ref="BN189:BO189" si="196">BJ189</f>
        <v>0.97499999999999998</v>
      </c>
      <c r="BO189" s="2">
        <f t="shared" si="196"/>
        <v>1</v>
      </c>
      <c r="BS189" s="2" t="str">
        <f t="shared" si="9"/>
        <v>Russia</v>
      </c>
    </row>
    <row r="190" spans="1:71" ht="13.8" x14ac:dyDescent="0.45">
      <c r="A190" s="2" t="str">
        <f ca="1">IFERROR(__xludf.DUMMYFUNCTION("""COMPUTED_VALUE"""),"Shamrock Rovers")</f>
        <v>Shamrock Rovers</v>
      </c>
      <c r="B190" s="2">
        <f ca="1">IFERROR(__xludf.DUMMYFUNCTION("""COMPUTED_VALUE"""),0.61)</f>
        <v>0.61</v>
      </c>
      <c r="C190" s="2" t="str">
        <f ca="1">IFERROR(__xludf.DUMMYFUNCTION("""COMPUTED_VALUE"""),"Republic of Ireland")</f>
        <v>Republic of Ireland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5">
        <f ca="1">IFERROR(__xludf.DUMMYFUNCTION("""COMPUTED_VALUE"""),0)</f>
        <v>0</v>
      </c>
      <c r="P190" s="2">
        <f ca="1">IFERROR(__xludf.DUMMYFUNCTION("""COMPUTED_VALUE"""),0)</f>
        <v>0</v>
      </c>
      <c r="Q190" s="2">
        <f ca="1">IFERROR(__xludf.DUMMYFUNCTION("""COMPUTED_VALUE"""),0)</f>
        <v>0</v>
      </c>
      <c r="R190" s="2">
        <f ca="1">IFERROR(__xludf.DUMMYFUNCTION("""COMPUTED_VALUE"""),0)</f>
        <v>0</v>
      </c>
      <c r="S190" s="2">
        <f ca="1">IFERROR(__xludf.DUMMYFUNCTION("""COMPUTED_VALUE"""),0)</f>
        <v>0</v>
      </c>
      <c r="T190" s="2">
        <f ca="1">IFERROR(__xludf.DUMMYFUNCTION("""COMPUTED_VALUE"""),0)</f>
        <v>0</v>
      </c>
      <c r="U190" s="2">
        <f ca="1">IFERROR(__xludf.DUMMYFUNCTION("""COMPUTED_VALUE"""),0)</f>
        <v>0</v>
      </c>
      <c r="V190" s="2">
        <f ca="1">IFERROR(__xludf.DUMMYFUNCTION("""COMPUTED_VALUE"""),0)</f>
        <v>0</v>
      </c>
      <c r="W190" s="2">
        <f ca="1">IFERROR(__xludf.DUMMYFUNCTION("""COMPUTED_VALUE"""),0)</f>
        <v>0</v>
      </c>
      <c r="X190" s="2">
        <f ca="1">IFERROR(__xludf.DUMMYFUNCTION("""COMPUTED_VALUE"""),0)</f>
        <v>0</v>
      </c>
      <c r="Y190" s="2">
        <f ca="1">IFERROR(__xludf.DUMMYFUNCTION("""COMPUTED_VALUE"""),0)</f>
        <v>0</v>
      </c>
      <c r="AB190" s="2"/>
      <c r="AC190" s="2" t="str">
        <f ca="1">IFERROR(__xludf.DUMMYFUNCTION("""COMPUTED_VALUE"""),"X")</f>
        <v>X</v>
      </c>
      <c r="AD190" s="2" t="str">
        <f ca="1">IFERROR(__xludf.DUMMYFUNCTION("""COMPUTED_VALUE"""),"X")</f>
        <v>X</v>
      </c>
      <c r="AE190" s="2"/>
      <c r="AF190" s="2"/>
      <c r="AG190" s="2"/>
      <c r="AH190" s="2"/>
      <c r="AI190" s="2"/>
      <c r="AJ190" s="2"/>
      <c r="AK190" s="2"/>
      <c r="AL190" s="2"/>
      <c r="AM190" s="2">
        <f ca="1">IFERROR(__xludf.DUMMYFUNCTION("""COMPUTED_VALUE"""),0)</f>
        <v>0</v>
      </c>
      <c r="AN190" s="2">
        <f ca="1">IFERROR(__xludf.DUMMYFUNCTION("""COMPUTED_VALUE"""),2.1)</f>
        <v>2.1</v>
      </c>
      <c r="AO190" s="2">
        <f ca="1">IFERROR(__xludf.DUMMYFUNCTION("""COMPUTED_VALUE"""),0.669999999999999)</f>
        <v>0.66999999999999904</v>
      </c>
      <c r="AP190" s="2">
        <f ca="1">IFERROR(__xludf.DUMMYFUNCTION("""COMPUTED_VALUE"""),0)</f>
        <v>0</v>
      </c>
      <c r="AQ190" s="2">
        <f ca="1">IFERROR(__xludf.DUMMYFUNCTION("""COMPUTED_VALUE"""),0)</f>
        <v>0</v>
      </c>
      <c r="AR190" s="2">
        <f ca="1">IFERROR(__xludf.DUMMYFUNCTION("""COMPUTED_VALUE"""),0)</f>
        <v>0</v>
      </c>
      <c r="AS190" s="2">
        <f ca="1">IFERROR(__xludf.DUMMYFUNCTION("""COMPUTED_VALUE"""),0)</f>
        <v>0</v>
      </c>
      <c r="AT190" s="2">
        <f ca="1">IFERROR(__xludf.DUMMYFUNCTION("""COMPUTED_VALUE"""),0)</f>
        <v>0</v>
      </c>
      <c r="AU190" s="2">
        <f ca="1">IFERROR(__xludf.DUMMYFUNCTION("""COMPUTED_VALUE"""),0)</f>
        <v>0</v>
      </c>
      <c r="AV190" s="2">
        <f ca="1">IFERROR(__xludf.DUMMYFUNCTION("""COMPUTED_VALUE"""),0)</f>
        <v>0</v>
      </c>
      <c r="AW190" s="2">
        <f ca="1">IFERROR(__xludf.DUMMYFUNCTION("""COMPUTED_VALUE"""),0)</f>
        <v>0</v>
      </c>
      <c r="AY190" s="2">
        <f t="shared" ca="1" si="0"/>
        <v>2</v>
      </c>
      <c r="AZ190" s="2" t="e">
        <f ca="1">IF(NOT(COUNTA(D190:J190)), _xludf.IFS(AL190="W", 'Round Bonuses'!$F$14, AL190="X", 'Round Bonuses'!$F$13, AK190="X", 'Round Bonuses'!$F$12, AJ190="X", 'Round Bonuses'!$F$11, AI190="X", 'Round Bonuses'!$F$10, AH190="X", 'Round Bonuses'!$F$9, AG190="X", 'Round Bonuses'!$F$8, AF190="X", 'Round Bonuses'!$F$7, AE190="X", 'Round Bonuses'!$F$6, AD190="X", 'Round Bonuses'!$F$5, AC190="X", 'Round Bonuses'!$F$4, AB190="X", 'Round Bonuses'!$F$3, TRUE, 0), IF(AA190="X", _xludf.IFS(AD190="X", 'Round Bonuses'!$E$4, AF190="X",'Round Bonuses'!$E$6,TRUE, 'Round Bonuses'!$E$7), 0) +IF(AB190="X", 'Round Bonuses'!$E$3, 0)+IF(AC190="X",'Round Bonuses'!$E$4, 0)+IF(AD190="X", 'Round Bonuses'!$E$5, 0)+IF(AE190="X", 'Round Bonuses'!$E$6, 0)+IF(AF190="X", 'Round Bonuses'!$E$7, 0)+IF(AG190="X", 'Round Bonuses'!$E$8, 0)+_xludf.IFS(AL190="W", 'Round Bonuses'!$G$14, AL190="X", 'Round Bonuses'!$G$13, AK190="X", 'Round Bonuses'!$G$12, AJ190="X", 'Round Bonuses'!$G$11, AI190="X", 'Round Bonuses'!$G$10, AH190="X", 'Round Bonuses'!$G$9, TRUE, 0))+_xludf.IFS(N190="W", 'Round Bonuses'!$C$13, N190="X", 'Round Bonuses'!$C$12, M190="X", 'Round Bonuses'!$C$11, L190="X", 'Round Bonuses'!$C$10, K190="X", 'Round Bonuses'!$C$9, J190="X", 'Round Bonuses'!$C$8, I190="X", 'Round Bonuses'!$C$7, H190="X", 'Round Bonuses'!$C$6, G190="X", 'Round Bonuses'!$C$5, F190="X", 'Round Bonuses'!$C$4, E190="X", 'Round Bonuses'!$C$3, D190="X", 'Round Bonuses'!$C$3, TRUE, 0)</f>
        <v>#NAME?</v>
      </c>
      <c r="BA190" s="2">
        <f t="shared" ca="1" si="1"/>
        <v>2.7699999999999991</v>
      </c>
      <c r="BB190" s="10" t="e">
        <f t="shared" ca="1" si="2"/>
        <v>#NAME?</v>
      </c>
      <c r="BD190" s="11" t="str">
        <f t="shared" ca="1" si="3"/>
        <v>Shamrock Rovers</v>
      </c>
      <c r="BE190" s="2" t="str">
        <f t="shared" ca="1" si="4"/>
        <v>Republic of Ireland</v>
      </c>
      <c r="BF190" s="2" t="e">
        <f t="shared" ca="1" si="5"/>
        <v>#NAME?</v>
      </c>
      <c r="BG190" s="2">
        <f t="shared" ca="1" si="6"/>
        <v>2</v>
      </c>
      <c r="BH190" s="2" t="s">
        <v>258</v>
      </c>
      <c r="BI190" s="2" t="s">
        <v>189</v>
      </c>
      <c r="BJ190" s="7">
        <v>0.97500000000000009</v>
      </c>
      <c r="BK190" s="2">
        <v>1</v>
      </c>
      <c r="BL190" s="2">
        <f t="shared" si="10"/>
        <v>188</v>
      </c>
      <c r="BM190" s="2" t="str">
        <f t="shared" si="7"/>
        <v>RFS</v>
      </c>
      <c r="BN190" s="7">
        <f t="shared" ref="BN190:BO190" si="197">BJ190</f>
        <v>0.97500000000000009</v>
      </c>
      <c r="BO190" s="2">
        <f t="shared" si="197"/>
        <v>1</v>
      </c>
      <c r="BS190" s="2" t="str">
        <f t="shared" si="9"/>
        <v>Latvia</v>
      </c>
    </row>
    <row r="191" spans="1:71" ht="13.8" x14ac:dyDescent="0.45">
      <c r="A191" s="2" t="str">
        <f ca="1">IFERROR(__xludf.DUMMYFUNCTION("""COMPUTED_VALUE"""),"Sheriff Tiraspol")</f>
        <v>Sheriff Tiraspol</v>
      </c>
      <c r="B191" s="2">
        <f ca="1">IFERROR(__xludf.DUMMYFUNCTION("""COMPUTED_VALUE"""),0.649999999999999)</f>
        <v>0.64999999999999902</v>
      </c>
      <c r="C191" s="2" t="str">
        <f ca="1">IFERROR(__xludf.DUMMYFUNCTION("""COMPUTED_VALUE"""),"Moldova")</f>
        <v>Moldova</v>
      </c>
      <c r="D191" s="2"/>
      <c r="E191" s="2"/>
      <c r="F191" s="2" t="str">
        <f ca="1">IFERROR(__xludf.DUMMYFUNCTION("""COMPUTED_VALUE"""),"X")</f>
        <v>X</v>
      </c>
      <c r="G191" s="2" t="str">
        <f ca="1">IFERROR(__xludf.DUMMYFUNCTION("""COMPUTED_VALUE"""),"X")</f>
        <v>X</v>
      </c>
      <c r="H191" s="2"/>
      <c r="I191" s="2"/>
      <c r="J191" s="2"/>
      <c r="K191" s="2"/>
      <c r="L191" s="2"/>
      <c r="M191" s="2"/>
      <c r="N191" s="2"/>
      <c r="O191" s="5">
        <f ca="1">IFERROR(__xludf.DUMMYFUNCTION("""COMPUTED_VALUE"""),0)</f>
        <v>0</v>
      </c>
      <c r="P191" s="2">
        <f ca="1">IFERROR(__xludf.DUMMYFUNCTION("""COMPUTED_VALUE"""),0)</f>
        <v>0</v>
      </c>
      <c r="Q191" s="2">
        <f ca="1">IFERROR(__xludf.DUMMYFUNCTION("""COMPUTED_VALUE"""),2.4225)</f>
        <v>2.4224999999999999</v>
      </c>
      <c r="R191" s="2">
        <f ca="1">IFERROR(__xludf.DUMMYFUNCTION("""COMPUTED_VALUE"""),0.615)</f>
        <v>0.61499999999999999</v>
      </c>
      <c r="S191" s="2">
        <f ca="1">IFERROR(__xludf.DUMMYFUNCTION("""COMPUTED_VALUE"""),0)</f>
        <v>0</v>
      </c>
      <c r="T191" s="2">
        <f ca="1">IFERROR(__xludf.DUMMYFUNCTION("""COMPUTED_VALUE"""),0)</f>
        <v>0</v>
      </c>
      <c r="U191" s="2">
        <f ca="1">IFERROR(__xludf.DUMMYFUNCTION("""COMPUTED_VALUE"""),0)</f>
        <v>0</v>
      </c>
      <c r="V191" s="2">
        <f ca="1">IFERROR(__xludf.DUMMYFUNCTION("""COMPUTED_VALUE"""),0)</f>
        <v>0</v>
      </c>
      <c r="W191" s="2">
        <f ca="1">IFERROR(__xludf.DUMMYFUNCTION("""COMPUTED_VALUE"""),0)</f>
        <v>0</v>
      </c>
      <c r="X191" s="2">
        <f ca="1">IFERROR(__xludf.DUMMYFUNCTION("""COMPUTED_VALUE"""),0)</f>
        <v>0</v>
      </c>
      <c r="Y191" s="2">
        <f ca="1">IFERROR(__xludf.DUMMYFUNCTION("""COMPUTED_VALUE"""),0)</f>
        <v>0</v>
      </c>
      <c r="AB191" s="2"/>
      <c r="AC191" s="2"/>
      <c r="AD191" s="2"/>
      <c r="AE191" s="2" t="str">
        <f ca="1">IFERROR(__xludf.DUMMYFUNCTION("""COMPUTED_VALUE"""),"X")</f>
        <v>X</v>
      </c>
      <c r="AF191" s="2"/>
      <c r="AG191" s="2"/>
      <c r="AH191" s="2"/>
      <c r="AI191" s="2"/>
      <c r="AJ191" s="2"/>
      <c r="AK191" s="2"/>
      <c r="AL191" s="2"/>
      <c r="AM191" s="2">
        <f ca="1">IFERROR(__xludf.DUMMYFUNCTION("""COMPUTED_VALUE"""),0)</f>
        <v>0</v>
      </c>
      <c r="AN191" s="2">
        <f ca="1">IFERROR(__xludf.DUMMYFUNCTION("""COMPUTED_VALUE"""),0)</f>
        <v>0</v>
      </c>
      <c r="AO191" s="2">
        <f ca="1">IFERROR(__xludf.DUMMYFUNCTION("""COMPUTED_VALUE"""),0)</f>
        <v>0</v>
      </c>
      <c r="AP191" s="2">
        <f ca="1">IFERROR(__xludf.DUMMYFUNCTION("""COMPUTED_VALUE"""),0.63)</f>
        <v>0.63</v>
      </c>
      <c r="AQ191" s="2">
        <f ca="1">IFERROR(__xludf.DUMMYFUNCTION("""COMPUTED_VALUE"""),0)</f>
        <v>0</v>
      </c>
      <c r="AR191" s="2">
        <f ca="1">IFERROR(__xludf.DUMMYFUNCTION("""COMPUTED_VALUE"""),0)</f>
        <v>0</v>
      </c>
      <c r="AS191" s="2">
        <f ca="1">IFERROR(__xludf.DUMMYFUNCTION("""COMPUTED_VALUE"""),0)</f>
        <v>0</v>
      </c>
      <c r="AT191" s="2">
        <f ca="1">IFERROR(__xludf.DUMMYFUNCTION("""COMPUTED_VALUE"""),0)</f>
        <v>0</v>
      </c>
      <c r="AU191" s="2">
        <f ca="1">IFERROR(__xludf.DUMMYFUNCTION("""COMPUTED_VALUE"""),0)</f>
        <v>0</v>
      </c>
      <c r="AV191" s="2">
        <f ca="1">IFERROR(__xludf.DUMMYFUNCTION("""COMPUTED_VALUE"""),0)</f>
        <v>0</v>
      </c>
      <c r="AW191" s="2">
        <f ca="1">IFERROR(__xludf.DUMMYFUNCTION("""COMPUTED_VALUE"""),0)</f>
        <v>0</v>
      </c>
      <c r="AY191" s="2">
        <f t="shared" ca="1" si="0"/>
        <v>3</v>
      </c>
      <c r="AZ191" s="2" t="e">
        <f ca="1">IF(NOT(COUNTA(D191:J191)), _xludf.IFS(AL191="W", 'Round Bonuses'!$F$14, AL191="X", 'Round Bonuses'!$F$13, AK191="X", 'Round Bonuses'!$F$12, AJ191="X", 'Round Bonuses'!$F$11, AI191="X", 'Round Bonuses'!$F$10, AH191="X", 'Round Bonuses'!$F$9, AG191="X", 'Round Bonuses'!$F$8, AF191="X", 'Round Bonuses'!$F$7, AE191="X", 'Round Bonuses'!$F$6, AD191="X", 'Round Bonuses'!$F$5, AC191="X", 'Round Bonuses'!$F$4, AB191="X", 'Round Bonuses'!$F$3, TRUE, 0), IF(AA191="X", _xludf.IFS(AD191="X", 'Round Bonuses'!$E$4, AF191="X",'Round Bonuses'!$E$6,TRUE, 'Round Bonuses'!$E$7), 0) +IF(AB191="X", 'Round Bonuses'!$E$3, 0)+IF(AC191="X",'Round Bonuses'!$E$4, 0)+IF(AD191="X", 'Round Bonuses'!$E$5, 0)+IF(AE191="X", 'Round Bonuses'!$E$6, 0)+IF(AF191="X", 'Round Bonuses'!$E$7, 0)+IF(AG191="X", 'Round Bonuses'!$E$8, 0)+_xludf.IFS(AL191="W", 'Round Bonuses'!$G$14, AL191="X", 'Round Bonuses'!$G$13, AK191="X", 'Round Bonuses'!$G$12, AJ191="X", 'Round Bonuses'!$G$11, AI191="X", 'Round Bonuses'!$G$10, AH191="X", 'Round Bonuses'!$G$9, TRUE, 0))+_xludf.IFS(N191="W", 'Round Bonuses'!$C$13, N191="X", 'Round Bonuses'!$C$12, M191="X", 'Round Bonuses'!$C$11, L191="X", 'Round Bonuses'!$C$10, K191="X", 'Round Bonuses'!$C$9, J191="X", 'Round Bonuses'!$C$8, I191="X", 'Round Bonuses'!$C$7, H191="X", 'Round Bonuses'!$C$6, G191="X", 'Round Bonuses'!$C$5, F191="X", 'Round Bonuses'!$C$4, E191="X", 'Round Bonuses'!$C$3, D191="X", 'Round Bonuses'!$C$3, TRUE, 0)</f>
        <v>#NAME?</v>
      </c>
      <c r="BA191" s="2">
        <f t="shared" ca="1" si="1"/>
        <v>3.6674999999999995</v>
      </c>
      <c r="BB191" s="10" t="e">
        <f t="shared" ca="1" si="2"/>
        <v>#NAME?</v>
      </c>
      <c r="BD191" s="11" t="str">
        <f t="shared" ca="1" si="3"/>
        <v>Sheriff Tiraspol</v>
      </c>
      <c r="BE191" s="2" t="str">
        <f t="shared" ca="1" si="4"/>
        <v>Moldova</v>
      </c>
      <c r="BF191" s="2" t="e">
        <f t="shared" ca="1" si="5"/>
        <v>#NAME?</v>
      </c>
      <c r="BG191" s="2">
        <f t="shared" ca="1" si="6"/>
        <v>3</v>
      </c>
      <c r="BH191" s="2" t="s">
        <v>259</v>
      </c>
      <c r="BI191" s="2" t="s">
        <v>121</v>
      </c>
      <c r="BJ191" s="7">
        <v>0.96</v>
      </c>
      <c r="BK191" s="2">
        <v>1</v>
      </c>
      <c r="BL191" s="2">
        <f t="shared" si="10"/>
        <v>189</v>
      </c>
      <c r="BM191" s="2" t="str">
        <f t="shared" si="7"/>
        <v>Bohemians</v>
      </c>
      <c r="BN191" s="7">
        <f t="shared" ref="BN191:BO191" si="198">BJ191</f>
        <v>0.96</v>
      </c>
      <c r="BO191" s="2">
        <f t="shared" si="198"/>
        <v>1</v>
      </c>
      <c r="BS191" s="2" t="str">
        <f t="shared" si="9"/>
        <v>Republic of Ireland</v>
      </c>
    </row>
    <row r="192" spans="1:71" ht="13.8" x14ac:dyDescent="0.45">
      <c r="A192" s="2" t="str">
        <f ca="1">IFERROR(__xludf.DUMMYFUNCTION("""COMPUTED_VALUE"""),"Shirak")</f>
        <v>Shirak</v>
      </c>
      <c r="B192" s="2">
        <f ca="1">IFERROR(__xludf.DUMMYFUNCTION("""COMPUTED_VALUE"""),0.53)</f>
        <v>0.53</v>
      </c>
      <c r="C192" s="2" t="str">
        <f ca="1">IFERROR(__xludf.DUMMYFUNCTION("""COMPUTED_VALUE"""),"Armenia")</f>
        <v>Armenia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5">
        <f ca="1">IFERROR(__xludf.DUMMYFUNCTION("""COMPUTED_VALUE"""),0)</f>
        <v>0</v>
      </c>
      <c r="P192" s="2">
        <f ca="1">IFERROR(__xludf.DUMMYFUNCTION("""COMPUTED_VALUE"""),0)</f>
        <v>0</v>
      </c>
      <c r="Q192" s="2">
        <f ca="1">IFERROR(__xludf.DUMMYFUNCTION("""COMPUTED_VALUE"""),0)</f>
        <v>0</v>
      </c>
      <c r="R192" s="2">
        <f ca="1">IFERROR(__xludf.DUMMYFUNCTION("""COMPUTED_VALUE"""),0)</f>
        <v>0</v>
      </c>
      <c r="S192" s="2">
        <f ca="1">IFERROR(__xludf.DUMMYFUNCTION("""COMPUTED_VALUE"""),0)</f>
        <v>0</v>
      </c>
      <c r="T192" s="2">
        <f ca="1">IFERROR(__xludf.DUMMYFUNCTION("""COMPUTED_VALUE"""),0)</f>
        <v>0</v>
      </c>
      <c r="U192" s="2">
        <f ca="1">IFERROR(__xludf.DUMMYFUNCTION("""COMPUTED_VALUE"""),0)</f>
        <v>0</v>
      </c>
      <c r="V192" s="2">
        <f ca="1">IFERROR(__xludf.DUMMYFUNCTION("""COMPUTED_VALUE"""),0)</f>
        <v>0</v>
      </c>
      <c r="W192" s="2">
        <f ca="1">IFERROR(__xludf.DUMMYFUNCTION("""COMPUTED_VALUE"""),0)</f>
        <v>0</v>
      </c>
      <c r="X192" s="2">
        <f ca="1">IFERROR(__xludf.DUMMYFUNCTION("""COMPUTED_VALUE"""),0)</f>
        <v>0</v>
      </c>
      <c r="Y192" s="2">
        <f ca="1">IFERROR(__xludf.DUMMYFUNCTION("""COMPUTED_VALUE"""),0)</f>
        <v>0</v>
      </c>
      <c r="AB192" s="2"/>
      <c r="AC192" s="2" t="str">
        <f ca="1">IFERROR(__xludf.DUMMYFUNCTION("""COMPUTED_VALUE"""),"X")</f>
        <v>X</v>
      </c>
      <c r="AD192" s="2"/>
      <c r="AE192" s="2"/>
      <c r="AF192" s="2"/>
      <c r="AG192" s="2"/>
      <c r="AH192" s="2"/>
      <c r="AI192" s="2"/>
      <c r="AJ192" s="2"/>
      <c r="AK192" s="2"/>
      <c r="AL192" s="2"/>
      <c r="AM192" s="2">
        <f ca="1">IFERROR(__xludf.DUMMYFUNCTION("""COMPUTED_VALUE"""),0)</f>
        <v>0</v>
      </c>
      <c r="AN192" s="2">
        <f ca="1">IFERROR(__xludf.DUMMYFUNCTION("""COMPUTED_VALUE"""),0.314999999999999)</f>
        <v>0.314999999999999</v>
      </c>
      <c r="AO192" s="2">
        <f ca="1">IFERROR(__xludf.DUMMYFUNCTION("""COMPUTED_VALUE"""),0)</f>
        <v>0</v>
      </c>
      <c r="AP192" s="2">
        <f ca="1">IFERROR(__xludf.DUMMYFUNCTION("""COMPUTED_VALUE"""),0)</f>
        <v>0</v>
      </c>
      <c r="AQ192" s="2">
        <f ca="1">IFERROR(__xludf.DUMMYFUNCTION("""COMPUTED_VALUE"""),0)</f>
        <v>0</v>
      </c>
      <c r="AR192" s="2">
        <f ca="1">IFERROR(__xludf.DUMMYFUNCTION("""COMPUTED_VALUE"""),0)</f>
        <v>0</v>
      </c>
      <c r="AS192" s="2">
        <f ca="1">IFERROR(__xludf.DUMMYFUNCTION("""COMPUTED_VALUE"""),0)</f>
        <v>0</v>
      </c>
      <c r="AT192" s="2">
        <f ca="1">IFERROR(__xludf.DUMMYFUNCTION("""COMPUTED_VALUE"""),0)</f>
        <v>0</v>
      </c>
      <c r="AU192" s="2">
        <f ca="1">IFERROR(__xludf.DUMMYFUNCTION("""COMPUTED_VALUE"""),0)</f>
        <v>0</v>
      </c>
      <c r="AV192" s="2">
        <f ca="1">IFERROR(__xludf.DUMMYFUNCTION("""COMPUTED_VALUE"""),0)</f>
        <v>0</v>
      </c>
      <c r="AW192" s="2">
        <f ca="1">IFERROR(__xludf.DUMMYFUNCTION("""COMPUTED_VALUE"""),0)</f>
        <v>0</v>
      </c>
      <c r="AY192" s="2">
        <f t="shared" ca="1" si="0"/>
        <v>1</v>
      </c>
      <c r="AZ192" s="2" t="e">
        <f ca="1">IF(NOT(COUNTA(D192:J192)), _xludf.IFS(AL192="W", 'Round Bonuses'!$F$14, AL192="X", 'Round Bonuses'!$F$13, AK192="X", 'Round Bonuses'!$F$12, AJ192="X", 'Round Bonuses'!$F$11, AI192="X", 'Round Bonuses'!$F$10, AH192="X", 'Round Bonuses'!$F$9, AG192="X", 'Round Bonuses'!$F$8, AF192="X", 'Round Bonuses'!$F$7, AE192="X", 'Round Bonuses'!$F$6, AD192="X", 'Round Bonuses'!$F$5, AC192="X", 'Round Bonuses'!$F$4, AB192="X", 'Round Bonuses'!$F$3, TRUE, 0), IF(AA192="X", _xludf.IFS(AD192="X", 'Round Bonuses'!$E$4, AF192="X",'Round Bonuses'!$E$6,TRUE, 'Round Bonuses'!$E$7), 0) +IF(AB192="X", 'Round Bonuses'!$E$3, 0)+IF(AC192="X",'Round Bonuses'!$E$4, 0)+IF(AD192="X", 'Round Bonuses'!$E$5, 0)+IF(AE192="X", 'Round Bonuses'!$E$6, 0)+IF(AF192="X", 'Round Bonuses'!$E$7, 0)+IF(AG192="X", 'Round Bonuses'!$E$8, 0)+_xludf.IFS(AL192="W", 'Round Bonuses'!$G$14, AL192="X", 'Round Bonuses'!$G$13, AK192="X", 'Round Bonuses'!$G$12, AJ192="X", 'Round Bonuses'!$G$11, AI192="X", 'Round Bonuses'!$G$10, AH192="X", 'Round Bonuses'!$G$9, TRUE, 0))+_xludf.IFS(N192="W", 'Round Bonuses'!$C$13, N192="X", 'Round Bonuses'!$C$12, M192="X", 'Round Bonuses'!$C$11, L192="X", 'Round Bonuses'!$C$10, K192="X", 'Round Bonuses'!$C$9, J192="X", 'Round Bonuses'!$C$8, I192="X", 'Round Bonuses'!$C$7, H192="X", 'Round Bonuses'!$C$6, G192="X", 'Round Bonuses'!$C$5, F192="X", 'Round Bonuses'!$C$4, E192="X", 'Round Bonuses'!$C$3, D192="X", 'Round Bonuses'!$C$3, TRUE, 0)</f>
        <v>#NAME?</v>
      </c>
      <c r="BA192" s="2">
        <f t="shared" ca="1" si="1"/>
        <v>0.314999999999999</v>
      </c>
      <c r="BB192" s="10" t="e">
        <f t="shared" ca="1" si="2"/>
        <v>#NAME?</v>
      </c>
      <c r="BD192" s="11" t="str">
        <f t="shared" ca="1" si="3"/>
        <v>Shirak</v>
      </c>
      <c r="BE192" s="2" t="str">
        <f t="shared" ca="1" si="4"/>
        <v>Armenia</v>
      </c>
      <c r="BF192" s="2" t="e">
        <f t="shared" ca="1" si="5"/>
        <v>#NAME?</v>
      </c>
      <c r="BG192" s="2">
        <f t="shared" ca="1" si="6"/>
        <v>1</v>
      </c>
      <c r="BH192" s="2" t="s">
        <v>260</v>
      </c>
      <c r="BI192" s="2" t="s">
        <v>123</v>
      </c>
      <c r="BJ192" s="7">
        <v>0.94</v>
      </c>
      <c r="BK192" s="2">
        <v>1</v>
      </c>
      <c r="BL192" s="2">
        <f t="shared" si="10"/>
        <v>190</v>
      </c>
      <c r="BM192" s="2" t="str">
        <f t="shared" si="7"/>
        <v>Shakhtyor Soligorsk</v>
      </c>
      <c r="BN192" s="7">
        <f t="shared" ref="BN192:BO192" si="199">BJ192</f>
        <v>0.94</v>
      </c>
      <c r="BO192" s="2">
        <f t="shared" si="199"/>
        <v>1</v>
      </c>
      <c r="BS192" s="2" t="str">
        <f t="shared" si="9"/>
        <v>Belarus</v>
      </c>
    </row>
    <row r="193" spans="1:71" ht="13.8" x14ac:dyDescent="0.45">
      <c r="A193" s="2" t="str">
        <f ca="1">IFERROR(__xludf.DUMMYFUNCTION("""COMPUTED_VALUE"""),"Shkëndija")</f>
        <v>Shkëndija</v>
      </c>
      <c r="B193" s="2">
        <f ca="1">IFERROR(__xludf.DUMMYFUNCTION("""COMPUTED_VALUE"""),0.639999999999999)</f>
        <v>0.63999999999999901</v>
      </c>
      <c r="C193" s="2" t="str">
        <f ca="1">IFERROR(__xludf.DUMMYFUNCTION("""COMPUTED_VALUE"""),"North Macedonia")</f>
        <v>North Macedonia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5">
        <f ca="1">IFERROR(__xludf.DUMMYFUNCTION("""COMPUTED_VALUE"""),0)</f>
        <v>0</v>
      </c>
      <c r="P193" s="2">
        <f ca="1">IFERROR(__xludf.DUMMYFUNCTION("""COMPUTED_VALUE"""),0)</f>
        <v>0</v>
      </c>
      <c r="Q193" s="2">
        <f ca="1">IFERROR(__xludf.DUMMYFUNCTION("""COMPUTED_VALUE"""),0)</f>
        <v>0</v>
      </c>
      <c r="R193" s="2">
        <f ca="1">IFERROR(__xludf.DUMMYFUNCTION("""COMPUTED_VALUE"""),0)</f>
        <v>0</v>
      </c>
      <c r="S193" s="2">
        <f ca="1">IFERROR(__xludf.DUMMYFUNCTION("""COMPUTED_VALUE"""),0)</f>
        <v>0</v>
      </c>
      <c r="T193" s="2">
        <f ca="1">IFERROR(__xludf.DUMMYFUNCTION("""COMPUTED_VALUE"""),0)</f>
        <v>0</v>
      </c>
      <c r="U193" s="2">
        <f ca="1">IFERROR(__xludf.DUMMYFUNCTION("""COMPUTED_VALUE"""),0)</f>
        <v>0</v>
      </c>
      <c r="V193" s="2">
        <f ca="1">IFERROR(__xludf.DUMMYFUNCTION("""COMPUTED_VALUE"""),0)</f>
        <v>0</v>
      </c>
      <c r="W193" s="2">
        <f ca="1">IFERROR(__xludf.DUMMYFUNCTION("""COMPUTED_VALUE"""),0)</f>
        <v>0</v>
      </c>
      <c r="X193" s="2">
        <f ca="1">IFERROR(__xludf.DUMMYFUNCTION("""COMPUTED_VALUE"""),0)</f>
        <v>0</v>
      </c>
      <c r="Y193" s="2">
        <f ca="1">IFERROR(__xludf.DUMMYFUNCTION("""COMPUTED_VALUE"""),0)</f>
        <v>0</v>
      </c>
      <c r="AB193" s="2"/>
      <c r="AC193" s="2" t="str">
        <f ca="1">IFERROR(__xludf.DUMMYFUNCTION("""COMPUTED_VALUE"""),"X")</f>
        <v>X</v>
      </c>
      <c r="AD193" s="2" t="str">
        <f ca="1">IFERROR(__xludf.DUMMYFUNCTION("""COMPUTED_VALUE"""),"X")</f>
        <v>X</v>
      </c>
      <c r="AE193" s="2" t="str">
        <f ca="1">IFERROR(__xludf.DUMMYFUNCTION("""COMPUTED_VALUE"""),"X")</f>
        <v>X</v>
      </c>
      <c r="AF193" s="2"/>
      <c r="AG193" s="2"/>
      <c r="AH193" s="2"/>
      <c r="AI193" s="2"/>
      <c r="AJ193" s="2"/>
      <c r="AK193" s="2"/>
      <c r="AL193" s="2"/>
      <c r="AM193" s="2">
        <f ca="1">IFERROR(__xludf.DUMMYFUNCTION("""COMPUTED_VALUE"""),0)</f>
        <v>0</v>
      </c>
      <c r="AN193" s="2">
        <f ca="1">IFERROR(__xludf.DUMMYFUNCTION("""COMPUTED_VALUE"""),3.0175)</f>
        <v>3.0175000000000001</v>
      </c>
      <c r="AO193" s="2">
        <f ca="1">IFERROR(__xludf.DUMMYFUNCTION("""COMPUTED_VALUE"""),2.80499999999999)</f>
        <v>2.8049999999999899</v>
      </c>
      <c r="AP193" s="2">
        <f ca="1">IFERROR(__xludf.DUMMYFUNCTION("""COMPUTED_VALUE"""),0.679999999999999)</f>
        <v>0.67999999999999905</v>
      </c>
      <c r="AQ193" s="2">
        <f ca="1">IFERROR(__xludf.DUMMYFUNCTION("""COMPUTED_VALUE"""),0)</f>
        <v>0</v>
      </c>
      <c r="AR193" s="2">
        <f ca="1">IFERROR(__xludf.DUMMYFUNCTION("""COMPUTED_VALUE"""),0)</f>
        <v>0</v>
      </c>
      <c r="AS193" s="2">
        <f ca="1">IFERROR(__xludf.DUMMYFUNCTION("""COMPUTED_VALUE"""),0)</f>
        <v>0</v>
      </c>
      <c r="AT193" s="2">
        <f ca="1">IFERROR(__xludf.DUMMYFUNCTION("""COMPUTED_VALUE"""),0)</f>
        <v>0</v>
      </c>
      <c r="AU193" s="2">
        <f ca="1">IFERROR(__xludf.DUMMYFUNCTION("""COMPUTED_VALUE"""),0)</f>
        <v>0</v>
      </c>
      <c r="AV193" s="2">
        <f ca="1">IFERROR(__xludf.DUMMYFUNCTION("""COMPUTED_VALUE"""),0)</f>
        <v>0</v>
      </c>
      <c r="AW193" s="2">
        <f ca="1">IFERROR(__xludf.DUMMYFUNCTION("""COMPUTED_VALUE"""),0)</f>
        <v>0</v>
      </c>
      <c r="AY193" s="2">
        <f t="shared" ca="1" si="0"/>
        <v>3</v>
      </c>
      <c r="AZ193" s="2" t="e">
        <f ca="1">IF(NOT(COUNTA(D193:J193)), _xludf.IFS(AL193="W", 'Round Bonuses'!$F$14, AL193="X", 'Round Bonuses'!$F$13, AK193="X", 'Round Bonuses'!$F$12, AJ193="X", 'Round Bonuses'!$F$11, AI193="X", 'Round Bonuses'!$F$10, AH193="X", 'Round Bonuses'!$F$9, AG193="X", 'Round Bonuses'!$F$8, AF193="X", 'Round Bonuses'!$F$7, AE193="X", 'Round Bonuses'!$F$6, AD193="X", 'Round Bonuses'!$F$5, AC193="X", 'Round Bonuses'!$F$4, AB193="X", 'Round Bonuses'!$F$3, TRUE, 0), IF(AA193="X", _xludf.IFS(AD193="X", 'Round Bonuses'!$E$4, AF193="X",'Round Bonuses'!$E$6,TRUE, 'Round Bonuses'!$E$7), 0) +IF(AB193="X", 'Round Bonuses'!$E$3, 0)+IF(AC193="X",'Round Bonuses'!$E$4, 0)+IF(AD193="X", 'Round Bonuses'!$E$5, 0)+IF(AE193="X", 'Round Bonuses'!$E$6, 0)+IF(AF193="X", 'Round Bonuses'!$E$7, 0)+IF(AG193="X", 'Round Bonuses'!$E$8, 0)+_xludf.IFS(AL193="W", 'Round Bonuses'!$G$14, AL193="X", 'Round Bonuses'!$G$13, AK193="X", 'Round Bonuses'!$G$12, AJ193="X", 'Round Bonuses'!$G$11, AI193="X", 'Round Bonuses'!$G$10, AH193="X", 'Round Bonuses'!$G$9, TRUE, 0))+_xludf.IFS(N193="W", 'Round Bonuses'!$C$13, N193="X", 'Round Bonuses'!$C$12, M193="X", 'Round Bonuses'!$C$11, L193="X", 'Round Bonuses'!$C$10, K193="X", 'Round Bonuses'!$C$9, J193="X", 'Round Bonuses'!$C$8, I193="X", 'Round Bonuses'!$C$7, H193="X", 'Round Bonuses'!$C$6, G193="X", 'Round Bonuses'!$C$5, F193="X", 'Round Bonuses'!$C$4, E193="X", 'Round Bonuses'!$C$3, D193="X", 'Round Bonuses'!$C$3, TRUE, 0)</f>
        <v>#NAME?</v>
      </c>
      <c r="BA193" s="2">
        <f t="shared" ca="1" si="1"/>
        <v>6.5024999999999888</v>
      </c>
      <c r="BB193" s="10" t="e">
        <f t="shared" ca="1" si="2"/>
        <v>#NAME?</v>
      </c>
      <c r="BD193" s="11" t="str">
        <f t="shared" ca="1" si="3"/>
        <v>Shkëndija</v>
      </c>
      <c r="BE193" s="2" t="str">
        <f t="shared" ca="1" si="4"/>
        <v>North Macedonia</v>
      </c>
      <c r="BF193" s="2" t="e">
        <f t="shared" ca="1" si="5"/>
        <v>#NAME?</v>
      </c>
      <c r="BG193" s="2">
        <f t="shared" ca="1" si="6"/>
        <v>3</v>
      </c>
      <c r="BH193" s="2" t="s">
        <v>261</v>
      </c>
      <c r="BI193" s="2" t="s">
        <v>102</v>
      </c>
      <c r="BJ193" s="7">
        <v>0.91999999999999993</v>
      </c>
      <c r="BK193" s="2">
        <v>1</v>
      </c>
      <c r="BL193" s="2">
        <f t="shared" si="10"/>
        <v>191</v>
      </c>
      <c r="BM193" s="2" t="str">
        <f t="shared" si="7"/>
        <v>Keşla</v>
      </c>
      <c r="BN193" s="7">
        <f t="shared" ref="BN193:BO193" si="200">BJ193</f>
        <v>0.91999999999999993</v>
      </c>
      <c r="BO193" s="2">
        <f t="shared" si="200"/>
        <v>1</v>
      </c>
      <c r="BS193" s="2" t="str">
        <f t="shared" si="9"/>
        <v>Azerbaijan</v>
      </c>
    </row>
    <row r="194" spans="1:71" ht="13.8" x14ac:dyDescent="0.45">
      <c r="A194" s="2" t="str">
        <f ca="1">IFERROR(__xludf.DUMMYFUNCTION("""COMPUTED_VALUE"""),"Shkupi")</f>
        <v>Shkupi</v>
      </c>
      <c r="B194" s="2">
        <f ca="1">IFERROR(__xludf.DUMMYFUNCTION("""COMPUTED_VALUE"""),0.619999999999999)</f>
        <v>0.619999999999999</v>
      </c>
      <c r="C194" s="2" t="str">
        <f ca="1">IFERROR(__xludf.DUMMYFUNCTION("""COMPUTED_VALUE"""),"North Macedonia")</f>
        <v>North Macedonia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5">
        <f ca="1">IFERROR(__xludf.DUMMYFUNCTION("""COMPUTED_VALUE"""),0)</f>
        <v>0</v>
      </c>
      <c r="P194" s="2">
        <f ca="1">IFERROR(__xludf.DUMMYFUNCTION("""COMPUTED_VALUE"""),0)</f>
        <v>0</v>
      </c>
      <c r="Q194" s="2">
        <f ca="1">IFERROR(__xludf.DUMMYFUNCTION("""COMPUTED_VALUE"""),0)</f>
        <v>0</v>
      </c>
      <c r="R194" s="2">
        <f ca="1">IFERROR(__xludf.DUMMYFUNCTION("""COMPUTED_VALUE"""),0)</f>
        <v>0</v>
      </c>
      <c r="S194" s="2">
        <f ca="1">IFERROR(__xludf.DUMMYFUNCTION("""COMPUTED_VALUE"""),0)</f>
        <v>0</v>
      </c>
      <c r="T194" s="2">
        <f ca="1">IFERROR(__xludf.DUMMYFUNCTION("""COMPUTED_VALUE"""),0)</f>
        <v>0</v>
      </c>
      <c r="U194" s="2">
        <f ca="1">IFERROR(__xludf.DUMMYFUNCTION("""COMPUTED_VALUE"""),0)</f>
        <v>0</v>
      </c>
      <c r="V194" s="2">
        <f ca="1">IFERROR(__xludf.DUMMYFUNCTION("""COMPUTED_VALUE"""),0)</f>
        <v>0</v>
      </c>
      <c r="W194" s="2">
        <f ca="1">IFERROR(__xludf.DUMMYFUNCTION("""COMPUTED_VALUE"""),0)</f>
        <v>0</v>
      </c>
      <c r="X194" s="2">
        <f ca="1">IFERROR(__xludf.DUMMYFUNCTION("""COMPUTED_VALUE"""),0)</f>
        <v>0</v>
      </c>
      <c r="Y194" s="2">
        <f ca="1">IFERROR(__xludf.DUMMYFUNCTION("""COMPUTED_VALUE"""),0)</f>
        <v>0</v>
      </c>
      <c r="AB194" s="2"/>
      <c r="AC194" s="2" t="str">
        <f ca="1">IFERROR(__xludf.DUMMYFUNCTION("""COMPUTED_VALUE"""),"X")</f>
        <v>X</v>
      </c>
      <c r="AD194" s="2"/>
      <c r="AE194" s="2"/>
      <c r="AF194" s="2"/>
      <c r="AG194" s="2"/>
      <c r="AH194" s="2"/>
      <c r="AI194" s="2"/>
      <c r="AJ194" s="2"/>
      <c r="AK194" s="2"/>
      <c r="AL194" s="2"/>
      <c r="AM194" s="2">
        <f ca="1">IFERROR(__xludf.DUMMYFUNCTION("""COMPUTED_VALUE"""),0)</f>
        <v>0</v>
      </c>
      <c r="AN194" s="2">
        <f ca="1">IFERROR(__xludf.DUMMYFUNCTION("""COMPUTED_VALUE"""),0.605)</f>
        <v>0.60499999999999998</v>
      </c>
      <c r="AO194" s="2">
        <f ca="1">IFERROR(__xludf.DUMMYFUNCTION("""COMPUTED_VALUE"""),0)</f>
        <v>0</v>
      </c>
      <c r="AP194" s="2">
        <f ca="1">IFERROR(__xludf.DUMMYFUNCTION("""COMPUTED_VALUE"""),0)</f>
        <v>0</v>
      </c>
      <c r="AQ194" s="2">
        <f ca="1">IFERROR(__xludf.DUMMYFUNCTION("""COMPUTED_VALUE"""),0)</f>
        <v>0</v>
      </c>
      <c r="AR194" s="2">
        <f ca="1">IFERROR(__xludf.DUMMYFUNCTION("""COMPUTED_VALUE"""),0)</f>
        <v>0</v>
      </c>
      <c r="AS194" s="2">
        <f ca="1">IFERROR(__xludf.DUMMYFUNCTION("""COMPUTED_VALUE"""),0)</f>
        <v>0</v>
      </c>
      <c r="AT194" s="2">
        <f ca="1">IFERROR(__xludf.DUMMYFUNCTION("""COMPUTED_VALUE"""),0)</f>
        <v>0</v>
      </c>
      <c r="AU194" s="2">
        <f ca="1">IFERROR(__xludf.DUMMYFUNCTION("""COMPUTED_VALUE"""),0)</f>
        <v>0</v>
      </c>
      <c r="AV194" s="2">
        <f ca="1">IFERROR(__xludf.DUMMYFUNCTION("""COMPUTED_VALUE"""),0)</f>
        <v>0</v>
      </c>
      <c r="AW194" s="2">
        <f ca="1">IFERROR(__xludf.DUMMYFUNCTION("""COMPUTED_VALUE"""),0)</f>
        <v>0</v>
      </c>
      <c r="AY194" s="2">
        <f t="shared" ca="1" si="0"/>
        <v>1</v>
      </c>
      <c r="AZ194" s="2" t="e">
        <f ca="1">IF(NOT(COUNTA(D194:J194)), _xludf.IFS(AL194="W", 'Round Bonuses'!$F$14, AL194="X", 'Round Bonuses'!$F$13, AK194="X", 'Round Bonuses'!$F$12, AJ194="X", 'Round Bonuses'!$F$11, AI194="X", 'Round Bonuses'!$F$10, AH194="X", 'Round Bonuses'!$F$9, AG194="X", 'Round Bonuses'!$F$8, AF194="X", 'Round Bonuses'!$F$7, AE194="X", 'Round Bonuses'!$F$6, AD194="X", 'Round Bonuses'!$F$5, AC194="X", 'Round Bonuses'!$F$4, AB194="X", 'Round Bonuses'!$F$3, TRUE, 0), IF(AA194="X", _xludf.IFS(AD194="X", 'Round Bonuses'!$E$4, AF194="X",'Round Bonuses'!$E$6,TRUE, 'Round Bonuses'!$E$7), 0) +IF(AB194="X", 'Round Bonuses'!$E$3, 0)+IF(AC194="X",'Round Bonuses'!$E$4, 0)+IF(AD194="X", 'Round Bonuses'!$E$5, 0)+IF(AE194="X", 'Round Bonuses'!$E$6, 0)+IF(AF194="X", 'Round Bonuses'!$E$7, 0)+IF(AG194="X", 'Round Bonuses'!$E$8, 0)+_xludf.IFS(AL194="W", 'Round Bonuses'!$G$14, AL194="X", 'Round Bonuses'!$G$13, AK194="X", 'Round Bonuses'!$G$12, AJ194="X", 'Round Bonuses'!$G$11, AI194="X", 'Round Bonuses'!$G$10, AH194="X", 'Round Bonuses'!$G$9, TRUE, 0))+_xludf.IFS(N194="W", 'Round Bonuses'!$C$13, N194="X", 'Round Bonuses'!$C$12, M194="X", 'Round Bonuses'!$C$11, L194="X", 'Round Bonuses'!$C$10, K194="X", 'Round Bonuses'!$C$9, J194="X", 'Round Bonuses'!$C$8, I194="X", 'Round Bonuses'!$C$7, H194="X", 'Round Bonuses'!$C$6, G194="X", 'Round Bonuses'!$C$5, F194="X", 'Round Bonuses'!$C$4, E194="X", 'Round Bonuses'!$C$3, D194="X", 'Round Bonuses'!$C$3, TRUE, 0)</f>
        <v>#NAME?</v>
      </c>
      <c r="BA194" s="2">
        <f t="shared" ca="1" si="1"/>
        <v>0.60499999999999998</v>
      </c>
      <c r="BB194" s="10" t="e">
        <f t="shared" ca="1" si="2"/>
        <v>#NAME?</v>
      </c>
      <c r="BD194" s="11" t="str">
        <f t="shared" ca="1" si="3"/>
        <v>Shkupi</v>
      </c>
      <c r="BE194" s="2" t="str">
        <f t="shared" ca="1" si="4"/>
        <v>North Macedonia</v>
      </c>
      <c r="BF194" s="2" t="e">
        <f t="shared" ca="1" si="5"/>
        <v>#NAME?</v>
      </c>
      <c r="BG194" s="2">
        <f t="shared" ca="1" si="6"/>
        <v>1</v>
      </c>
      <c r="BH194" s="2" t="s">
        <v>262</v>
      </c>
      <c r="BI194" s="2" t="s">
        <v>152</v>
      </c>
      <c r="BJ194" s="7">
        <v>0.90999999999999992</v>
      </c>
      <c r="BK194" s="2">
        <v>1</v>
      </c>
      <c r="BL194" s="2">
        <f t="shared" si="10"/>
        <v>192</v>
      </c>
      <c r="BM194" s="2" t="str">
        <f t="shared" si="7"/>
        <v>Ilves</v>
      </c>
      <c r="BN194" s="7">
        <f t="shared" ref="BN194:BO194" si="201">BJ194</f>
        <v>0.90999999999999992</v>
      </c>
      <c r="BO194" s="2">
        <f t="shared" si="201"/>
        <v>1</v>
      </c>
      <c r="BS194" s="2" t="str">
        <f t="shared" si="9"/>
        <v>Finland</v>
      </c>
    </row>
    <row r="195" spans="1:71" ht="13.8" x14ac:dyDescent="0.45">
      <c r="A195" s="2" t="str">
        <f ca="1">IFERROR(__xludf.DUMMYFUNCTION("""COMPUTED_VALUE"""),"Sileks")</f>
        <v>Sileks</v>
      </c>
      <c r="B195" s="2">
        <f ca="1">IFERROR(__xludf.DUMMYFUNCTION("""COMPUTED_VALUE"""),0.649999999999999)</f>
        <v>0.64999999999999902</v>
      </c>
      <c r="C195" s="2" t="str">
        <f ca="1">IFERROR(__xludf.DUMMYFUNCTION("""COMPUTED_VALUE"""),"North Macedonia")</f>
        <v>North Macedonia</v>
      </c>
      <c r="D195" s="2"/>
      <c r="E195" s="2"/>
      <c r="F195" s="2" t="str">
        <f ca="1">IFERROR(__xludf.DUMMYFUNCTION("""COMPUTED_VALUE"""),"X")</f>
        <v>X</v>
      </c>
      <c r="G195" s="2"/>
      <c r="H195" s="2"/>
      <c r="I195" s="2"/>
      <c r="J195" s="2"/>
      <c r="K195" s="2"/>
      <c r="L195" s="2"/>
      <c r="M195" s="2"/>
      <c r="N195" s="2"/>
      <c r="O195" s="5">
        <f ca="1">IFERROR(__xludf.DUMMYFUNCTION("""COMPUTED_VALUE"""),0)</f>
        <v>0</v>
      </c>
      <c r="P195" s="2">
        <f ca="1">IFERROR(__xludf.DUMMYFUNCTION("""COMPUTED_VALUE"""),0)</f>
        <v>0</v>
      </c>
      <c r="Q195" s="2">
        <f ca="1">IFERROR(__xludf.DUMMYFUNCTION("""COMPUTED_VALUE"""),0.24)</f>
        <v>0.24</v>
      </c>
      <c r="R195" s="2">
        <f ca="1">IFERROR(__xludf.DUMMYFUNCTION("""COMPUTED_VALUE"""),0)</f>
        <v>0</v>
      </c>
      <c r="S195" s="2">
        <f ca="1">IFERROR(__xludf.DUMMYFUNCTION("""COMPUTED_VALUE"""),0)</f>
        <v>0</v>
      </c>
      <c r="T195" s="2">
        <f ca="1">IFERROR(__xludf.DUMMYFUNCTION("""COMPUTED_VALUE"""),0)</f>
        <v>0</v>
      </c>
      <c r="U195" s="2">
        <f ca="1">IFERROR(__xludf.DUMMYFUNCTION("""COMPUTED_VALUE"""),0)</f>
        <v>0</v>
      </c>
      <c r="V195" s="2">
        <f ca="1">IFERROR(__xludf.DUMMYFUNCTION("""COMPUTED_VALUE"""),0)</f>
        <v>0</v>
      </c>
      <c r="W195" s="2">
        <f ca="1">IFERROR(__xludf.DUMMYFUNCTION("""COMPUTED_VALUE"""),0)</f>
        <v>0</v>
      </c>
      <c r="X195" s="2">
        <f ca="1">IFERROR(__xludf.DUMMYFUNCTION("""COMPUTED_VALUE"""),0)</f>
        <v>0</v>
      </c>
      <c r="Y195" s="2">
        <f ca="1">IFERROR(__xludf.DUMMYFUNCTION("""COMPUTED_VALUE"""),0)</f>
        <v>0</v>
      </c>
      <c r="AB195" s="2"/>
      <c r="AC195" s="2"/>
      <c r="AD195" s="2" t="str">
        <f ca="1">IFERROR(__xludf.DUMMYFUNCTION("""COMPUTED_VALUE"""),"X")</f>
        <v>X</v>
      </c>
      <c r="AE195" s="2"/>
      <c r="AF195" s="2"/>
      <c r="AG195" s="2"/>
      <c r="AH195" s="2"/>
      <c r="AI195" s="2"/>
      <c r="AJ195" s="2"/>
      <c r="AK195" s="2"/>
      <c r="AL195" s="2"/>
      <c r="AM195" s="2">
        <f ca="1">IFERROR(__xludf.DUMMYFUNCTION("""COMPUTED_VALUE"""),0)</f>
        <v>0</v>
      </c>
      <c r="AN195" s="2">
        <f ca="1">IFERROR(__xludf.DUMMYFUNCTION("""COMPUTED_VALUE"""),0)</f>
        <v>0</v>
      </c>
      <c r="AO195" s="2">
        <f ca="1">IFERROR(__xludf.DUMMYFUNCTION("""COMPUTED_VALUE"""),0.219999999999999)</f>
        <v>0.219999999999999</v>
      </c>
      <c r="AP195" s="2">
        <f ca="1">IFERROR(__xludf.DUMMYFUNCTION("""COMPUTED_VALUE"""),0)</f>
        <v>0</v>
      </c>
      <c r="AQ195" s="2">
        <f ca="1">IFERROR(__xludf.DUMMYFUNCTION("""COMPUTED_VALUE"""),0)</f>
        <v>0</v>
      </c>
      <c r="AR195" s="2">
        <f ca="1">IFERROR(__xludf.DUMMYFUNCTION("""COMPUTED_VALUE"""),0)</f>
        <v>0</v>
      </c>
      <c r="AS195" s="2">
        <f ca="1">IFERROR(__xludf.DUMMYFUNCTION("""COMPUTED_VALUE"""),0)</f>
        <v>0</v>
      </c>
      <c r="AT195" s="2">
        <f ca="1">IFERROR(__xludf.DUMMYFUNCTION("""COMPUTED_VALUE"""),0)</f>
        <v>0</v>
      </c>
      <c r="AU195" s="2">
        <f ca="1">IFERROR(__xludf.DUMMYFUNCTION("""COMPUTED_VALUE"""),0)</f>
        <v>0</v>
      </c>
      <c r="AV195" s="2">
        <f ca="1">IFERROR(__xludf.DUMMYFUNCTION("""COMPUTED_VALUE"""),0)</f>
        <v>0</v>
      </c>
      <c r="AW195" s="2">
        <f ca="1">IFERROR(__xludf.DUMMYFUNCTION("""COMPUTED_VALUE"""),0)</f>
        <v>0</v>
      </c>
      <c r="AY195" s="2">
        <f t="shared" ca="1" si="0"/>
        <v>2</v>
      </c>
      <c r="AZ195" s="2" t="e">
        <f ca="1">IF(NOT(COUNTA(D195:J195)), _xludf.IFS(AL195="W", 'Round Bonuses'!$F$14, AL195="X", 'Round Bonuses'!$F$13, AK195="X", 'Round Bonuses'!$F$12, AJ195="X", 'Round Bonuses'!$F$11, AI195="X", 'Round Bonuses'!$F$10, AH195="X", 'Round Bonuses'!$F$9, AG195="X", 'Round Bonuses'!$F$8, AF195="X", 'Round Bonuses'!$F$7, AE195="X", 'Round Bonuses'!$F$6, AD195="X", 'Round Bonuses'!$F$5, AC195="X", 'Round Bonuses'!$F$4, AB195="X", 'Round Bonuses'!$F$3, TRUE, 0), IF(AA195="X", _xludf.IFS(AD195="X", 'Round Bonuses'!$E$4, AF195="X",'Round Bonuses'!$E$6,TRUE, 'Round Bonuses'!$E$7), 0) +IF(AB195="X", 'Round Bonuses'!$E$3, 0)+IF(AC195="X",'Round Bonuses'!$E$4, 0)+IF(AD195="X", 'Round Bonuses'!$E$5, 0)+IF(AE195="X", 'Round Bonuses'!$E$6, 0)+IF(AF195="X", 'Round Bonuses'!$E$7, 0)+IF(AG195="X", 'Round Bonuses'!$E$8, 0)+_xludf.IFS(AL195="W", 'Round Bonuses'!$G$14, AL195="X", 'Round Bonuses'!$G$13, AK195="X", 'Round Bonuses'!$G$12, AJ195="X", 'Round Bonuses'!$G$11, AI195="X", 'Round Bonuses'!$G$10, AH195="X", 'Round Bonuses'!$G$9, TRUE, 0))+_xludf.IFS(N195="W", 'Round Bonuses'!$C$13, N195="X", 'Round Bonuses'!$C$12, M195="X", 'Round Bonuses'!$C$11, L195="X", 'Round Bonuses'!$C$10, K195="X", 'Round Bonuses'!$C$9, J195="X", 'Round Bonuses'!$C$8, I195="X", 'Round Bonuses'!$C$7, H195="X", 'Round Bonuses'!$C$6, G195="X", 'Round Bonuses'!$C$5, F195="X", 'Round Bonuses'!$C$4, E195="X", 'Round Bonuses'!$C$3, D195="X", 'Round Bonuses'!$C$3, TRUE, 0)</f>
        <v>#NAME?</v>
      </c>
      <c r="BA195" s="2">
        <f t="shared" ca="1" si="1"/>
        <v>0.45999999999999897</v>
      </c>
      <c r="BB195" s="10" t="e">
        <f t="shared" ca="1" si="2"/>
        <v>#NAME?</v>
      </c>
      <c r="BD195" s="11" t="str">
        <f t="shared" ca="1" si="3"/>
        <v>Sileks</v>
      </c>
      <c r="BE195" s="2" t="str">
        <f t="shared" ca="1" si="4"/>
        <v>North Macedonia</v>
      </c>
      <c r="BF195" s="2" t="e">
        <f t="shared" ca="1" si="5"/>
        <v>#NAME?</v>
      </c>
      <c r="BG195" s="2">
        <f t="shared" ca="1" si="6"/>
        <v>2</v>
      </c>
      <c r="BH195" s="2" t="s">
        <v>263</v>
      </c>
      <c r="BI195" s="2" t="s">
        <v>157</v>
      </c>
      <c r="BJ195" s="7">
        <v>0.90500000000000003</v>
      </c>
      <c r="BK195" s="2">
        <v>1</v>
      </c>
      <c r="BL195" s="2">
        <f t="shared" si="10"/>
        <v>193</v>
      </c>
      <c r="BM195" s="2" t="str">
        <f t="shared" si="7"/>
        <v>Shkupi</v>
      </c>
      <c r="BN195" s="7">
        <f t="shared" ref="BN195:BO195" si="202">BJ195</f>
        <v>0.90500000000000003</v>
      </c>
      <c r="BO195" s="2">
        <f t="shared" si="202"/>
        <v>1</v>
      </c>
      <c r="BS195" s="2" t="str">
        <f t="shared" si="9"/>
        <v>North Macedonia</v>
      </c>
    </row>
    <row r="196" spans="1:71" ht="13.8" x14ac:dyDescent="0.45">
      <c r="A196" s="2" t="str">
        <f ca="1">IFERROR(__xludf.DUMMYFUNCTION("""COMPUTED_VALUE"""),"Sirens")</f>
        <v>Sirens</v>
      </c>
      <c r="B196" s="2">
        <f ca="1">IFERROR(__xludf.DUMMYFUNCTION("""COMPUTED_VALUE"""),0.52)</f>
        <v>0.52</v>
      </c>
      <c r="C196" s="2" t="str">
        <f ca="1">IFERROR(__xludf.DUMMYFUNCTION("""COMPUTED_VALUE"""),"Malta")</f>
        <v>Malta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5">
        <f ca="1">IFERROR(__xludf.DUMMYFUNCTION("""COMPUTED_VALUE"""),0)</f>
        <v>0</v>
      </c>
      <c r="P196" s="2">
        <f ca="1">IFERROR(__xludf.DUMMYFUNCTION("""COMPUTED_VALUE"""),0)</f>
        <v>0</v>
      </c>
      <c r="Q196" s="2">
        <f ca="1">IFERROR(__xludf.DUMMYFUNCTION("""COMPUTED_VALUE"""),0)</f>
        <v>0</v>
      </c>
      <c r="R196" s="2">
        <f ca="1">IFERROR(__xludf.DUMMYFUNCTION("""COMPUTED_VALUE"""),0)</f>
        <v>0</v>
      </c>
      <c r="S196" s="2">
        <f ca="1">IFERROR(__xludf.DUMMYFUNCTION("""COMPUTED_VALUE"""),0)</f>
        <v>0</v>
      </c>
      <c r="T196" s="2">
        <f ca="1">IFERROR(__xludf.DUMMYFUNCTION("""COMPUTED_VALUE"""),0)</f>
        <v>0</v>
      </c>
      <c r="U196" s="2">
        <f ca="1">IFERROR(__xludf.DUMMYFUNCTION("""COMPUTED_VALUE"""),0)</f>
        <v>0</v>
      </c>
      <c r="V196" s="2">
        <f ca="1">IFERROR(__xludf.DUMMYFUNCTION("""COMPUTED_VALUE"""),0)</f>
        <v>0</v>
      </c>
      <c r="W196" s="2">
        <f ca="1">IFERROR(__xludf.DUMMYFUNCTION("""COMPUTED_VALUE"""),0)</f>
        <v>0</v>
      </c>
      <c r="X196" s="2">
        <f ca="1">IFERROR(__xludf.DUMMYFUNCTION("""COMPUTED_VALUE"""),0)</f>
        <v>0</v>
      </c>
      <c r="Y196" s="2">
        <f ca="1">IFERROR(__xludf.DUMMYFUNCTION("""COMPUTED_VALUE"""),0)</f>
        <v>0</v>
      </c>
      <c r="AB196" s="2"/>
      <c r="AC196" s="2" t="str">
        <f ca="1">IFERROR(__xludf.DUMMYFUNCTION("""COMPUTED_VALUE"""),"X")</f>
        <v>X</v>
      </c>
      <c r="AD196" s="2"/>
      <c r="AE196" s="2"/>
      <c r="AF196" s="2"/>
      <c r="AG196" s="2"/>
      <c r="AH196" s="2"/>
      <c r="AI196" s="2"/>
      <c r="AJ196" s="2"/>
      <c r="AK196" s="2"/>
      <c r="AL196" s="2"/>
      <c r="AM196" s="2">
        <f ca="1">IFERROR(__xludf.DUMMYFUNCTION("""COMPUTED_VALUE"""),0)</f>
        <v>0</v>
      </c>
      <c r="AN196" s="2">
        <f ca="1">IFERROR(__xludf.DUMMYFUNCTION("""COMPUTED_VALUE"""),0.585)</f>
        <v>0.58499999999999996</v>
      </c>
      <c r="AO196" s="2">
        <f ca="1">IFERROR(__xludf.DUMMYFUNCTION("""COMPUTED_VALUE"""),0)</f>
        <v>0</v>
      </c>
      <c r="AP196" s="2">
        <f ca="1">IFERROR(__xludf.DUMMYFUNCTION("""COMPUTED_VALUE"""),0)</f>
        <v>0</v>
      </c>
      <c r="AQ196" s="2">
        <f ca="1">IFERROR(__xludf.DUMMYFUNCTION("""COMPUTED_VALUE"""),0)</f>
        <v>0</v>
      </c>
      <c r="AR196" s="2">
        <f ca="1">IFERROR(__xludf.DUMMYFUNCTION("""COMPUTED_VALUE"""),0)</f>
        <v>0</v>
      </c>
      <c r="AS196" s="2">
        <f ca="1">IFERROR(__xludf.DUMMYFUNCTION("""COMPUTED_VALUE"""),0)</f>
        <v>0</v>
      </c>
      <c r="AT196" s="2">
        <f ca="1">IFERROR(__xludf.DUMMYFUNCTION("""COMPUTED_VALUE"""),0)</f>
        <v>0</v>
      </c>
      <c r="AU196" s="2">
        <f ca="1">IFERROR(__xludf.DUMMYFUNCTION("""COMPUTED_VALUE"""),0)</f>
        <v>0</v>
      </c>
      <c r="AV196" s="2">
        <f ca="1">IFERROR(__xludf.DUMMYFUNCTION("""COMPUTED_VALUE"""),0)</f>
        <v>0</v>
      </c>
      <c r="AW196" s="2">
        <f ca="1">IFERROR(__xludf.DUMMYFUNCTION("""COMPUTED_VALUE"""),0)</f>
        <v>0</v>
      </c>
      <c r="AY196" s="2">
        <f t="shared" ca="1" si="0"/>
        <v>1</v>
      </c>
      <c r="AZ196" s="2" t="e">
        <f ca="1">IF(NOT(COUNTA(D196:J196)), _xludf.IFS(AL196="W", 'Round Bonuses'!$F$14, AL196="X", 'Round Bonuses'!$F$13, AK196="X", 'Round Bonuses'!$F$12, AJ196="X", 'Round Bonuses'!$F$11, AI196="X", 'Round Bonuses'!$F$10, AH196="X", 'Round Bonuses'!$F$9, AG196="X", 'Round Bonuses'!$F$8, AF196="X", 'Round Bonuses'!$F$7, AE196="X", 'Round Bonuses'!$F$6, AD196="X", 'Round Bonuses'!$F$5, AC196="X", 'Round Bonuses'!$F$4, AB196="X", 'Round Bonuses'!$F$3, TRUE, 0), IF(AA196="X", _xludf.IFS(AD196="X", 'Round Bonuses'!$E$4, AF196="X",'Round Bonuses'!$E$6,TRUE, 'Round Bonuses'!$E$7), 0) +IF(AB196="X", 'Round Bonuses'!$E$3, 0)+IF(AC196="X",'Round Bonuses'!$E$4, 0)+IF(AD196="X", 'Round Bonuses'!$E$5, 0)+IF(AE196="X", 'Round Bonuses'!$E$6, 0)+IF(AF196="X", 'Round Bonuses'!$E$7, 0)+IF(AG196="X", 'Round Bonuses'!$E$8, 0)+_xludf.IFS(AL196="W", 'Round Bonuses'!$G$14, AL196="X", 'Round Bonuses'!$G$13, AK196="X", 'Round Bonuses'!$G$12, AJ196="X", 'Round Bonuses'!$G$11, AI196="X", 'Round Bonuses'!$G$10, AH196="X", 'Round Bonuses'!$G$9, TRUE, 0))+_xludf.IFS(N196="W", 'Round Bonuses'!$C$13, N196="X", 'Round Bonuses'!$C$12, M196="X", 'Round Bonuses'!$C$11, L196="X", 'Round Bonuses'!$C$10, K196="X", 'Round Bonuses'!$C$9, J196="X", 'Round Bonuses'!$C$8, I196="X", 'Round Bonuses'!$C$7, H196="X", 'Round Bonuses'!$C$6, G196="X", 'Round Bonuses'!$C$5, F196="X", 'Round Bonuses'!$C$4, E196="X", 'Round Bonuses'!$C$3, D196="X", 'Round Bonuses'!$C$3, TRUE, 0)</f>
        <v>#NAME?</v>
      </c>
      <c r="BA196" s="2">
        <f t="shared" ca="1" si="1"/>
        <v>0.58499999999999996</v>
      </c>
      <c r="BB196" s="10" t="e">
        <f t="shared" ca="1" si="2"/>
        <v>#NAME?</v>
      </c>
      <c r="BD196" s="11" t="str">
        <f t="shared" ca="1" si="3"/>
        <v>Sirens</v>
      </c>
      <c r="BE196" s="2" t="str">
        <f t="shared" ca="1" si="4"/>
        <v>Malta</v>
      </c>
      <c r="BF196" s="2" t="e">
        <f t="shared" ca="1" si="5"/>
        <v>#NAME?</v>
      </c>
      <c r="BG196" s="2">
        <f t="shared" ca="1" si="6"/>
        <v>1</v>
      </c>
      <c r="BH196" s="2" t="s">
        <v>264</v>
      </c>
      <c r="BI196" s="2" t="s">
        <v>191</v>
      </c>
      <c r="BJ196" s="7">
        <v>0.88500000000000001</v>
      </c>
      <c r="BK196" s="2">
        <v>1</v>
      </c>
      <c r="BL196" s="2">
        <f t="shared" si="10"/>
        <v>194</v>
      </c>
      <c r="BM196" s="2" t="str">
        <f t="shared" si="7"/>
        <v>Sirens</v>
      </c>
      <c r="BN196" s="7">
        <f t="shared" ref="BN196:BO196" si="203">BJ196</f>
        <v>0.88500000000000001</v>
      </c>
      <c r="BO196" s="2">
        <f t="shared" si="203"/>
        <v>1</v>
      </c>
      <c r="BS196" s="2" t="str">
        <f t="shared" si="9"/>
        <v>Malta</v>
      </c>
    </row>
    <row r="197" spans="1:71" ht="13.8" x14ac:dyDescent="0.45">
      <c r="A197" s="2" t="str">
        <f ca="1">IFERROR(__xludf.DUMMYFUNCTION("""COMPUTED_VALUE"""),"Sivasspor")</f>
        <v>Sivasspor</v>
      </c>
      <c r="B197" s="2">
        <f ca="1">IFERROR(__xludf.DUMMYFUNCTION("""COMPUTED_VALUE"""),0.87)</f>
        <v>0.87</v>
      </c>
      <c r="C197" s="2" t="str">
        <f ca="1">IFERROR(__xludf.DUMMYFUNCTION("""COMPUTED_VALUE"""),"Turkey")</f>
        <v>Turkey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5">
        <f ca="1">IFERROR(__xludf.DUMMYFUNCTION("""COMPUTED_VALUE"""),0)</f>
        <v>0</v>
      </c>
      <c r="P197" s="2">
        <f ca="1">IFERROR(__xludf.DUMMYFUNCTION("""COMPUTED_VALUE"""),0)</f>
        <v>0</v>
      </c>
      <c r="Q197" s="2">
        <f ca="1">IFERROR(__xludf.DUMMYFUNCTION("""COMPUTED_VALUE"""),0)</f>
        <v>0</v>
      </c>
      <c r="R197" s="2">
        <f ca="1">IFERROR(__xludf.DUMMYFUNCTION("""COMPUTED_VALUE"""),0)</f>
        <v>0</v>
      </c>
      <c r="S197" s="2">
        <f ca="1">IFERROR(__xludf.DUMMYFUNCTION("""COMPUTED_VALUE"""),0)</f>
        <v>0</v>
      </c>
      <c r="T197" s="2">
        <f ca="1">IFERROR(__xludf.DUMMYFUNCTION("""COMPUTED_VALUE"""),0)</f>
        <v>0</v>
      </c>
      <c r="U197" s="2">
        <f ca="1">IFERROR(__xludf.DUMMYFUNCTION("""COMPUTED_VALUE"""),0)</f>
        <v>0</v>
      </c>
      <c r="V197" s="2">
        <f ca="1">IFERROR(__xludf.DUMMYFUNCTION("""COMPUTED_VALUE"""),0)</f>
        <v>0</v>
      </c>
      <c r="W197" s="2">
        <f ca="1">IFERROR(__xludf.DUMMYFUNCTION("""COMPUTED_VALUE"""),0)</f>
        <v>0</v>
      </c>
      <c r="X197" s="2">
        <f ca="1">IFERROR(__xludf.DUMMYFUNCTION("""COMPUTED_VALUE"""),0)</f>
        <v>0</v>
      </c>
      <c r="Y197" s="2">
        <f ca="1">IFERROR(__xludf.DUMMYFUNCTION("""COMPUTED_VALUE"""),0)</f>
        <v>0</v>
      </c>
      <c r="AB197" s="2"/>
      <c r="AC197" s="2"/>
      <c r="AD197" s="2"/>
      <c r="AE197" s="2"/>
      <c r="AF197" s="2"/>
      <c r="AG197" s="2" t="str">
        <f ca="1">IFERROR(__xludf.DUMMYFUNCTION("""COMPUTED_VALUE"""),"X")</f>
        <v>X</v>
      </c>
      <c r="AH197" s="2"/>
      <c r="AI197" s="2"/>
      <c r="AJ197" s="2"/>
      <c r="AK197" s="2"/>
      <c r="AL197" s="2"/>
      <c r="AM197" s="2">
        <f ca="1">IFERROR(__xludf.DUMMYFUNCTION("""COMPUTED_VALUE"""),0)</f>
        <v>0</v>
      </c>
      <c r="AN197" s="2">
        <f ca="1">IFERROR(__xludf.DUMMYFUNCTION("""COMPUTED_VALUE"""),0)</f>
        <v>0</v>
      </c>
      <c r="AO197" s="2">
        <f ca="1">IFERROR(__xludf.DUMMYFUNCTION("""COMPUTED_VALUE"""),0)</f>
        <v>0</v>
      </c>
      <c r="AP197" s="2">
        <f ca="1">IFERROR(__xludf.DUMMYFUNCTION("""COMPUTED_VALUE"""),0)</f>
        <v>0</v>
      </c>
      <c r="AQ197" s="2">
        <f ca="1">IFERROR(__xludf.DUMMYFUNCTION("""COMPUTED_VALUE"""),0)</f>
        <v>0</v>
      </c>
      <c r="AR197" s="2">
        <f ca="1">IFERROR(__xludf.DUMMYFUNCTION("""COMPUTED_VALUE"""),8.9325)</f>
        <v>8.9324999999999992</v>
      </c>
      <c r="AS197" s="2">
        <f ca="1">IFERROR(__xludf.DUMMYFUNCTION("""COMPUTED_VALUE"""),0)</f>
        <v>0</v>
      </c>
      <c r="AT197" s="2">
        <f ca="1">IFERROR(__xludf.DUMMYFUNCTION("""COMPUTED_VALUE"""),0)</f>
        <v>0</v>
      </c>
      <c r="AU197" s="2">
        <f ca="1">IFERROR(__xludf.DUMMYFUNCTION("""COMPUTED_VALUE"""),0)</f>
        <v>0</v>
      </c>
      <c r="AV197" s="2">
        <f ca="1">IFERROR(__xludf.DUMMYFUNCTION("""COMPUTED_VALUE"""),0)</f>
        <v>0</v>
      </c>
      <c r="AW197" s="2">
        <f ca="1">IFERROR(__xludf.DUMMYFUNCTION("""COMPUTED_VALUE"""),0)</f>
        <v>0</v>
      </c>
      <c r="AY197" s="2">
        <f t="shared" ca="1" si="0"/>
        <v>6</v>
      </c>
      <c r="AZ197" s="2" t="e">
        <f ca="1">IF(NOT(COUNTA(D197:J197)), _xludf.IFS(AL197="W", 'Round Bonuses'!$F$14, AL197="X", 'Round Bonuses'!$F$13, AK197="X", 'Round Bonuses'!$F$12, AJ197="X", 'Round Bonuses'!$F$11, AI197="X", 'Round Bonuses'!$F$10, AH197="X", 'Round Bonuses'!$F$9, AG197="X", 'Round Bonuses'!$F$8, AF197="X", 'Round Bonuses'!$F$7, AE197="X", 'Round Bonuses'!$F$6, AD197="X", 'Round Bonuses'!$F$5, AC197="X", 'Round Bonuses'!$F$4, AB197="X", 'Round Bonuses'!$F$3, TRUE, 0), IF(AA197="X", _xludf.IFS(AD197="X", 'Round Bonuses'!$E$4, AF197="X",'Round Bonuses'!$E$6,TRUE, 'Round Bonuses'!$E$7), 0) +IF(AB197="X", 'Round Bonuses'!$E$3, 0)+IF(AC197="X",'Round Bonuses'!$E$4, 0)+IF(AD197="X", 'Round Bonuses'!$E$5, 0)+IF(AE197="X", 'Round Bonuses'!$E$6, 0)+IF(AF197="X", 'Round Bonuses'!$E$7, 0)+IF(AG197="X", 'Round Bonuses'!$E$8, 0)+_xludf.IFS(AL197="W", 'Round Bonuses'!$G$14, AL197="X", 'Round Bonuses'!$G$13, AK197="X", 'Round Bonuses'!$G$12, AJ197="X", 'Round Bonuses'!$G$11, AI197="X", 'Round Bonuses'!$G$10, AH197="X", 'Round Bonuses'!$G$9, TRUE, 0))+_xludf.IFS(N197="W", 'Round Bonuses'!$C$13, N197="X", 'Round Bonuses'!$C$12, M197="X", 'Round Bonuses'!$C$11, L197="X", 'Round Bonuses'!$C$10, K197="X", 'Round Bonuses'!$C$9, J197="X", 'Round Bonuses'!$C$8, I197="X", 'Round Bonuses'!$C$7, H197="X", 'Round Bonuses'!$C$6, G197="X", 'Round Bonuses'!$C$5, F197="X", 'Round Bonuses'!$C$4, E197="X", 'Round Bonuses'!$C$3, D197="X", 'Round Bonuses'!$C$3, TRUE, 0)</f>
        <v>#NAME?</v>
      </c>
      <c r="BA197" s="2">
        <f t="shared" ca="1" si="1"/>
        <v>8.9324999999999992</v>
      </c>
      <c r="BB197" s="10" t="e">
        <f t="shared" ca="1" si="2"/>
        <v>#NAME?</v>
      </c>
      <c r="BD197" s="11" t="str">
        <f t="shared" ca="1" si="3"/>
        <v>Sivasspor</v>
      </c>
      <c r="BE197" s="2" t="str">
        <f t="shared" ca="1" si="4"/>
        <v>Turkey</v>
      </c>
      <c r="BF197" s="2" t="e">
        <f t="shared" ca="1" si="5"/>
        <v>#NAME?</v>
      </c>
      <c r="BG197" s="2">
        <f t="shared" ca="1" si="6"/>
        <v>6</v>
      </c>
      <c r="BH197" s="2" t="s">
        <v>265</v>
      </c>
      <c r="BI197" s="2" t="s">
        <v>212</v>
      </c>
      <c r="BJ197" s="7">
        <v>0.85499999999999998</v>
      </c>
      <c r="BK197" s="2">
        <v>1</v>
      </c>
      <c r="BL197" s="2">
        <f t="shared" si="10"/>
        <v>195</v>
      </c>
      <c r="BM197" s="2" t="str">
        <f t="shared" si="7"/>
        <v>Ordabasy</v>
      </c>
      <c r="BN197" s="7">
        <f t="shared" ref="BN197:BO197" si="204">BJ197</f>
        <v>0.85499999999999998</v>
      </c>
      <c r="BO197" s="2">
        <f t="shared" si="204"/>
        <v>1</v>
      </c>
      <c r="BS197" s="2" t="str">
        <f t="shared" si="9"/>
        <v>Kazakhstan</v>
      </c>
    </row>
    <row r="198" spans="1:71" ht="13.8" x14ac:dyDescent="0.45">
      <c r="A198" s="2" t="str">
        <f ca="1">IFERROR(__xludf.DUMMYFUNCTION("""COMPUTED_VALUE"""),"Slavia Prague")</f>
        <v>Slavia Prague</v>
      </c>
      <c r="B198" s="2">
        <f ca="1">IFERROR(__xludf.DUMMYFUNCTION("""COMPUTED_VALUE"""),0.87)</f>
        <v>0.87</v>
      </c>
      <c r="C198" s="2" t="str">
        <f ca="1">IFERROR(__xludf.DUMMYFUNCTION("""COMPUTED_VALUE"""),"Czech Republic")</f>
        <v>Czech Republic</v>
      </c>
      <c r="D198" s="2"/>
      <c r="E198" s="2"/>
      <c r="F198" s="2"/>
      <c r="G198" s="2"/>
      <c r="H198" s="2"/>
      <c r="I198" s="2" t="str">
        <f ca="1">IFERROR(__xludf.DUMMYFUNCTION("""COMPUTED_VALUE"""),"X")</f>
        <v>X</v>
      </c>
      <c r="J198" s="2"/>
      <c r="K198" s="2"/>
      <c r="L198" s="2"/>
      <c r="M198" s="2"/>
      <c r="N198" s="2"/>
      <c r="O198" s="5">
        <f ca="1">IFERROR(__xludf.DUMMYFUNCTION("""COMPUTED_VALUE"""),0)</f>
        <v>0</v>
      </c>
      <c r="P198" s="2">
        <f ca="1">IFERROR(__xludf.DUMMYFUNCTION("""COMPUTED_VALUE"""),0)</f>
        <v>0</v>
      </c>
      <c r="Q198" s="2">
        <f ca="1">IFERROR(__xludf.DUMMYFUNCTION("""COMPUTED_VALUE"""),0)</f>
        <v>0</v>
      </c>
      <c r="R198" s="2">
        <f ca="1">IFERROR(__xludf.DUMMYFUNCTION("""COMPUTED_VALUE"""),0)</f>
        <v>0</v>
      </c>
      <c r="S198" s="2">
        <f ca="1">IFERROR(__xludf.DUMMYFUNCTION("""COMPUTED_VALUE"""),0)</f>
        <v>0</v>
      </c>
      <c r="T198" s="2">
        <f ca="1">IFERROR(__xludf.DUMMYFUNCTION("""COMPUTED_VALUE"""),2.145)</f>
        <v>2.145</v>
      </c>
      <c r="U198" s="2">
        <f ca="1">IFERROR(__xludf.DUMMYFUNCTION("""COMPUTED_VALUE"""),0)</f>
        <v>0</v>
      </c>
      <c r="V198" s="2">
        <f ca="1">IFERROR(__xludf.DUMMYFUNCTION("""COMPUTED_VALUE"""),0)</f>
        <v>0</v>
      </c>
      <c r="W198" s="2">
        <f ca="1">IFERROR(__xludf.DUMMYFUNCTION("""COMPUTED_VALUE"""),0)</f>
        <v>0</v>
      </c>
      <c r="X198" s="2">
        <f ca="1">IFERROR(__xludf.DUMMYFUNCTION("""COMPUTED_VALUE"""),0)</f>
        <v>0</v>
      </c>
      <c r="Y198" s="2">
        <f ca="1">IFERROR(__xludf.DUMMYFUNCTION("""COMPUTED_VALUE"""),0)</f>
        <v>0</v>
      </c>
      <c r="AB198" s="2"/>
      <c r="AC198" s="2"/>
      <c r="AD198" s="2"/>
      <c r="AE198" s="2"/>
      <c r="AF198" s="2"/>
      <c r="AG198" s="2" t="str">
        <f ca="1">IFERROR(__xludf.DUMMYFUNCTION("""COMPUTED_VALUE"""),"X")</f>
        <v>X</v>
      </c>
      <c r="AH198" s="2" t="str">
        <f ca="1">IFERROR(__xludf.DUMMYFUNCTION("""COMPUTED_VALUE"""),"X")</f>
        <v>X</v>
      </c>
      <c r="AI198" s="2" t="str">
        <f ca="1">IFERROR(__xludf.DUMMYFUNCTION("""COMPUTED_VALUE"""),"X")</f>
        <v>X</v>
      </c>
      <c r="AJ198" s="2" t="str">
        <f ca="1">IFERROR(__xludf.DUMMYFUNCTION("""COMPUTED_VALUE"""),"X")</f>
        <v>X</v>
      </c>
      <c r="AK198" s="2"/>
      <c r="AL198" s="2"/>
      <c r="AM198" s="2">
        <f ca="1">IFERROR(__xludf.DUMMYFUNCTION("""COMPUTED_VALUE"""),0)</f>
        <v>0</v>
      </c>
      <c r="AN198" s="2">
        <f ca="1">IFERROR(__xludf.DUMMYFUNCTION("""COMPUTED_VALUE"""),0)</f>
        <v>0</v>
      </c>
      <c r="AO198" s="2">
        <f ca="1">IFERROR(__xludf.DUMMYFUNCTION("""COMPUTED_VALUE"""),0)</f>
        <v>0</v>
      </c>
      <c r="AP198" s="2">
        <f ca="1">IFERROR(__xludf.DUMMYFUNCTION("""COMPUTED_VALUE"""),0)</f>
        <v>0</v>
      </c>
      <c r="AQ198" s="2">
        <f ca="1">IFERROR(__xludf.DUMMYFUNCTION("""COMPUTED_VALUE"""),0)</f>
        <v>0</v>
      </c>
      <c r="AR198" s="2">
        <f ca="1">IFERROR(__xludf.DUMMYFUNCTION("""COMPUTED_VALUE"""),15.4025)</f>
        <v>15.4025</v>
      </c>
      <c r="AS198" s="2">
        <f ca="1">IFERROR(__xludf.DUMMYFUNCTION("""COMPUTED_VALUE"""),5.875)</f>
        <v>5.875</v>
      </c>
      <c r="AT198" s="2">
        <f ca="1">IFERROR(__xludf.DUMMYFUNCTION("""COMPUTED_VALUE"""),4.9375)</f>
        <v>4.9375</v>
      </c>
      <c r="AU198" s="2">
        <f ca="1">IFERROR(__xludf.DUMMYFUNCTION("""COMPUTED_VALUE"""),2.29)</f>
        <v>2.29</v>
      </c>
      <c r="AV198" s="2">
        <f ca="1">IFERROR(__xludf.DUMMYFUNCTION("""COMPUTED_VALUE"""),0)</f>
        <v>0</v>
      </c>
      <c r="AW198" s="2">
        <f ca="1">IFERROR(__xludf.DUMMYFUNCTION("""COMPUTED_VALUE"""),0)</f>
        <v>0</v>
      </c>
      <c r="AY198" s="2">
        <f t="shared" ca="1" si="0"/>
        <v>14</v>
      </c>
      <c r="AZ198" s="2" t="e">
        <f ca="1">IF(NOT(COUNTA(D198:J198)), _xludf.IFS(AL198="W", 'Round Bonuses'!$F$14, AL198="X", 'Round Bonuses'!$F$13, AK198="X", 'Round Bonuses'!$F$12, AJ198="X", 'Round Bonuses'!$F$11, AI198="X", 'Round Bonuses'!$F$10, AH198="X", 'Round Bonuses'!$F$9, AG198="X", 'Round Bonuses'!$F$8, AF198="X", 'Round Bonuses'!$F$7, AE198="X", 'Round Bonuses'!$F$6, AD198="X", 'Round Bonuses'!$F$5, AC198="X", 'Round Bonuses'!$F$4, AB198="X", 'Round Bonuses'!$F$3, TRUE, 0), IF(AA198="X", _xludf.IFS(AD198="X", 'Round Bonuses'!$E$4, AF198="X",'Round Bonuses'!$E$6,TRUE, 'Round Bonuses'!$E$7), 0) +IF(AB198="X", 'Round Bonuses'!$E$3, 0)+IF(AC198="X",'Round Bonuses'!$E$4, 0)+IF(AD198="X", 'Round Bonuses'!$E$5, 0)+IF(AE198="X", 'Round Bonuses'!$E$6, 0)+IF(AF198="X", 'Round Bonuses'!$E$7, 0)+IF(AG198="X", 'Round Bonuses'!$E$8, 0)+_xludf.IFS(AL198="W", 'Round Bonuses'!$G$14, AL198="X", 'Round Bonuses'!$G$13, AK198="X", 'Round Bonuses'!$G$12, AJ198="X", 'Round Bonuses'!$G$11, AI198="X", 'Round Bonuses'!$G$10, AH198="X", 'Round Bonuses'!$G$9, TRUE, 0))+_xludf.IFS(N198="W", 'Round Bonuses'!$C$13, N198="X", 'Round Bonuses'!$C$12, M198="X", 'Round Bonuses'!$C$11, L198="X", 'Round Bonuses'!$C$10, K198="X", 'Round Bonuses'!$C$9, J198="X", 'Round Bonuses'!$C$8, I198="X", 'Round Bonuses'!$C$7, H198="X", 'Round Bonuses'!$C$6, G198="X", 'Round Bonuses'!$C$5, F198="X", 'Round Bonuses'!$C$4, E198="X", 'Round Bonuses'!$C$3, D198="X", 'Round Bonuses'!$C$3, TRUE, 0)</f>
        <v>#NAME?</v>
      </c>
      <c r="BA198" s="2">
        <f t="shared" ca="1" si="1"/>
        <v>30.65</v>
      </c>
      <c r="BB198" s="10" t="e">
        <f t="shared" ca="1" si="2"/>
        <v>#NAME?</v>
      </c>
      <c r="BD198" s="11" t="str">
        <f t="shared" ca="1" si="3"/>
        <v>Slavia Prague</v>
      </c>
      <c r="BE198" s="2" t="str">
        <f t="shared" ca="1" si="4"/>
        <v>Czech Republic</v>
      </c>
      <c r="BF198" s="2" t="e">
        <f t="shared" ca="1" si="5"/>
        <v>#NAME?</v>
      </c>
      <c r="BG198" s="2">
        <f t="shared" ca="1" si="6"/>
        <v>14</v>
      </c>
      <c r="BH198" s="2" t="s">
        <v>266</v>
      </c>
      <c r="BI198" s="2" t="s">
        <v>249</v>
      </c>
      <c r="BJ198" s="7">
        <v>0.84499999999999997</v>
      </c>
      <c r="BK198" s="2">
        <v>1</v>
      </c>
      <c r="BL198" s="2">
        <f t="shared" si="10"/>
        <v>196</v>
      </c>
      <c r="BM198" s="2" t="str">
        <f t="shared" si="7"/>
        <v>Víkingur Reykjavík</v>
      </c>
      <c r="BN198" s="7">
        <f t="shared" ref="BN198:BO198" si="205">BJ198</f>
        <v>0.84499999999999997</v>
      </c>
      <c r="BO198" s="2">
        <f t="shared" si="205"/>
        <v>1</v>
      </c>
      <c r="BS198" s="2" t="str">
        <f t="shared" si="9"/>
        <v>Iceland</v>
      </c>
    </row>
    <row r="199" spans="1:71" ht="13.8" x14ac:dyDescent="0.45">
      <c r="A199" s="2" t="str">
        <f ca="1">IFERROR(__xludf.DUMMYFUNCTION("""COMPUTED_VALUE"""),"Slavia Sofia")</f>
        <v>Slavia Sofia</v>
      </c>
      <c r="B199" s="2">
        <f ca="1">IFERROR(__xludf.DUMMYFUNCTION("""COMPUTED_VALUE"""),0.69)</f>
        <v>0.69</v>
      </c>
      <c r="C199" s="2" t="str">
        <f ca="1">IFERROR(__xludf.DUMMYFUNCTION("""COMPUTED_VALUE"""),"Bulgaria")</f>
        <v>Bulgaria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5">
        <f ca="1">IFERROR(__xludf.DUMMYFUNCTION("""COMPUTED_VALUE"""),0)</f>
        <v>0</v>
      </c>
      <c r="P199" s="2">
        <f ca="1">IFERROR(__xludf.DUMMYFUNCTION("""COMPUTED_VALUE"""),0)</f>
        <v>0</v>
      </c>
      <c r="Q199" s="2">
        <f ca="1">IFERROR(__xludf.DUMMYFUNCTION("""COMPUTED_VALUE"""),0)</f>
        <v>0</v>
      </c>
      <c r="R199" s="2">
        <f ca="1">IFERROR(__xludf.DUMMYFUNCTION("""COMPUTED_VALUE"""),0)</f>
        <v>0</v>
      </c>
      <c r="S199" s="2">
        <f ca="1">IFERROR(__xludf.DUMMYFUNCTION("""COMPUTED_VALUE"""),0)</f>
        <v>0</v>
      </c>
      <c r="T199" s="2">
        <f ca="1">IFERROR(__xludf.DUMMYFUNCTION("""COMPUTED_VALUE"""),0)</f>
        <v>0</v>
      </c>
      <c r="U199" s="2">
        <f ca="1">IFERROR(__xludf.DUMMYFUNCTION("""COMPUTED_VALUE"""),0)</f>
        <v>0</v>
      </c>
      <c r="V199" s="2">
        <f ca="1">IFERROR(__xludf.DUMMYFUNCTION("""COMPUTED_VALUE"""),0)</f>
        <v>0</v>
      </c>
      <c r="W199" s="2">
        <f ca="1">IFERROR(__xludf.DUMMYFUNCTION("""COMPUTED_VALUE"""),0)</f>
        <v>0</v>
      </c>
      <c r="X199" s="2">
        <f ca="1">IFERROR(__xludf.DUMMYFUNCTION("""COMPUTED_VALUE"""),0)</f>
        <v>0</v>
      </c>
      <c r="Y199" s="2">
        <f ca="1">IFERROR(__xludf.DUMMYFUNCTION("""COMPUTED_VALUE"""),0)</f>
        <v>0</v>
      </c>
      <c r="AB199" s="2"/>
      <c r="AC199" s="2" t="str">
        <f ca="1">IFERROR(__xludf.DUMMYFUNCTION("""COMPUTED_VALUE"""),"X")</f>
        <v>X</v>
      </c>
      <c r="AD199" s="2"/>
      <c r="AE199" s="2"/>
      <c r="AF199" s="2"/>
      <c r="AG199" s="2"/>
      <c r="AH199" s="2"/>
      <c r="AI199" s="2"/>
      <c r="AJ199" s="2"/>
      <c r="AK199" s="2"/>
      <c r="AL199" s="2"/>
      <c r="AM199" s="2">
        <f ca="1">IFERROR(__xludf.DUMMYFUNCTION("""COMPUTED_VALUE"""),0)</f>
        <v>0</v>
      </c>
      <c r="AN199" s="2">
        <f ca="1">IFERROR(__xludf.DUMMYFUNCTION("""COMPUTED_VALUE"""),0.505)</f>
        <v>0.505</v>
      </c>
      <c r="AO199" s="2">
        <f ca="1">IFERROR(__xludf.DUMMYFUNCTION("""COMPUTED_VALUE"""),0)</f>
        <v>0</v>
      </c>
      <c r="AP199" s="2">
        <f ca="1">IFERROR(__xludf.DUMMYFUNCTION("""COMPUTED_VALUE"""),0)</f>
        <v>0</v>
      </c>
      <c r="AQ199" s="2">
        <f ca="1">IFERROR(__xludf.DUMMYFUNCTION("""COMPUTED_VALUE"""),0)</f>
        <v>0</v>
      </c>
      <c r="AR199" s="2">
        <f ca="1">IFERROR(__xludf.DUMMYFUNCTION("""COMPUTED_VALUE"""),0)</f>
        <v>0</v>
      </c>
      <c r="AS199" s="2">
        <f ca="1">IFERROR(__xludf.DUMMYFUNCTION("""COMPUTED_VALUE"""),0)</f>
        <v>0</v>
      </c>
      <c r="AT199" s="2">
        <f ca="1">IFERROR(__xludf.DUMMYFUNCTION("""COMPUTED_VALUE"""),0)</f>
        <v>0</v>
      </c>
      <c r="AU199" s="2">
        <f ca="1">IFERROR(__xludf.DUMMYFUNCTION("""COMPUTED_VALUE"""),0)</f>
        <v>0</v>
      </c>
      <c r="AV199" s="2">
        <f ca="1">IFERROR(__xludf.DUMMYFUNCTION("""COMPUTED_VALUE"""),0)</f>
        <v>0</v>
      </c>
      <c r="AW199" s="2">
        <f ca="1">IFERROR(__xludf.DUMMYFUNCTION("""COMPUTED_VALUE"""),0)</f>
        <v>0</v>
      </c>
      <c r="AY199" s="2">
        <f t="shared" ca="1" si="0"/>
        <v>1</v>
      </c>
      <c r="AZ199" s="2" t="e">
        <f ca="1">IF(NOT(COUNTA(D199:J199)), _xludf.IFS(AL199="W", 'Round Bonuses'!$F$14, AL199="X", 'Round Bonuses'!$F$13, AK199="X", 'Round Bonuses'!$F$12, AJ199="X", 'Round Bonuses'!$F$11, AI199="X", 'Round Bonuses'!$F$10, AH199="X", 'Round Bonuses'!$F$9, AG199="X", 'Round Bonuses'!$F$8, AF199="X", 'Round Bonuses'!$F$7, AE199="X", 'Round Bonuses'!$F$6, AD199="X", 'Round Bonuses'!$F$5, AC199="X", 'Round Bonuses'!$F$4, AB199="X", 'Round Bonuses'!$F$3, TRUE, 0), IF(AA199="X", _xludf.IFS(AD199="X", 'Round Bonuses'!$E$4, AF199="X",'Round Bonuses'!$E$6,TRUE, 'Round Bonuses'!$E$7), 0) +IF(AB199="X", 'Round Bonuses'!$E$3, 0)+IF(AC199="X",'Round Bonuses'!$E$4, 0)+IF(AD199="X", 'Round Bonuses'!$E$5, 0)+IF(AE199="X", 'Round Bonuses'!$E$6, 0)+IF(AF199="X", 'Round Bonuses'!$E$7, 0)+IF(AG199="X", 'Round Bonuses'!$E$8, 0)+_xludf.IFS(AL199="W", 'Round Bonuses'!$G$14, AL199="X", 'Round Bonuses'!$G$13, AK199="X", 'Round Bonuses'!$G$12, AJ199="X", 'Round Bonuses'!$G$11, AI199="X", 'Round Bonuses'!$G$10, AH199="X", 'Round Bonuses'!$G$9, TRUE, 0))+_xludf.IFS(N199="W", 'Round Bonuses'!$C$13, N199="X", 'Round Bonuses'!$C$12, M199="X", 'Round Bonuses'!$C$11, L199="X", 'Round Bonuses'!$C$10, K199="X", 'Round Bonuses'!$C$9, J199="X", 'Round Bonuses'!$C$8, I199="X", 'Round Bonuses'!$C$7, H199="X", 'Round Bonuses'!$C$6, G199="X", 'Round Bonuses'!$C$5, F199="X", 'Round Bonuses'!$C$4, E199="X", 'Round Bonuses'!$C$3, D199="X", 'Round Bonuses'!$C$3, TRUE, 0)</f>
        <v>#NAME?</v>
      </c>
      <c r="BA199" s="2">
        <f t="shared" ca="1" si="1"/>
        <v>0.505</v>
      </c>
      <c r="BB199" s="10" t="e">
        <f t="shared" ca="1" si="2"/>
        <v>#NAME?</v>
      </c>
      <c r="BD199" s="11" t="str">
        <f t="shared" ca="1" si="3"/>
        <v>Slavia Sofia</v>
      </c>
      <c r="BE199" s="2" t="str">
        <f t="shared" ca="1" si="4"/>
        <v>Bulgaria</v>
      </c>
      <c r="BF199" s="2" t="e">
        <f t="shared" ca="1" si="5"/>
        <v>#NAME?</v>
      </c>
      <c r="BG199" s="2">
        <f t="shared" ca="1" si="6"/>
        <v>1</v>
      </c>
      <c r="BH199" s="2" t="s">
        <v>267</v>
      </c>
      <c r="BI199" s="2" t="s">
        <v>173</v>
      </c>
      <c r="BJ199" s="7">
        <v>0.83000000000000007</v>
      </c>
      <c r="BK199" s="2">
        <v>1</v>
      </c>
      <c r="BL199" s="2">
        <f t="shared" si="10"/>
        <v>197</v>
      </c>
      <c r="BM199" s="2" t="str">
        <f t="shared" si="7"/>
        <v>Petrocub Hîncești</v>
      </c>
      <c r="BN199" s="7">
        <f t="shared" ref="BN199:BO199" si="206">BJ199</f>
        <v>0.83000000000000007</v>
      </c>
      <c r="BO199" s="2">
        <f t="shared" si="206"/>
        <v>1</v>
      </c>
      <c r="BS199" s="2" t="str">
        <f t="shared" si="9"/>
        <v>Moldova</v>
      </c>
    </row>
    <row r="200" spans="1:71" ht="13.8" x14ac:dyDescent="0.45">
      <c r="A200" s="2" t="str">
        <f ca="1">IFERROR(__xludf.DUMMYFUNCTION("""COMPUTED_VALUE"""),"Slovan Bratislava")</f>
        <v>Slovan Bratislava</v>
      </c>
      <c r="B200" s="2">
        <f ca="1">IFERROR(__xludf.DUMMYFUNCTION("""COMPUTED_VALUE"""),0.7)</f>
        <v>0.7</v>
      </c>
      <c r="C200" s="2" t="str">
        <f ca="1">IFERROR(__xludf.DUMMYFUNCTION("""COMPUTED_VALUE"""),"Slovakia")</f>
        <v>Slovakia</v>
      </c>
      <c r="D200" s="2"/>
      <c r="E200" s="2"/>
      <c r="F200" s="2" t="str">
        <f ca="1">IFERROR(__xludf.DUMMYFUNCTION("""COMPUTED_VALUE"""),"X")</f>
        <v>X</v>
      </c>
      <c r="G200" s="2"/>
      <c r="H200" s="2"/>
      <c r="I200" s="2"/>
      <c r="J200" s="2"/>
      <c r="K200" s="2"/>
      <c r="L200" s="2"/>
      <c r="M200" s="2"/>
      <c r="N200" s="2"/>
      <c r="O200" s="5">
        <f ca="1">IFERROR(__xludf.DUMMYFUNCTION("""COMPUTED_VALUE"""),0)</f>
        <v>0</v>
      </c>
      <c r="P200" s="2">
        <f ca="1">IFERROR(__xludf.DUMMYFUNCTION("""COMPUTED_VALUE"""),0)</f>
        <v>0</v>
      </c>
      <c r="Q200" s="2">
        <f ca="1">IFERROR(__xludf.DUMMYFUNCTION("""COMPUTED_VALUE"""),0.125)</f>
        <v>0.125</v>
      </c>
      <c r="R200" s="2">
        <f ca="1">IFERROR(__xludf.DUMMYFUNCTION("""COMPUTED_VALUE"""),0)</f>
        <v>0</v>
      </c>
      <c r="S200" s="2">
        <f ca="1">IFERROR(__xludf.DUMMYFUNCTION("""COMPUTED_VALUE"""),0)</f>
        <v>0</v>
      </c>
      <c r="T200" s="2">
        <f ca="1">IFERROR(__xludf.DUMMYFUNCTION("""COMPUTED_VALUE"""),0)</f>
        <v>0</v>
      </c>
      <c r="U200" s="2">
        <f ca="1">IFERROR(__xludf.DUMMYFUNCTION("""COMPUTED_VALUE"""),0)</f>
        <v>0</v>
      </c>
      <c r="V200" s="2">
        <f ca="1">IFERROR(__xludf.DUMMYFUNCTION("""COMPUTED_VALUE"""),0)</f>
        <v>0</v>
      </c>
      <c r="W200" s="2">
        <f ca="1">IFERROR(__xludf.DUMMYFUNCTION("""COMPUTED_VALUE"""),0)</f>
        <v>0</v>
      </c>
      <c r="X200" s="2">
        <f ca="1">IFERROR(__xludf.DUMMYFUNCTION("""COMPUTED_VALUE"""),0)</f>
        <v>0</v>
      </c>
      <c r="Y200" s="2">
        <f ca="1">IFERROR(__xludf.DUMMYFUNCTION("""COMPUTED_VALUE"""),0)</f>
        <v>0</v>
      </c>
      <c r="AB200" s="2"/>
      <c r="AC200" s="2"/>
      <c r="AD200" s="2" t="str">
        <f ca="1">IFERROR(__xludf.DUMMYFUNCTION("""COMPUTED_VALUE"""),"X")</f>
        <v>X</v>
      </c>
      <c r="AE200" s="2"/>
      <c r="AF200" s="2"/>
      <c r="AG200" s="2"/>
      <c r="AH200" s="2"/>
      <c r="AI200" s="2"/>
      <c r="AJ200" s="2"/>
      <c r="AK200" s="2"/>
      <c r="AL200" s="2"/>
      <c r="AM200" s="2">
        <f ca="1">IFERROR(__xludf.DUMMYFUNCTION("""COMPUTED_VALUE"""),0)</f>
        <v>0</v>
      </c>
      <c r="AN200" s="2">
        <f ca="1">IFERROR(__xludf.DUMMYFUNCTION("""COMPUTED_VALUE"""),0)</f>
        <v>0</v>
      </c>
      <c r="AO200" s="2">
        <f ca="1">IFERROR(__xludf.DUMMYFUNCTION("""COMPUTED_VALUE"""),0.62)</f>
        <v>0.62</v>
      </c>
      <c r="AP200" s="2">
        <f ca="1">IFERROR(__xludf.DUMMYFUNCTION("""COMPUTED_VALUE"""),0)</f>
        <v>0</v>
      </c>
      <c r="AQ200" s="2">
        <f ca="1">IFERROR(__xludf.DUMMYFUNCTION("""COMPUTED_VALUE"""),0)</f>
        <v>0</v>
      </c>
      <c r="AR200" s="2">
        <f ca="1">IFERROR(__xludf.DUMMYFUNCTION("""COMPUTED_VALUE"""),0)</f>
        <v>0</v>
      </c>
      <c r="AS200" s="2">
        <f ca="1">IFERROR(__xludf.DUMMYFUNCTION("""COMPUTED_VALUE"""),0)</f>
        <v>0</v>
      </c>
      <c r="AT200" s="2">
        <f ca="1">IFERROR(__xludf.DUMMYFUNCTION("""COMPUTED_VALUE"""),0)</f>
        <v>0</v>
      </c>
      <c r="AU200" s="2">
        <f ca="1">IFERROR(__xludf.DUMMYFUNCTION("""COMPUTED_VALUE"""),0)</f>
        <v>0</v>
      </c>
      <c r="AV200" s="2">
        <f ca="1">IFERROR(__xludf.DUMMYFUNCTION("""COMPUTED_VALUE"""),0)</f>
        <v>0</v>
      </c>
      <c r="AW200" s="2">
        <f ca="1">IFERROR(__xludf.DUMMYFUNCTION("""COMPUTED_VALUE"""),0)</f>
        <v>0</v>
      </c>
      <c r="AY200" s="2">
        <f t="shared" ca="1" si="0"/>
        <v>2</v>
      </c>
      <c r="AZ200" s="2" t="e">
        <f ca="1">IF(NOT(COUNTA(D200:J200)), _xludf.IFS(AL200="W", 'Round Bonuses'!$F$14, AL200="X", 'Round Bonuses'!$F$13, AK200="X", 'Round Bonuses'!$F$12, AJ200="X", 'Round Bonuses'!$F$11, AI200="X", 'Round Bonuses'!$F$10, AH200="X", 'Round Bonuses'!$F$9, AG200="X", 'Round Bonuses'!$F$8, AF200="X", 'Round Bonuses'!$F$7, AE200="X", 'Round Bonuses'!$F$6, AD200="X", 'Round Bonuses'!$F$5, AC200="X", 'Round Bonuses'!$F$4, AB200="X", 'Round Bonuses'!$F$3, TRUE, 0), IF(AA200="X", _xludf.IFS(AD200="X", 'Round Bonuses'!$E$4, AF200="X",'Round Bonuses'!$E$6,TRUE, 'Round Bonuses'!$E$7), 0) +IF(AB200="X", 'Round Bonuses'!$E$3, 0)+IF(AC200="X",'Round Bonuses'!$E$4, 0)+IF(AD200="X", 'Round Bonuses'!$E$5, 0)+IF(AE200="X", 'Round Bonuses'!$E$6, 0)+IF(AF200="X", 'Round Bonuses'!$E$7, 0)+IF(AG200="X", 'Round Bonuses'!$E$8, 0)+_xludf.IFS(AL200="W", 'Round Bonuses'!$G$14, AL200="X", 'Round Bonuses'!$G$13, AK200="X", 'Round Bonuses'!$G$12, AJ200="X", 'Round Bonuses'!$G$11, AI200="X", 'Round Bonuses'!$G$10, AH200="X", 'Round Bonuses'!$G$9, TRUE, 0))+_xludf.IFS(N200="W", 'Round Bonuses'!$C$13, N200="X", 'Round Bonuses'!$C$12, M200="X", 'Round Bonuses'!$C$11, L200="X", 'Round Bonuses'!$C$10, K200="X", 'Round Bonuses'!$C$9, J200="X", 'Round Bonuses'!$C$8, I200="X", 'Round Bonuses'!$C$7, H200="X", 'Round Bonuses'!$C$6, G200="X", 'Round Bonuses'!$C$5, F200="X", 'Round Bonuses'!$C$4, E200="X", 'Round Bonuses'!$C$3, D200="X", 'Round Bonuses'!$C$3, TRUE, 0)</f>
        <v>#NAME?</v>
      </c>
      <c r="BA200" s="2">
        <f t="shared" ca="1" si="1"/>
        <v>0.745</v>
      </c>
      <c r="BB200" s="10" t="e">
        <f t="shared" ca="1" si="2"/>
        <v>#NAME?</v>
      </c>
      <c r="BD200" s="11" t="str">
        <f t="shared" ca="1" si="3"/>
        <v>Slovan Bratislava</v>
      </c>
      <c r="BE200" s="2" t="str">
        <f t="shared" ca="1" si="4"/>
        <v>Slovakia</v>
      </c>
      <c r="BF200" s="2" t="e">
        <f t="shared" ca="1" si="5"/>
        <v>#NAME?</v>
      </c>
      <c r="BG200" s="2">
        <f t="shared" ca="1" si="6"/>
        <v>2</v>
      </c>
      <c r="BH200" s="2" t="s">
        <v>268</v>
      </c>
      <c r="BI200" s="2" t="s">
        <v>225</v>
      </c>
      <c r="BJ200" s="7">
        <v>0.82499999999999996</v>
      </c>
      <c r="BK200" s="2">
        <v>1</v>
      </c>
      <c r="BL200" s="2">
        <f t="shared" si="10"/>
        <v>198</v>
      </c>
      <c r="BM200" s="2" t="str">
        <f t="shared" si="7"/>
        <v>Differdange 03</v>
      </c>
      <c r="BN200" s="7">
        <f t="shared" ref="BN200:BO200" si="207">BJ200</f>
        <v>0.82499999999999996</v>
      </c>
      <c r="BO200" s="2">
        <f t="shared" si="207"/>
        <v>1</v>
      </c>
      <c r="BS200" s="2" t="str">
        <f t="shared" si="9"/>
        <v>Luxembourg</v>
      </c>
    </row>
    <row r="201" spans="1:71" ht="13.8" x14ac:dyDescent="0.45">
      <c r="A201" s="2" t="str">
        <f ca="1">IFERROR(__xludf.DUMMYFUNCTION("""COMPUTED_VALUE"""),"Slovan Liberec")</f>
        <v>Slovan Liberec</v>
      </c>
      <c r="B201" s="2">
        <f ca="1">IFERROR(__xludf.DUMMYFUNCTION("""COMPUTED_VALUE"""),0.83)</f>
        <v>0.83</v>
      </c>
      <c r="C201" s="2" t="str">
        <f ca="1">IFERROR(__xludf.DUMMYFUNCTION("""COMPUTED_VALUE"""),"Czech Republic")</f>
        <v>Czech Republic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5">
        <f ca="1">IFERROR(__xludf.DUMMYFUNCTION("""COMPUTED_VALUE"""),0)</f>
        <v>0</v>
      </c>
      <c r="P201" s="2">
        <f ca="1">IFERROR(__xludf.DUMMYFUNCTION("""COMPUTED_VALUE"""),0)</f>
        <v>0</v>
      </c>
      <c r="Q201" s="2">
        <f ca="1">IFERROR(__xludf.DUMMYFUNCTION("""COMPUTED_VALUE"""),0)</f>
        <v>0</v>
      </c>
      <c r="R201" s="2">
        <f ca="1">IFERROR(__xludf.DUMMYFUNCTION("""COMPUTED_VALUE"""),0)</f>
        <v>0</v>
      </c>
      <c r="S201" s="2">
        <f ca="1">IFERROR(__xludf.DUMMYFUNCTION("""COMPUTED_VALUE"""),0)</f>
        <v>0</v>
      </c>
      <c r="T201" s="2">
        <f ca="1">IFERROR(__xludf.DUMMYFUNCTION("""COMPUTED_VALUE"""),0)</f>
        <v>0</v>
      </c>
      <c r="U201" s="2">
        <f ca="1">IFERROR(__xludf.DUMMYFUNCTION("""COMPUTED_VALUE"""),0)</f>
        <v>0</v>
      </c>
      <c r="V201" s="2">
        <f ca="1">IFERROR(__xludf.DUMMYFUNCTION("""COMPUTED_VALUE"""),0)</f>
        <v>0</v>
      </c>
      <c r="W201" s="2">
        <f ca="1">IFERROR(__xludf.DUMMYFUNCTION("""COMPUTED_VALUE"""),0)</f>
        <v>0</v>
      </c>
      <c r="X201" s="2">
        <f ca="1">IFERROR(__xludf.DUMMYFUNCTION("""COMPUTED_VALUE"""),0)</f>
        <v>0</v>
      </c>
      <c r="Y201" s="2">
        <f ca="1">IFERROR(__xludf.DUMMYFUNCTION("""COMPUTED_VALUE"""),0)</f>
        <v>0</v>
      </c>
      <c r="AB201" s="2"/>
      <c r="AC201" s="2"/>
      <c r="AD201" s="2" t="str">
        <f ca="1">IFERROR(__xludf.DUMMYFUNCTION("""COMPUTED_VALUE"""),"X")</f>
        <v>X</v>
      </c>
      <c r="AE201" s="2" t="str">
        <f ca="1">IFERROR(__xludf.DUMMYFUNCTION("""COMPUTED_VALUE"""),"X")</f>
        <v>X</v>
      </c>
      <c r="AF201" s="2" t="str">
        <f ca="1">IFERROR(__xludf.DUMMYFUNCTION("""COMPUTED_VALUE"""),"X")</f>
        <v>X</v>
      </c>
      <c r="AG201" s="2" t="str">
        <f ca="1">IFERROR(__xludf.DUMMYFUNCTION("""COMPUTED_VALUE"""),"X")</f>
        <v>X</v>
      </c>
      <c r="AH201" s="2"/>
      <c r="AI201" s="2"/>
      <c r="AJ201" s="2"/>
      <c r="AK201" s="2"/>
      <c r="AL201" s="2"/>
      <c r="AM201" s="2">
        <f ca="1">IFERROR(__xludf.DUMMYFUNCTION("""COMPUTED_VALUE"""),0)</f>
        <v>0</v>
      </c>
      <c r="AN201" s="2">
        <f ca="1">IFERROR(__xludf.DUMMYFUNCTION("""COMPUTED_VALUE"""),0)</f>
        <v>0</v>
      </c>
      <c r="AO201" s="2">
        <f ca="1">IFERROR(__xludf.DUMMYFUNCTION("""COMPUTED_VALUE"""),2.565)</f>
        <v>2.5649999999999999</v>
      </c>
      <c r="AP201" s="2">
        <f ca="1">IFERROR(__xludf.DUMMYFUNCTION("""COMPUTED_VALUE"""),2.93249999999999)</f>
        <v>2.9324999999999899</v>
      </c>
      <c r="AQ201" s="2">
        <f ca="1">IFERROR(__xludf.DUMMYFUNCTION("""COMPUTED_VALUE"""),3.3)</f>
        <v>3.3</v>
      </c>
      <c r="AR201" s="2">
        <f ca="1">IFERROR(__xludf.DUMMYFUNCTION("""COMPUTED_VALUE"""),10.3825)</f>
        <v>10.3825</v>
      </c>
      <c r="AS201" s="2">
        <f ca="1">IFERROR(__xludf.DUMMYFUNCTION("""COMPUTED_VALUE"""),0)</f>
        <v>0</v>
      </c>
      <c r="AT201" s="2">
        <f ca="1">IFERROR(__xludf.DUMMYFUNCTION("""COMPUTED_VALUE"""),0)</f>
        <v>0</v>
      </c>
      <c r="AU201" s="2">
        <f ca="1">IFERROR(__xludf.DUMMYFUNCTION("""COMPUTED_VALUE"""),0)</f>
        <v>0</v>
      </c>
      <c r="AV201" s="2">
        <f ca="1">IFERROR(__xludf.DUMMYFUNCTION("""COMPUTED_VALUE"""),0)</f>
        <v>0</v>
      </c>
      <c r="AW201" s="2">
        <f ca="1">IFERROR(__xludf.DUMMYFUNCTION("""COMPUTED_VALUE"""),0)</f>
        <v>0</v>
      </c>
      <c r="AY201" s="2">
        <f t="shared" ca="1" si="0"/>
        <v>9</v>
      </c>
      <c r="AZ201" s="2" t="e">
        <f ca="1">IF(NOT(COUNTA(D201:J201)), _xludf.IFS(AL201="W", 'Round Bonuses'!$F$14, AL201="X", 'Round Bonuses'!$F$13, AK201="X", 'Round Bonuses'!$F$12, AJ201="X", 'Round Bonuses'!$F$11, AI201="X", 'Round Bonuses'!$F$10, AH201="X", 'Round Bonuses'!$F$9, AG201="X", 'Round Bonuses'!$F$8, AF201="X", 'Round Bonuses'!$F$7, AE201="X", 'Round Bonuses'!$F$6, AD201="X", 'Round Bonuses'!$F$5, AC201="X", 'Round Bonuses'!$F$4, AB201="X", 'Round Bonuses'!$F$3, TRUE, 0), IF(AA201="X", _xludf.IFS(AD201="X", 'Round Bonuses'!$E$4, AF201="X",'Round Bonuses'!$E$6,TRUE, 'Round Bonuses'!$E$7), 0) +IF(AB201="X", 'Round Bonuses'!$E$3, 0)+IF(AC201="X",'Round Bonuses'!$E$4, 0)+IF(AD201="X", 'Round Bonuses'!$E$5, 0)+IF(AE201="X", 'Round Bonuses'!$E$6, 0)+IF(AF201="X", 'Round Bonuses'!$E$7, 0)+IF(AG201="X", 'Round Bonuses'!$E$8, 0)+_xludf.IFS(AL201="W", 'Round Bonuses'!$G$14, AL201="X", 'Round Bonuses'!$G$13, AK201="X", 'Round Bonuses'!$G$12, AJ201="X", 'Round Bonuses'!$G$11, AI201="X", 'Round Bonuses'!$G$10, AH201="X", 'Round Bonuses'!$G$9, TRUE, 0))+_xludf.IFS(N201="W", 'Round Bonuses'!$C$13, N201="X", 'Round Bonuses'!$C$12, M201="X", 'Round Bonuses'!$C$11, L201="X", 'Round Bonuses'!$C$10, K201="X", 'Round Bonuses'!$C$9, J201="X", 'Round Bonuses'!$C$8, I201="X", 'Round Bonuses'!$C$7, H201="X", 'Round Bonuses'!$C$6, G201="X", 'Round Bonuses'!$C$5, F201="X", 'Round Bonuses'!$C$4, E201="X", 'Round Bonuses'!$C$3, D201="X", 'Round Bonuses'!$C$3, TRUE, 0)</f>
        <v>#NAME?</v>
      </c>
      <c r="BA201" s="2">
        <f t="shared" ca="1" si="1"/>
        <v>19.179999999999989</v>
      </c>
      <c r="BB201" s="10" t="e">
        <f t="shared" ca="1" si="2"/>
        <v>#NAME?</v>
      </c>
      <c r="BD201" s="11" t="str">
        <f t="shared" ca="1" si="3"/>
        <v>Slovan Liberec</v>
      </c>
      <c r="BE201" s="2" t="str">
        <f t="shared" ca="1" si="4"/>
        <v>Czech Republic</v>
      </c>
      <c r="BF201" s="2" t="e">
        <f t="shared" ca="1" si="5"/>
        <v>#NAME?</v>
      </c>
      <c r="BG201" s="2">
        <f t="shared" ca="1" si="6"/>
        <v>9</v>
      </c>
      <c r="BH201" s="2" t="s">
        <v>269</v>
      </c>
      <c r="BI201" s="2" t="s">
        <v>152</v>
      </c>
      <c r="BJ201" s="7">
        <v>0.82499999999999996</v>
      </c>
      <c r="BK201" s="2">
        <v>1</v>
      </c>
      <c r="BL201" s="2">
        <f t="shared" si="10"/>
        <v>199</v>
      </c>
      <c r="BM201" s="2" t="str">
        <f t="shared" si="7"/>
        <v>Inter Turku</v>
      </c>
      <c r="BN201" s="7">
        <f t="shared" ref="BN201:BO201" si="208">BJ201</f>
        <v>0.82499999999999996</v>
      </c>
      <c r="BO201" s="2">
        <f t="shared" si="208"/>
        <v>1</v>
      </c>
      <c r="BS201" s="2" t="str">
        <f t="shared" si="9"/>
        <v>Finland</v>
      </c>
    </row>
    <row r="202" spans="1:71" ht="13.8" x14ac:dyDescent="0.45">
      <c r="A202" s="2" t="str">
        <f ca="1">IFERROR(__xludf.DUMMYFUNCTION("""COMPUTED_VALUE"""),"SønderjyskE")</f>
        <v>SønderjyskE</v>
      </c>
      <c r="B202" s="2">
        <f ca="1">IFERROR(__xludf.DUMMYFUNCTION("""COMPUTED_VALUE"""),0.82)</f>
        <v>0.82</v>
      </c>
      <c r="C202" s="2" t="str">
        <f ca="1">IFERROR(__xludf.DUMMYFUNCTION("""COMPUTED_VALUE"""),"Denmark")</f>
        <v>Denmark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5">
        <f ca="1">IFERROR(__xludf.DUMMYFUNCTION("""COMPUTED_VALUE"""),0)</f>
        <v>0</v>
      </c>
      <c r="P202" s="2">
        <f ca="1">IFERROR(__xludf.DUMMYFUNCTION("""COMPUTED_VALUE"""),0)</f>
        <v>0</v>
      </c>
      <c r="Q202" s="2">
        <f ca="1">IFERROR(__xludf.DUMMYFUNCTION("""COMPUTED_VALUE"""),0)</f>
        <v>0</v>
      </c>
      <c r="R202" s="2">
        <f ca="1">IFERROR(__xludf.DUMMYFUNCTION("""COMPUTED_VALUE"""),0)</f>
        <v>0</v>
      </c>
      <c r="S202" s="2">
        <f ca="1">IFERROR(__xludf.DUMMYFUNCTION("""COMPUTED_VALUE"""),0)</f>
        <v>0</v>
      </c>
      <c r="T202" s="2">
        <f ca="1">IFERROR(__xludf.DUMMYFUNCTION("""COMPUTED_VALUE"""),0)</f>
        <v>0</v>
      </c>
      <c r="U202" s="2">
        <f ca="1">IFERROR(__xludf.DUMMYFUNCTION("""COMPUTED_VALUE"""),0)</f>
        <v>0</v>
      </c>
      <c r="V202" s="2">
        <f ca="1">IFERROR(__xludf.DUMMYFUNCTION("""COMPUTED_VALUE"""),0)</f>
        <v>0</v>
      </c>
      <c r="W202" s="2">
        <f ca="1">IFERROR(__xludf.DUMMYFUNCTION("""COMPUTED_VALUE"""),0)</f>
        <v>0</v>
      </c>
      <c r="X202" s="2">
        <f ca="1">IFERROR(__xludf.DUMMYFUNCTION("""COMPUTED_VALUE"""),0)</f>
        <v>0</v>
      </c>
      <c r="Y202" s="2">
        <f ca="1">IFERROR(__xludf.DUMMYFUNCTION("""COMPUTED_VALUE"""),0)</f>
        <v>0</v>
      </c>
      <c r="AB202" s="2"/>
      <c r="AC202" s="2"/>
      <c r="AD202" s="2"/>
      <c r="AE202" s="2" t="str">
        <f ca="1">IFERROR(__xludf.DUMMYFUNCTION("""COMPUTED_VALUE"""),"X")</f>
        <v>X</v>
      </c>
      <c r="AF202" s="2"/>
      <c r="AG202" s="2"/>
      <c r="AH202" s="2"/>
      <c r="AI202" s="2"/>
      <c r="AJ202" s="2"/>
      <c r="AK202" s="2"/>
      <c r="AL202" s="2"/>
      <c r="AM202" s="2">
        <f ca="1">IFERROR(__xludf.DUMMYFUNCTION("""COMPUTED_VALUE"""),0)</f>
        <v>0</v>
      </c>
      <c r="AN202" s="2">
        <f ca="1">IFERROR(__xludf.DUMMYFUNCTION("""COMPUTED_VALUE"""),0)</f>
        <v>0</v>
      </c>
      <c r="AO202" s="2">
        <f ca="1">IFERROR(__xludf.DUMMYFUNCTION("""COMPUTED_VALUE"""),0)</f>
        <v>0</v>
      </c>
      <c r="AP202" s="2">
        <f ca="1">IFERROR(__xludf.DUMMYFUNCTION("""COMPUTED_VALUE"""),0.485)</f>
        <v>0.48499999999999999</v>
      </c>
      <c r="AQ202" s="2">
        <f ca="1">IFERROR(__xludf.DUMMYFUNCTION("""COMPUTED_VALUE"""),0)</f>
        <v>0</v>
      </c>
      <c r="AR202" s="2">
        <f ca="1">IFERROR(__xludf.DUMMYFUNCTION("""COMPUTED_VALUE"""),0)</f>
        <v>0</v>
      </c>
      <c r="AS202" s="2">
        <f ca="1">IFERROR(__xludf.DUMMYFUNCTION("""COMPUTED_VALUE"""),0)</f>
        <v>0</v>
      </c>
      <c r="AT202" s="2">
        <f ca="1">IFERROR(__xludf.DUMMYFUNCTION("""COMPUTED_VALUE"""),0)</f>
        <v>0</v>
      </c>
      <c r="AU202" s="2">
        <f ca="1">IFERROR(__xludf.DUMMYFUNCTION("""COMPUTED_VALUE"""),0)</f>
        <v>0</v>
      </c>
      <c r="AV202" s="2">
        <f ca="1">IFERROR(__xludf.DUMMYFUNCTION("""COMPUTED_VALUE"""),0)</f>
        <v>0</v>
      </c>
      <c r="AW202" s="2">
        <f ca="1">IFERROR(__xludf.DUMMYFUNCTION("""COMPUTED_VALUE"""),0)</f>
        <v>0</v>
      </c>
      <c r="AY202" s="2">
        <f t="shared" ca="1" si="0"/>
        <v>1</v>
      </c>
      <c r="AZ202" s="2" t="e">
        <f ca="1">IF(NOT(COUNTA(D202:J202)), _xludf.IFS(AL202="W", 'Round Bonuses'!$F$14, AL202="X", 'Round Bonuses'!$F$13, AK202="X", 'Round Bonuses'!$F$12, AJ202="X", 'Round Bonuses'!$F$11, AI202="X", 'Round Bonuses'!$F$10, AH202="X", 'Round Bonuses'!$F$9, AG202="X", 'Round Bonuses'!$F$8, AF202="X", 'Round Bonuses'!$F$7, AE202="X", 'Round Bonuses'!$F$6, AD202="X", 'Round Bonuses'!$F$5, AC202="X", 'Round Bonuses'!$F$4, AB202="X", 'Round Bonuses'!$F$3, TRUE, 0), IF(AA202="X", _xludf.IFS(AD202="X", 'Round Bonuses'!$E$4, AF202="X",'Round Bonuses'!$E$6,TRUE, 'Round Bonuses'!$E$7), 0) +IF(AB202="X", 'Round Bonuses'!$E$3, 0)+IF(AC202="X",'Round Bonuses'!$E$4, 0)+IF(AD202="X", 'Round Bonuses'!$E$5, 0)+IF(AE202="X", 'Round Bonuses'!$E$6, 0)+IF(AF202="X", 'Round Bonuses'!$E$7, 0)+IF(AG202="X", 'Round Bonuses'!$E$8, 0)+_xludf.IFS(AL202="W", 'Round Bonuses'!$G$14, AL202="X", 'Round Bonuses'!$G$13, AK202="X", 'Round Bonuses'!$G$12, AJ202="X", 'Round Bonuses'!$G$11, AI202="X", 'Round Bonuses'!$G$10, AH202="X", 'Round Bonuses'!$G$9, TRUE, 0))+_xludf.IFS(N202="W", 'Round Bonuses'!$C$13, N202="X", 'Round Bonuses'!$C$12, M202="X", 'Round Bonuses'!$C$11, L202="X", 'Round Bonuses'!$C$10, K202="X", 'Round Bonuses'!$C$9, J202="X", 'Round Bonuses'!$C$8, I202="X", 'Round Bonuses'!$C$7, H202="X", 'Round Bonuses'!$C$6, G202="X", 'Round Bonuses'!$C$5, F202="X", 'Round Bonuses'!$C$4, E202="X", 'Round Bonuses'!$C$3, D202="X", 'Round Bonuses'!$C$3, TRUE, 0)</f>
        <v>#NAME?</v>
      </c>
      <c r="BA202" s="2">
        <f t="shared" ca="1" si="1"/>
        <v>0.48499999999999999</v>
      </c>
      <c r="BB202" s="10" t="e">
        <f t="shared" ca="1" si="2"/>
        <v>#NAME?</v>
      </c>
      <c r="BD202" s="11" t="str">
        <f t="shared" ca="1" si="3"/>
        <v>SønderjyskE</v>
      </c>
      <c r="BE202" s="2" t="str">
        <f t="shared" ca="1" si="4"/>
        <v>Denmark</v>
      </c>
      <c r="BF202" s="2" t="e">
        <f t="shared" ca="1" si="5"/>
        <v>#NAME?</v>
      </c>
      <c r="BG202" s="2">
        <f t="shared" ca="1" si="6"/>
        <v>1</v>
      </c>
      <c r="BH202" s="2" t="s">
        <v>270</v>
      </c>
      <c r="BI202" s="2" t="s">
        <v>109</v>
      </c>
      <c r="BJ202" s="7">
        <v>0.82000000000000006</v>
      </c>
      <c r="BK202" s="2">
        <v>1</v>
      </c>
      <c r="BL202" s="2">
        <f t="shared" si="10"/>
        <v>200</v>
      </c>
      <c r="BM202" s="2" t="str">
        <f t="shared" si="7"/>
        <v>Cracovia</v>
      </c>
      <c r="BN202" s="7">
        <f t="shared" ref="BN202:BO202" si="209">BJ202</f>
        <v>0.82000000000000006</v>
      </c>
      <c r="BO202" s="2">
        <f t="shared" si="209"/>
        <v>1</v>
      </c>
      <c r="BS202" s="2" t="str">
        <f t="shared" si="9"/>
        <v>Poland</v>
      </c>
    </row>
    <row r="203" spans="1:71" ht="13.8" x14ac:dyDescent="0.45">
      <c r="A203" s="2" t="str">
        <f ca="1">IFERROR(__xludf.DUMMYFUNCTION("""COMPUTED_VALUE"""),"Sparta Prague")</f>
        <v>Sparta Prague</v>
      </c>
      <c r="B203" s="2">
        <f ca="1">IFERROR(__xludf.DUMMYFUNCTION("""COMPUTED_VALUE"""),0.84)</f>
        <v>0.84</v>
      </c>
      <c r="C203" s="2" t="str">
        <f ca="1">IFERROR(__xludf.DUMMYFUNCTION("""COMPUTED_VALUE"""),"Czech Republic")</f>
        <v>Czech Republic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5">
        <f ca="1">IFERROR(__xludf.DUMMYFUNCTION("""COMPUTED_VALUE"""),0)</f>
        <v>0</v>
      </c>
      <c r="P203" s="2">
        <f ca="1">IFERROR(__xludf.DUMMYFUNCTION("""COMPUTED_VALUE"""),0)</f>
        <v>0</v>
      </c>
      <c r="Q203" s="2">
        <f ca="1">IFERROR(__xludf.DUMMYFUNCTION("""COMPUTED_VALUE"""),0)</f>
        <v>0</v>
      </c>
      <c r="R203" s="2">
        <f ca="1">IFERROR(__xludf.DUMMYFUNCTION("""COMPUTED_VALUE"""),0)</f>
        <v>0</v>
      </c>
      <c r="S203" s="2">
        <f ca="1">IFERROR(__xludf.DUMMYFUNCTION("""COMPUTED_VALUE"""),0)</f>
        <v>0</v>
      </c>
      <c r="T203" s="2">
        <f ca="1">IFERROR(__xludf.DUMMYFUNCTION("""COMPUTED_VALUE"""),0)</f>
        <v>0</v>
      </c>
      <c r="U203" s="2">
        <f ca="1">IFERROR(__xludf.DUMMYFUNCTION("""COMPUTED_VALUE"""),0)</f>
        <v>0</v>
      </c>
      <c r="V203" s="2">
        <f ca="1">IFERROR(__xludf.DUMMYFUNCTION("""COMPUTED_VALUE"""),0)</f>
        <v>0</v>
      </c>
      <c r="W203" s="2">
        <f ca="1">IFERROR(__xludf.DUMMYFUNCTION("""COMPUTED_VALUE"""),0)</f>
        <v>0</v>
      </c>
      <c r="X203" s="2">
        <f ca="1">IFERROR(__xludf.DUMMYFUNCTION("""COMPUTED_VALUE"""),0)</f>
        <v>0</v>
      </c>
      <c r="Y203" s="2">
        <f ca="1">IFERROR(__xludf.DUMMYFUNCTION("""COMPUTED_VALUE"""),0)</f>
        <v>0</v>
      </c>
      <c r="AB203" s="2"/>
      <c r="AC203" s="2"/>
      <c r="AD203" s="2"/>
      <c r="AE203" s="2"/>
      <c r="AF203" s="2"/>
      <c r="AG203" s="2" t="str">
        <f ca="1">IFERROR(__xludf.DUMMYFUNCTION("""COMPUTED_VALUE"""),"X")</f>
        <v>X</v>
      </c>
      <c r="AH203" s="2"/>
      <c r="AI203" s="2"/>
      <c r="AJ203" s="2"/>
      <c r="AK203" s="2"/>
      <c r="AL203" s="2"/>
      <c r="AM203" s="2">
        <f ca="1">IFERROR(__xludf.DUMMYFUNCTION("""COMPUTED_VALUE"""),0)</f>
        <v>0</v>
      </c>
      <c r="AN203" s="2">
        <f ca="1">IFERROR(__xludf.DUMMYFUNCTION("""COMPUTED_VALUE"""),0)</f>
        <v>0</v>
      </c>
      <c r="AO203" s="2">
        <f ca="1">IFERROR(__xludf.DUMMYFUNCTION("""COMPUTED_VALUE"""),0)</f>
        <v>0</v>
      </c>
      <c r="AP203" s="2">
        <f ca="1">IFERROR(__xludf.DUMMYFUNCTION("""COMPUTED_VALUE"""),0)</f>
        <v>0</v>
      </c>
      <c r="AQ203" s="2">
        <f ca="1">IFERROR(__xludf.DUMMYFUNCTION("""COMPUTED_VALUE"""),0)</f>
        <v>0</v>
      </c>
      <c r="AR203" s="2">
        <f ca="1">IFERROR(__xludf.DUMMYFUNCTION("""COMPUTED_VALUE"""),9.68)</f>
        <v>9.68</v>
      </c>
      <c r="AS203" s="2">
        <f ca="1">IFERROR(__xludf.DUMMYFUNCTION("""COMPUTED_VALUE"""),0)</f>
        <v>0</v>
      </c>
      <c r="AT203" s="2">
        <f ca="1">IFERROR(__xludf.DUMMYFUNCTION("""COMPUTED_VALUE"""),0)</f>
        <v>0</v>
      </c>
      <c r="AU203" s="2">
        <f ca="1">IFERROR(__xludf.DUMMYFUNCTION("""COMPUTED_VALUE"""),0)</f>
        <v>0</v>
      </c>
      <c r="AV203" s="2">
        <f ca="1">IFERROR(__xludf.DUMMYFUNCTION("""COMPUTED_VALUE"""),0)</f>
        <v>0</v>
      </c>
      <c r="AW203" s="2">
        <f ca="1">IFERROR(__xludf.DUMMYFUNCTION("""COMPUTED_VALUE"""),0)</f>
        <v>0</v>
      </c>
      <c r="AY203" s="2">
        <f t="shared" ca="1" si="0"/>
        <v>6</v>
      </c>
      <c r="AZ203" s="2" t="e">
        <f ca="1">IF(NOT(COUNTA(D203:J203)), _xludf.IFS(AL203="W", 'Round Bonuses'!$F$14, AL203="X", 'Round Bonuses'!$F$13, AK203="X", 'Round Bonuses'!$F$12, AJ203="X", 'Round Bonuses'!$F$11, AI203="X", 'Round Bonuses'!$F$10, AH203="X", 'Round Bonuses'!$F$9, AG203="X", 'Round Bonuses'!$F$8, AF203="X", 'Round Bonuses'!$F$7, AE203="X", 'Round Bonuses'!$F$6, AD203="X", 'Round Bonuses'!$F$5, AC203="X", 'Round Bonuses'!$F$4, AB203="X", 'Round Bonuses'!$F$3, TRUE, 0), IF(AA203="X", _xludf.IFS(AD203="X", 'Round Bonuses'!$E$4, AF203="X",'Round Bonuses'!$E$6,TRUE, 'Round Bonuses'!$E$7), 0) +IF(AB203="X", 'Round Bonuses'!$E$3, 0)+IF(AC203="X",'Round Bonuses'!$E$4, 0)+IF(AD203="X", 'Round Bonuses'!$E$5, 0)+IF(AE203="X", 'Round Bonuses'!$E$6, 0)+IF(AF203="X", 'Round Bonuses'!$E$7, 0)+IF(AG203="X", 'Round Bonuses'!$E$8, 0)+_xludf.IFS(AL203="W", 'Round Bonuses'!$G$14, AL203="X", 'Round Bonuses'!$G$13, AK203="X", 'Round Bonuses'!$G$12, AJ203="X", 'Round Bonuses'!$G$11, AI203="X", 'Round Bonuses'!$G$10, AH203="X", 'Round Bonuses'!$G$9, TRUE, 0))+_xludf.IFS(N203="W", 'Round Bonuses'!$C$13, N203="X", 'Round Bonuses'!$C$12, M203="X", 'Round Bonuses'!$C$11, L203="X", 'Round Bonuses'!$C$10, K203="X", 'Round Bonuses'!$C$9, J203="X", 'Round Bonuses'!$C$8, I203="X", 'Round Bonuses'!$C$7, H203="X", 'Round Bonuses'!$C$6, G203="X", 'Round Bonuses'!$C$5, F203="X", 'Round Bonuses'!$C$4, E203="X", 'Round Bonuses'!$C$3, D203="X", 'Round Bonuses'!$C$3, TRUE, 0)</f>
        <v>#NAME?</v>
      </c>
      <c r="BA203" s="2">
        <f t="shared" ca="1" si="1"/>
        <v>9.68</v>
      </c>
      <c r="BB203" s="10" t="e">
        <f t="shared" ca="1" si="2"/>
        <v>#NAME?</v>
      </c>
      <c r="BD203" s="11" t="str">
        <f t="shared" ca="1" si="3"/>
        <v>Sparta Prague</v>
      </c>
      <c r="BE203" s="2" t="str">
        <f t="shared" ca="1" si="4"/>
        <v>Czech Republic</v>
      </c>
      <c r="BF203" s="2" t="e">
        <f t="shared" ca="1" si="5"/>
        <v>#NAME?</v>
      </c>
      <c r="BG203" s="2">
        <f t="shared" ca="1" si="6"/>
        <v>6</v>
      </c>
      <c r="BH203" s="2" t="s">
        <v>271</v>
      </c>
      <c r="BI203" s="2" t="s">
        <v>144</v>
      </c>
      <c r="BJ203" s="7">
        <v>0.80499999999999994</v>
      </c>
      <c r="BK203" s="2">
        <v>1</v>
      </c>
      <c r="BL203" s="2">
        <f t="shared" si="10"/>
        <v>201</v>
      </c>
      <c r="BM203" s="2" t="str">
        <f t="shared" si="7"/>
        <v>Alashkert</v>
      </c>
      <c r="BN203" s="7">
        <f t="shared" ref="BN203:BO203" si="210">BJ203</f>
        <v>0.80499999999999994</v>
      </c>
      <c r="BO203" s="2">
        <f t="shared" si="210"/>
        <v>1</v>
      </c>
      <c r="BS203" s="2" t="str">
        <f t="shared" si="9"/>
        <v>Armenia</v>
      </c>
    </row>
    <row r="204" spans="1:71" ht="13.8" x14ac:dyDescent="0.45">
      <c r="A204" s="2" t="str">
        <f ca="1">IFERROR(__xludf.DUMMYFUNCTION("""COMPUTED_VALUE"""),"Sporting CP")</f>
        <v>Sporting CP</v>
      </c>
      <c r="B204" s="2">
        <f ca="1">IFERROR(__xludf.DUMMYFUNCTION("""COMPUTED_VALUE"""),0.899999999999999)</f>
        <v>0.89999999999999902</v>
      </c>
      <c r="C204" s="2" t="str">
        <f ca="1">IFERROR(__xludf.DUMMYFUNCTION("""COMPUTED_VALUE"""),"Portugal")</f>
        <v>Portugal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5">
        <f ca="1">IFERROR(__xludf.DUMMYFUNCTION("""COMPUTED_VALUE"""),0)</f>
        <v>0</v>
      </c>
      <c r="P204" s="2">
        <f ca="1">IFERROR(__xludf.DUMMYFUNCTION("""COMPUTED_VALUE"""),0)</f>
        <v>0</v>
      </c>
      <c r="Q204" s="2">
        <f ca="1">IFERROR(__xludf.DUMMYFUNCTION("""COMPUTED_VALUE"""),0)</f>
        <v>0</v>
      </c>
      <c r="R204" s="2">
        <f ca="1">IFERROR(__xludf.DUMMYFUNCTION("""COMPUTED_VALUE"""),0)</f>
        <v>0</v>
      </c>
      <c r="S204" s="2">
        <f ca="1">IFERROR(__xludf.DUMMYFUNCTION("""COMPUTED_VALUE"""),0)</f>
        <v>0</v>
      </c>
      <c r="T204" s="2">
        <f ca="1">IFERROR(__xludf.DUMMYFUNCTION("""COMPUTED_VALUE"""),0)</f>
        <v>0</v>
      </c>
      <c r="U204" s="2">
        <f ca="1">IFERROR(__xludf.DUMMYFUNCTION("""COMPUTED_VALUE"""),0)</f>
        <v>0</v>
      </c>
      <c r="V204" s="2">
        <f ca="1">IFERROR(__xludf.DUMMYFUNCTION("""COMPUTED_VALUE"""),0)</f>
        <v>0</v>
      </c>
      <c r="W204" s="2">
        <f ca="1">IFERROR(__xludf.DUMMYFUNCTION("""COMPUTED_VALUE"""),0)</f>
        <v>0</v>
      </c>
      <c r="X204" s="2">
        <f ca="1">IFERROR(__xludf.DUMMYFUNCTION("""COMPUTED_VALUE"""),0)</f>
        <v>0</v>
      </c>
      <c r="Y204" s="2">
        <f ca="1">IFERROR(__xludf.DUMMYFUNCTION("""COMPUTED_VALUE"""),0)</f>
        <v>0</v>
      </c>
      <c r="AB204" s="2"/>
      <c r="AC204" s="2"/>
      <c r="AD204" s="2"/>
      <c r="AE204" s="2" t="str">
        <f ca="1">IFERROR(__xludf.DUMMYFUNCTION("""COMPUTED_VALUE"""),"X")</f>
        <v>X</v>
      </c>
      <c r="AF204" s="2" t="str">
        <f ca="1">IFERROR(__xludf.DUMMYFUNCTION("""COMPUTED_VALUE"""),"X")</f>
        <v>X</v>
      </c>
      <c r="AG204" s="2"/>
      <c r="AH204" s="2"/>
      <c r="AI204" s="2"/>
      <c r="AJ204" s="2"/>
      <c r="AK204" s="2"/>
      <c r="AL204" s="2"/>
      <c r="AM204" s="2">
        <f ca="1">IFERROR(__xludf.DUMMYFUNCTION("""COMPUTED_VALUE"""),0)</f>
        <v>0</v>
      </c>
      <c r="AN204" s="2">
        <f ca="1">IFERROR(__xludf.DUMMYFUNCTION("""COMPUTED_VALUE"""),0)</f>
        <v>0</v>
      </c>
      <c r="AO204" s="2">
        <f ca="1">IFERROR(__xludf.DUMMYFUNCTION("""COMPUTED_VALUE"""),0)</f>
        <v>0</v>
      </c>
      <c r="AP204" s="2">
        <f ca="1">IFERROR(__xludf.DUMMYFUNCTION("""COMPUTED_VALUE"""),3.17625)</f>
        <v>3.17625</v>
      </c>
      <c r="AQ204" s="2">
        <f ca="1">IFERROR(__xludf.DUMMYFUNCTION("""COMPUTED_VALUE"""),0.475)</f>
        <v>0.47499999999999998</v>
      </c>
      <c r="AR204" s="2">
        <f ca="1">IFERROR(__xludf.DUMMYFUNCTION("""COMPUTED_VALUE"""),0)</f>
        <v>0</v>
      </c>
      <c r="AS204" s="2">
        <f ca="1">IFERROR(__xludf.DUMMYFUNCTION("""COMPUTED_VALUE"""),0)</f>
        <v>0</v>
      </c>
      <c r="AT204" s="2">
        <f ca="1">IFERROR(__xludf.DUMMYFUNCTION("""COMPUTED_VALUE"""),0)</f>
        <v>0</v>
      </c>
      <c r="AU204" s="2">
        <f ca="1">IFERROR(__xludf.DUMMYFUNCTION("""COMPUTED_VALUE"""),0)</f>
        <v>0</v>
      </c>
      <c r="AV204" s="2">
        <f ca="1">IFERROR(__xludf.DUMMYFUNCTION("""COMPUTED_VALUE"""),0)</f>
        <v>0</v>
      </c>
      <c r="AW204" s="2">
        <f ca="1">IFERROR(__xludf.DUMMYFUNCTION("""COMPUTED_VALUE"""),0)</f>
        <v>0</v>
      </c>
      <c r="AY204" s="2">
        <f t="shared" ca="1" si="0"/>
        <v>2</v>
      </c>
      <c r="AZ204" s="2" t="e">
        <f ca="1">IF(NOT(COUNTA(D204:J204)), _xludf.IFS(AL204="W", 'Round Bonuses'!$F$14, AL204="X", 'Round Bonuses'!$F$13, AK204="X", 'Round Bonuses'!$F$12, AJ204="X", 'Round Bonuses'!$F$11, AI204="X", 'Round Bonuses'!$F$10, AH204="X", 'Round Bonuses'!$F$9, AG204="X", 'Round Bonuses'!$F$8, AF204="X", 'Round Bonuses'!$F$7, AE204="X", 'Round Bonuses'!$F$6, AD204="X", 'Round Bonuses'!$F$5, AC204="X", 'Round Bonuses'!$F$4, AB204="X", 'Round Bonuses'!$F$3, TRUE, 0), IF(AA204="X", _xludf.IFS(AD204="X", 'Round Bonuses'!$E$4, AF204="X",'Round Bonuses'!$E$6,TRUE, 'Round Bonuses'!$E$7), 0) +IF(AB204="X", 'Round Bonuses'!$E$3, 0)+IF(AC204="X",'Round Bonuses'!$E$4, 0)+IF(AD204="X", 'Round Bonuses'!$E$5, 0)+IF(AE204="X", 'Round Bonuses'!$E$6, 0)+IF(AF204="X", 'Round Bonuses'!$E$7, 0)+IF(AG204="X", 'Round Bonuses'!$E$8, 0)+_xludf.IFS(AL204="W", 'Round Bonuses'!$G$14, AL204="X", 'Round Bonuses'!$G$13, AK204="X", 'Round Bonuses'!$G$12, AJ204="X", 'Round Bonuses'!$G$11, AI204="X", 'Round Bonuses'!$G$10, AH204="X", 'Round Bonuses'!$G$9, TRUE, 0))+_xludf.IFS(N204="W", 'Round Bonuses'!$C$13, N204="X", 'Round Bonuses'!$C$12, M204="X", 'Round Bonuses'!$C$11, L204="X", 'Round Bonuses'!$C$10, K204="X", 'Round Bonuses'!$C$9, J204="X", 'Round Bonuses'!$C$8, I204="X", 'Round Bonuses'!$C$7, H204="X", 'Round Bonuses'!$C$6, G204="X", 'Round Bonuses'!$C$5, F204="X", 'Round Bonuses'!$C$4, E204="X", 'Round Bonuses'!$C$3, D204="X", 'Round Bonuses'!$C$3, TRUE, 0)</f>
        <v>#NAME?</v>
      </c>
      <c r="BA204" s="2">
        <f t="shared" ca="1" si="1"/>
        <v>3.6512500000000001</v>
      </c>
      <c r="BB204" s="10" t="e">
        <f t="shared" ca="1" si="2"/>
        <v>#NAME?</v>
      </c>
      <c r="BD204" s="11" t="str">
        <f t="shared" ca="1" si="3"/>
        <v>Sporting CP</v>
      </c>
      <c r="BE204" s="2" t="str">
        <f t="shared" ca="1" si="4"/>
        <v>Portugal</v>
      </c>
      <c r="BF204" s="2" t="e">
        <f t="shared" ca="1" si="5"/>
        <v>#NAME?</v>
      </c>
      <c r="BG204" s="2">
        <f t="shared" ca="1" si="6"/>
        <v>2</v>
      </c>
      <c r="BH204" s="2" t="s">
        <v>272</v>
      </c>
      <c r="BI204" s="2" t="s">
        <v>111</v>
      </c>
      <c r="BJ204" s="7">
        <v>0.80499999999999994</v>
      </c>
      <c r="BK204" s="2">
        <v>1</v>
      </c>
      <c r="BL204" s="2">
        <f t="shared" si="10"/>
        <v>202</v>
      </c>
      <c r="BM204" s="2" t="str">
        <f t="shared" si="7"/>
        <v>Slavia Sofia</v>
      </c>
      <c r="BN204" s="7">
        <f t="shared" ref="BN204:BO204" si="211">BJ204</f>
        <v>0.80499999999999994</v>
      </c>
      <c r="BO204" s="2">
        <f t="shared" si="211"/>
        <v>1</v>
      </c>
      <c r="BS204" s="2" t="str">
        <f t="shared" si="9"/>
        <v>Bulgaria</v>
      </c>
    </row>
    <row r="205" spans="1:71" ht="13.8" x14ac:dyDescent="0.45">
      <c r="A205" s="2" t="str">
        <f ca="1">IFERROR(__xludf.DUMMYFUNCTION("""COMPUTED_VALUE"""),"St Joseph's")</f>
        <v>St Joseph's</v>
      </c>
      <c r="B205" s="2">
        <f ca="1">IFERROR(__xludf.DUMMYFUNCTION("""COMPUTED_VALUE"""),0.48)</f>
        <v>0.48</v>
      </c>
      <c r="C205" s="2" t="str">
        <f ca="1">IFERROR(__xludf.DUMMYFUNCTION("""COMPUTED_VALUE"""),"Gibraltar")</f>
        <v>Gibraltar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5">
        <f ca="1">IFERROR(__xludf.DUMMYFUNCTION("""COMPUTED_VALUE"""),0)</f>
        <v>0</v>
      </c>
      <c r="P205" s="2">
        <f ca="1">IFERROR(__xludf.DUMMYFUNCTION("""COMPUTED_VALUE"""),0)</f>
        <v>0</v>
      </c>
      <c r="Q205" s="2">
        <f ca="1">IFERROR(__xludf.DUMMYFUNCTION("""COMPUTED_VALUE"""),0)</f>
        <v>0</v>
      </c>
      <c r="R205" s="2">
        <f ca="1">IFERROR(__xludf.DUMMYFUNCTION("""COMPUTED_VALUE"""),0)</f>
        <v>0</v>
      </c>
      <c r="S205" s="2">
        <f ca="1">IFERROR(__xludf.DUMMYFUNCTION("""COMPUTED_VALUE"""),0)</f>
        <v>0</v>
      </c>
      <c r="T205" s="2">
        <f ca="1">IFERROR(__xludf.DUMMYFUNCTION("""COMPUTED_VALUE"""),0)</f>
        <v>0</v>
      </c>
      <c r="U205" s="2">
        <f ca="1">IFERROR(__xludf.DUMMYFUNCTION("""COMPUTED_VALUE"""),0)</f>
        <v>0</v>
      </c>
      <c r="V205" s="2">
        <f ca="1">IFERROR(__xludf.DUMMYFUNCTION("""COMPUTED_VALUE"""),0)</f>
        <v>0</v>
      </c>
      <c r="W205" s="2">
        <f ca="1">IFERROR(__xludf.DUMMYFUNCTION("""COMPUTED_VALUE"""),0)</f>
        <v>0</v>
      </c>
      <c r="X205" s="2">
        <f ca="1">IFERROR(__xludf.DUMMYFUNCTION("""COMPUTED_VALUE"""),0)</f>
        <v>0</v>
      </c>
      <c r="Y205" s="2">
        <f ca="1">IFERROR(__xludf.DUMMYFUNCTION("""COMPUTED_VALUE"""),0)</f>
        <v>0</v>
      </c>
      <c r="AB205" s="2" t="str">
        <f ca="1">IFERROR(__xludf.DUMMYFUNCTION("""COMPUTED_VALUE"""),"X")</f>
        <v>X</v>
      </c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>
        <f ca="1">IFERROR(__xludf.DUMMYFUNCTION("""COMPUTED_VALUE"""),0.365)</f>
        <v>0.36499999999999999</v>
      </c>
      <c r="AN205" s="2">
        <f ca="1">IFERROR(__xludf.DUMMYFUNCTION("""COMPUTED_VALUE"""),0)</f>
        <v>0</v>
      </c>
      <c r="AO205" s="2">
        <f ca="1">IFERROR(__xludf.DUMMYFUNCTION("""COMPUTED_VALUE"""),0)</f>
        <v>0</v>
      </c>
      <c r="AP205" s="2">
        <f ca="1">IFERROR(__xludf.DUMMYFUNCTION("""COMPUTED_VALUE"""),0)</f>
        <v>0</v>
      </c>
      <c r="AQ205" s="2">
        <f ca="1">IFERROR(__xludf.DUMMYFUNCTION("""COMPUTED_VALUE"""),0)</f>
        <v>0</v>
      </c>
      <c r="AR205" s="2">
        <f ca="1">IFERROR(__xludf.DUMMYFUNCTION("""COMPUTED_VALUE"""),0)</f>
        <v>0</v>
      </c>
      <c r="AS205" s="2">
        <f ca="1">IFERROR(__xludf.DUMMYFUNCTION("""COMPUTED_VALUE"""),0)</f>
        <v>0</v>
      </c>
      <c r="AT205" s="2">
        <f ca="1">IFERROR(__xludf.DUMMYFUNCTION("""COMPUTED_VALUE"""),0)</f>
        <v>0</v>
      </c>
      <c r="AU205" s="2">
        <f ca="1">IFERROR(__xludf.DUMMYFUNCTION("""COMPUTED_VALUE"""),0)</f>
        <v>0</v>
      </c>
      <c r="AV205" s="2">
        <f ca="1">IFERROR(__xludf.DUMMYFUNCTION("""COMPUTED_VALUE"""),0)</f>
        <v>0</v>
      </c>
      <c r="AW205" s="2">
        <f ca="1">IFERROR(__xludf.DUMMYFUNCTION("""COMPUTED_VALUE"""),0)</f>
        <v>0</v>
      </c>
      <c r="AY205" s="2">
        <f t="shared" ca="1" si="0"/>
        <v>1</v>
      </c>
      <c r="AZ205" s="2" t="e">
        <f ca="1">IF(NOT(COUNTA(D205:J205)), _xludf.IFS(AL205="W", 'Round Bonuses'!$F$14, AL205="X", 'Round Bonuses'!$F$13, AK205="X", 'Round Bonuses'!$F$12, AJ205="X", 'Round Bonuses'!$F$11, AI205="X", 'Round Bonuses'!$F$10, AH205="X", 'Round Bonuses'!$F$9, AG205="X", 'Round Bonuses'!$F$8, AF205="X", 'Round Bonuses'!$F$7, AE205="X", 'Round Bonuses'!$F$6, AD205="X", 'Round Bonuses'!$F$5, AC205="X", 'Round Bonuses'!$F$4, AB205="X", 'Round Bonuses'!$F$3, TRUE, 0), IF(AA205="X", _xludf.IFS(AD205="X", 'Round Bonuses'!$E$4, AF205="X",'Round Bonuses'!$E$6,TRUE, 'Round Bonuses'!$E$7), 0) +IF(AB205="X", 'Round Bonuses'!$E$3, 0)+IF(AC205="X",'Round Bonuses'!$E$4, 0)+IF(AD205="X", 'Round Bonuses'!$E$5, 0)+IF(AE205="X", 'Round Bonuses'!$E$6, 0)+IF(AF205="X", 'Round Bonuses'!$E$7, 0)+IF(AG205="X", 'Round Bonuses'!$E$8, 0)+_xludf.IFS(AL205="W", 'Round Bonuses'!$G$14, AL205="X", 'Round Bonuses'!$G$13, AK205="X", 'Round Bonuses'!$G$12, AJ205="X", 'Round Bonuses'!$G$11, AI205="X", 'Round Bonuses'!$G$10, AH205="X", 'Round Bonuses'!$G$9, TRUE, 0))+_xludf.IFS(N205="W", 'Round Bonuses'!$C$13, N205="X", 'Round Bonuses'!$C$12, M205="X", 'Round Bonuses'!$C$11, L205="X", 'Round Bonuses'!$C$10, K205="X", 'Round Bonuses'!$C$9, J205="X", 'Round Bonuses'!$C$8, I205="X", 'Round Bonuses'!$C$7, H205="X", 'Round Bonuses'!$C$6, G205="X", 'Round Bonuses'!$C$5, F205="X", 'Round Bonuses'!$C$4, E205="X", 'Round Bonuses'!$C$3, D205="X", 'Round Bonuses'!$C$3, TRUE, 0)</f>
        <v>#NAME?</v>
      </c>
      <c r="BA205" s="2">
        <f t="shared" ca="1" si="1"/>
        <v>0.36499999999999999</v>
      </c>
      <c r="BB205" s="10" t="e">
        <f t="shared" ca="1" si="2"/>
        <v>#NAME?</v>
      </c>
      <c r="BD205" s="11" t="str">
        <f t="shared" ca="1" si="3"/>
        <v>St Joseph's</v>
      </c>
      <c r="BE205" s="2" t="str">
        <f t="shared" ca="1" si="4"/>
        <v>Gibraltar</v>
      </c>
      <c r="BF205" s="2" t="e">
        <f t="shared" ca="1" si="5"/>
        <v>#NAME?</v>
      </c>
      <c r="BG205" s="2">
        <f t="shared" ca="1" si="6"/>
        <v>1</v>
      </c>
      <c r="BH205" s="2" t="s">
        <v>273</v>
      </c>
      <c r="BI205" s="2" t="s">
        <v>249</v>
      </c>
      <c r="BJ205" s="7">
        <v>0.8</v>
      </c>
      <c r="BK205" s="2">
        <v>1</v>
      </c>
      <c r="BL205" s="2">
        <f t="shared" si="10"/>
        <v>203</v>
      </c>
      <c r="BM205" s="2" t="str">
        <f t="shared" si="7"/>
        <v>Breiðablik</v>
      </c>
      <c r="BN205" s="7">
        <f t="shared" ref="BN205:BO205" si="212">BJ205</f>
        <v>0.8</v>
      </c>
      <c r="BO205" s="2">
        <f t="shared" si="212"/>
        <v>1</v>
      </c>
      <c r="BS205" s="2" t="str">
        <f t="shared" si="9"/>
        <v>Iceland</v>
      </c>
    </row>
    <row r="206" spans="1:71" ht="13.8" x14ac:dyDescent="0.45">
      <c r="A206" s="2" t="str">
        <f ca="1">IFERROR(__xludf.DUMMYFUNCTION("""COMPUTED_VALUE"""),"St. Gallen")</f>
        <v>St. Gallen</v>
      </c>
      <c r="B206" s="2">
        <f ca="1">IFERROR(__xludf.DUMMYFUNCTION("""COMPUTED_VALUE"""),0.82)</f>
        <v>0.82</v>
      </c>
      <c r="C206" s="2" t="str">
        <f ca="1">IFERROR(__xludf.DUMMYFUNCTION("""COMPUTED_VALUE"""),"Switzerland")</f>
        <v>Switzerland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5">
        <f ca="1">IFERROR(__xludf.DUMMYFUNCTION("""COMPUTED_VALUE"""),0)</f>
        <v>0</v>
      </c>
      <c r="P206" s="2">
        <f ca="1">IFERROR(__xludf.DUMMYFUNCTION("""COMPUTED_VALUE"""),0)</f>
        <v>0</v>
      </c>
      <c r="Q206" s="2">
        <f ca="1">IFERROR(__xludf.DUMMYFUNCTION("""COMPUTED_VALUE"""),0)</f>
        <v>0</v>
      </c>
      <c r="R206" s="2">
        <f ca="1">IFERROR(__xludf.DUMMYFUNCTION("""COMPUTED_VALUE"""),0)</f>
        <v>0</v>
      </c>
      <c r="S206" s="2">
        <f ca="1">IFERROR(__xludf.DUMMYFUNCTION("""COMPUTED_VALUE"""),0)</f>
        <v>0</v>
      </c>
      <c r="T206" s="2">
        <f ca="1">IFERROR(__xludf.DUMMYFUNCTION("""COMPUTED_VALUE"""),0)</f>
        <v>0</v>
      </c>
      <c r="U206" s="2">
        <f ca="1">IFERROR(__xludf.DUMMYFUNCTION("""COMPUTED_VALUE"""),0)</f>
        <v>0</v>
      </c>
      <c r="V206" s="2">
        <f ca="1">IFERROR(__xludf.DUMMYFUNCTION("""COMPUTED_VALUE"""),0)</f>
        <v>0</v>
      </c>
      <c r="W206" s="2">
        <f ca="1">IFERROR(__xludf.DUMMYFUNCTION("""COMPUTED_VALUE"""),0)</f>
        <v>0</v>
      </c>
      <c r="X206" s="2">
        <f ca="1">IFERROR(__xludf.DUMMYFUNCTION("""COMPUTED_VALUE"""),0)</f>
        <v>0</v>
      </c>
      <c r="Y206" s="2">
        <f ca="1">IFERROR(__xludf.DUMMYFUNCTION("""COMPUTED_VALUE"""),0)</f>
        <v>0</v>
      </c>
      <c r="AB206" s="2"/>
      <c r="AC206" s="2"/>
      <c r="AD206" s="2"/>
      <c r="AE206" s="2" t="str">
        <f ca="1">IFERROR(__xludf.DUMMYFUNCTION("""COMPUTED_VALUE"""),"X")</f>
        <v>X</v>
      </c>
      <c r="AF206" s="2"/>
      <c r="AG206" s="2"/>
      <c r="AH206" s="2"/>
      <c r="AI206" s="2"/>
      <c r="AJ206" s="2"/>
      <c r="AK206" s="2"/>
      <c r="AL206" s="2"/>
      <c r="AM206" s="2">
        <f ca="1">IFERROR(__xludf.DUMMYFUNCTION("""COMPUTED_VALUE"""),0)</f>
        <v>0</v>
      </c>
      <c r="AN206" s="2">
        <f ca="1">IFERROR(__xludf.DUMMYFUNCTION("""COMPUTED_VALUE"""),0)</f>
        <v>0</v>
      </c>
      <c r="AO206" s="2">
        <f ca="1">IFERROR(__xludf.DUMMYFUNCTION("""COMPUTED_VALUE"""),0)</f>
        <v>0</v>
      </c>
      <c r="AP206" s="2">
        <f ca="1">IFERROR(__xludf.DUMMYFUNCTION("""COMPUTED_VALUE"""),0.715)</f>
        <v>0.71499999999999997</v>
      </c>
      <c r="AQ206" s="2">
        <f ca="1">IFERROR(__xludf.DUMMYFUNCTION("""COMPUTED_VALUE"""),0)</f>
        <v>0</v>
      </c>
      <c r="AR206" s="2">
        <f ca="1">IFERROR(__xludf.DUMMYFUNCTION("""COMPUTED_VALUE"""),0)</f>
        <v>0</v>
      </c>
      <c r="AS206" s="2">
        <f ca="1">IFERROR(__xludf.DUMMYFUNCTION("""COMPUTED_VALUE"""),0)</f>
        <v>0</v>
      </c>
      <c r="AT206" s="2">
        <f ca="1">IFERROR(__xludf.DUMMYFUNCTION("""COMPUTED_VALUE"""),0)</f>
        <v>0</v>
      </c>
      <c r="AU206" s="2">
        <f ca="1">IFERROR(__xludf.DUMMYFUNCTION("""COMPUTED_VALUE"""),0)</f>
        <v>0</v>
      </c>
      <c r="AV206" s="2">
        <f ca="1">IFERROR(__xludf.DUMMYFUNCTION("""COMPUTED_VALUE"""),0)</f>
        <v>0</v>
      </c>
      <c r="AW206" s="2">
        <f ca="1">IFERROR(__xludf.DUMMYFUNCTION("""COMPUTED_VALUE"""),0)</f>
        <v>0</v>
      </c>
      <c r="AY206" s="2">
        <f t="shared" ca="1" si="0"/>
        <v>1</v>
      </c>
      <c r="AZ206" s="2" t="e">
        <f ca="1">IF(NOT(COUNTA(D206:J206)), _xludf.IFS(AL206="W", 'Round Bonuses'!$F$14, AL206="X", 'Round Bonuses'!$F$13, AK206="X", 'Round Bonuses'!$F$12, AJ206="X", 'Round Bonuses'!$F$11, AI206="X", 'Round Bonuses'!$F$10, AH206="X", 'Round Bonuses'!$F$9, AG206="X", 'Round Bonuses'!$F$8, AF206="X", 'Round Bonuses'!$F$7, AE206="X", 'Round Bonuses'!$F$6, AD206="X", 'Round Bonuses'!$F$5, AC206="X", 'Round Bonuses'!$F$4, AB206="X", 'Round Bonuses'!$F$3, TRUE, 0), IF(AA206="X", _xludf.IFS(AD206="X", 'Round Bonuses'!$E$4, AF206="X",'Round Bonuses'!$E$6,TRUE, 'Round Bonuses'!$E$7), 0) +IF(AB206="X", 'Round Bonuses'!$E$3, 0)+IF(AC206="X",'Round Bonuses'!$E$4, 0)+IF(AD206="X", 'Round Bonuses'!$E$5, 0)+IF(AE206="X", 'Round Bonuses'!$E$6, 0)+IF(AF206="X", 'Round Bonuses'!$E$7, 0)+IF(AG206="X", 'Round Bonuses'!$E$8, 0)+_xludf.IFS(AL206="W", 'Round Bonuses'!$G$14, AL206="X", 'Round Bonuses'!$G$13, AK206="X", 'Round Bonuses'!$G$12, AJ206="X", 'Round Bonuses'!$G$11, AI206="X", 'Round Bonuses'!$G$10, AH206="X", 'Round Bonuses'!$G$9, TRUE, 0))+_xludf.IFS(N206="W", 'Round Bonuses'!$C$13, N206="X", 'Round Bonuses'!$C$12, M206="X", 'Round Bonuses'!$C$11, L206="X", 'Round Bonuses'!$C$10, K206="X", 'Round Bonuses'!$C$9, J206="X", 'Round Bonuses'!$C$8, I206="X", 'Round Bonuses'!$C$7, H206="X", 'Round Bonuses'!$C$6, G206="X", 'Round Bonuses'!$C$5, F206="X", 'Round Bonuses'!$C$4, E206="X", 'Round Bonuses'!$C$3, D206="X", 'Round Bonuses'!$C$3, TRUE, 0)</f>
        <v>#NAME?</v>
      </c>
      <c r="BA206" s="2">
        <f t="shared" ca="1" si="1"/>
        <v>0.71499999999999997</v>
      </c>
      <c r="BB206" s="10" t="e">
        <f t="shared" ca="1" si="2"/>
        <v>#NAME?</v>
      </c>
      <c r="BD206" s="11" t="str">
        <f t="shared" ca="1" si="3"/>
        <v>St. Gallen</v>
      </c>
      <c r="BE206" s="2" t="str">
        <f t="shared" ca="1" si="4"/>
        <v>Switzerland</v>
      </c>
      <c r="BF206" s="2" t="e">
        <f t="shared" ca="1" si="5"/>
        <v>#NAME?</v>
      </c>
      <c r="BG206" s="2">
        <f t="shared" ca="1" si="6"/>
        <v>1</v>
      </c>
      <c r="BH206" s="2" t="s">
        <v>274</v>
      </c>
      <c r="BI206" s="2" t="s">
        <v>123</v>
      </c>
      <c r="BJ206" s="7">
        <v>0.78</v>
      </c>
      <c r="BK206" s="2">
        <v>1</v>
      </c>
      <c r="BL206" s="2">
        <f t="shared" si="10"/>
        <v>204</v>
      </c>
      <c r="BM206" s="2" t="str">
        <f t="shared" si="7"/>
        <v>Dinamo Minsk</v>
      </c>
      <c r="BN206" s="7">
        <f t="shared" ref="BN206:BO206" si="213">BJ206</f>
        <v>0.78</v>
      </c>
      <c r="BO206" s="2">
        <f t="shared" si="213"/>
        <v>1</v>
      </c>
      <c r="BS206" s="2" t="str">
        <f t="shared" si="9"/>
        <v>Belarus</v>
      </c>
    </row>
    <row r="207" spans="1:71" ht="13.8" x14ac:dyDescent="0.45">
      <c r="A207" s="2" t="str">
        <f ca="1">IFERROR(__xludf.DUMMYFUNCTION("""COMPUTED_VALUE"""),"Standard Liège")</f>
        <v>Standard Liège</v>
      </c>
      <c r="B207" s="2">
        <f ca="1">IFERROR(__xludf.DUMMYFUNCTION("""COMPUTED_VALUE"""),0.88)</f>
        <v>0.88</v>
      </c>
      <c r="C207" s="2" t="str">
        <f ca="1">IFERROR(__xludf.DUMMYFUNCTION("""COMPUTED_VALUE"""),"Belgium")</f>
        <v>Belgium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5">
        <f ca="1">IFERROR(__xludf.DUMMYFUNCTION("""COMPUTED_VALUE"""),0)</f>
        <v>0</v>
      </c>
      <c r="P207" s="2">
        <f ca="1">IFERROR(__xludf.DUMMYFUNCTION("""COMPUTED_VALUE"""),0)</f>
        <v>0</v>
      </c>
      <c r="Q207" s="2">
        <f ca="1">IFERROR(__xludf.DUMMYFUNCTION("""COMPUTED_VALUE"""),0)</f>
        <v>0</v>
      </c>
      <c r="R207" s="2">
        <f ca="1">IFERROR(__xludf.DUMMYFUNCTION("""COMPUTED_VALUE"""),0)</f>
        <v>0</v>
      </c>
      <c r="S207" s="2">
        <f ca="1">IFERROR(__xludf.DUMMYFUNCTION("""COMPUTED_VALUE"""),0)</f>
        <v>0</v>
      </c>
      <c r="T207" s="2">
        <f ca="1">IFERROR(__xludf.DUMMYFUNCTION("""COMPUTED_VALUE"""),0)</f>
        <v>0</v>
      </c>
      <c r="U207" s="2">
        <f ca="1">IFERROR(__xludf.DUMMYFUNCTION("""COMPUTED_VALUE"""),0)</f>
        <v>0</v>
      </c>
      <c r="V207" s="2">
        <f ca="1">IFERROR(__xludf.DUMMYFUNCTION("""COMPUTED_VALUE"""),0)</f>
        <v>0</v>
      </c>
      <c r="W207" s="2">
        <f ca="1">IFERROR(__xludf.DUMMYFUNCTION("""COMPUTED_VALUE"""),0)</f>
        <v>0</v>
      </c>
      <c r="X207" s="2">
        <f ca="1">IFERROR(__xludf.DUMMYFUNCTION("""COMPUTED_VALUE"""),0)</f>
        <v>0</v>
      </c>
      <c r="Y207" s="2">
        <f ca="1">IFERROR(__xludf.DUMMYFUNCTION("""COMPUTED_VALUE"""),0)</f>
        <v>0</v>
      </c>
      <c r="AB207" s="2"/>
      <c r="AC207" s="2"/>
      <c r="AD207" s="2" t="str">
        <f ca="1">IFERROR(__xludf.DUMMYFUNCTION("""COMPUTED_VALUE"""),"X")</f>
        <v>X</v>
      </c>
      <c r="AE207" s="2" t="str">
        <f ca="1">IFERROR(__xludf.DUMMYFUNCTION("""COMPUTED_VALUE"""),"X")</f>
        <v>X</v>
      </c>
      <c r="AF207" s="2" t="str">
        <f ca="1">IFERROR(__xludf.DUMMYFUNCTION("""COMPUTED_VALUE"""),"X")</f>
        <v>X</v>
      </c>
      <c r="AG207" s="2" t="str">
        <f ca="1">IFERROR(__xludf.DUMMYFUNCTION("""COMPUTED_VALUE"""),"X")</f>
        <v>X</v>
      </c>
      <c r="AH207" s="2"/>
      <c r="AI207" s="2"/>
      <c r="AJ207" s="2"/>
      <c r="AK207" s="2"/>
      <c r="AL207" s="2"/>
      <c r="AM207" s="2">
        <f ca="1">IFERROR(__xludf.DUMMYFUNCTION("""COMPUTED_VALUE"""),0)</f>
        <v>0</v>
      </c>
      <c r="AN207" s="2">
        <f ca="1">IFERROR(__xludf.DUMMYFUNCTION("""COMPUTED_VALUE"""),0)</f>
        <v>0</v>
      </c>
      <c r="AO207" s="2">
        <f ca="1">IFERROR(__xludf.DUMMYFUNCTION("""COMPUTED_VALUE"""),2.125)</f>
        <v>2.125</v>
      </c>
      <c r="AP207" s="2">
        <f ca="1">IFERROR(__xludf.DUMMYFUNCTION("""COMPUTED_VALUE"""),3.25875)</f>
        <v>3.25875</v>
      </c>
      <c r="AQ207" s="2">
        <f ca="1">IFERROR(__xludf.DUMMYFUNCTION("""COMPUTED_VALUE"""),2.80499999999999)</f>
        <v>2.8049999999999899</v>
      </c>
      <c r="AR207" s="2">
        <f ca="1">IFERROR(__xludf.DUMMYFUNCTION("""COMPUTED_VALUE"""),7.1325)</f>
        <v>7.1325000000000003</v>
      </c>
      <c r="AS207" s="2">
        <f ca="1">IFERROR(__xludf.DUMMYFUNCTION("""COMPUTED_VALUE"""),0)</f>
        <v>0</v>
      </c>
      <c r="AT207" s="2">
        <f ca="1">IFERROR(__xludf.DUMMYFUNCTION("""COMPUTED_VALUE"""),0)</f>
        <v>0</v>
      </c>
      <c r="AU207" s="2">
        <f ca="1">IFERROR(__xludf.DUMMYFUNCTION("""COMPUTED_VALUE"""),0)</f>
        <v>0</v>
      </c>
      <c r="AV207" s="2">
        <f ca="1">IFERROR(__xludf.DUMMYFUNCTION("""COMPUTED_VALUE"""),0)</f>
        <v>0</v>
      </c>
      <c r="AW207" s="2">
        <f ca="1">IFERROR(__xludf.DUMMYFUNCTION("""COMPUTED_VALUE"""),0)</f>
        <v>0</v>
      </c>
      <c r="AY207" s="2">
        <f t="shared" ca="1" si="0"/>
        <v>9</v>
      </c>
      <c r="AZ207" s="2" t="e">
        <f ca="1">IF(NOT(COUNTA(D207:J207)), _xludf.IFS(AL207="W", 'Round Bonuses'!$F$14, AL207="X", 'Round Bonuses'!$F$13, AK207="X", 'Round Bonuses'!$F$12, AJ207="X", 'Round Bonuses'!$F$11, AI207="X", 'Round Bonuses'!$F$10, AH207="X", 'Round Bonuses'!$F$9, AG207="X", 'Round Bonuses'!$F$8, AF207="X", 'Round Bonuses'!$F$7, AE207="X", 'Round Bonuses'!$F$6, AD207="X", 'Round Bonuses'!$F$5, AC207="X", 'Round Bonuses'!$F$4, AB207="X", 'Round Bonuses'!$F$3, TRUE, 0), IF(AA207="X", _xludf.IFS(AD207="X", 'Round Bonuses'!$E$4, AF207="X",'Round Bonuses'!$E$6,TRUE, 'Round Bonuses'!$E$7), 0) +IF(AB207="X", 'Round Bonuses'!$E$3, 0)+IF(AC207="X",'Round Bonuses'!$E$4, 0)+IF(AD207="X", 'Round Bonuses'!$E$5, 0)+IF(AE207="X", 'Round Bonuses'!$E$6, 0)+IF(AF207="X", 'Round Bonuses'!$E$7, 0)+IF(AG207="X", 'Round Bonuses'!$E$8, 0)+_xludf.IFS(AL207="W", 'Round Bonuses'!$G$14, AL207="X", 'Round Bonuses'!$G$13, AK207="X", 'Round Bonuses'!$G$12, AJ207="X", 'Round Bonuses'!$G$11, AI207="X", 'Round Bonuses'!$G$10, AH207="X", 'Round Bonuses'!$G$9, TRUE, 0))+_xludf.IFS(N207="W", 'Round Bonuses'!$C$13, N207="X", 'Round Bonuses'!$C$12, M207="X", 'Round Bonuses'!$C$11, L207="X", 'Round Bonuses'!$C$10, K207="X", 'Round Bonuses'!$C$9, J207="X", 'Round Bonuses'!$C$8, I207="X", 'Round Bonuses'!$C$7, H207="X", 'Round Bonuses'!$C$6, G207="X", 'Round Bonuses'!$C$5, F207="X", 'Round Bonuses'!$C$4, E207="X", 'Round Bonuses'!$C$3, D207="X", 'Round Bonuses'!$C$3, TRUE, 0)</f>
        <v>#NAME?</v>
      </c>
      <c r="BA207" s="2">
        <f t="shared" ca="1" si="1"/>
        <v>15.32124999999999</v>
      </c>
      <c r="BB207" s="10" t="e">
        <f t="shared" ca="1" si="2"/>
        <v>#NAME?</v>
      </c>
      <c r="BD207" s="11" t="str">
        <f t="shared" ca="1" si="3"/>
        <v>Standard Liège</v>
      </c>
      <c r="BE207" s="2" t="str">
        <f t="shared" ca="1" si="4"/>
        <v>Belgium</v>
      </c>
      <c r="BF207" s="2" t="e">
        <f t="shared" ca="1" si="5"/>
        <v>#NAME?</v>
      </c>
      <c r="BG207" s="2">
        <f t="shared" ca="1" si="6"/>
        <v>9</v>
      </c>
      <c r="BH207" s="2" t="s">
        <v>275</v>
      </c>
      <c r="BI207" s="2" t="s">
        <v>159</v>
      </c>
      <c r="BJ207" s="7">
        <v>0.77</v>
      </c>
      <c r="BK207" s="2">
        <v>1</v>
      </c>
      <c r="BL207" s="2">
        <f t="shared" si="10"/>
        <v>205</v>
      </c>
      <c r="BM207" s="2" t="str">
        <f t="shared" si="7"/>
        <v>Maribor</v>
      </c>
      <c r="BN207" s="7">
        <f t="shared" ref="BN207:BO207" si="214">BJ207</f>
        <v>0.77</v>
      </c>
      <c r="BO207" s="2">
        <f t="shared" si="214"/>
        <v>1</v>
      </c>
      <c r="BS207" s="2" t="str">
        <f t="shared" si="9"/>
        <v>Slovenia</v>
      </c>
    </row>
    <row r="208" spans="1:71" ht="13.8" x14ac:dyDescent="0.45">
      <c r="A208" s="2" t="str">
        <f ca="1">IFERROR(__xludf.DUMMYFUNCTION("""COMPUTED_VALUE"""),"Sūduva")</f>
        <v>Sūduva</v>
      </c>
      <c r="B208" s="2">
        <f ca="1">IFERROR(__xludf.DUMMYFUNCTION("""COMPUTED_VALUE"""),0.59)</f>
        <v>0.59</v>
      </c>
      <c r="C208" s="2" t="str">
        <f ca="1">IFERROR(__xludf.DUMMYFUNCTION("""COMPUTED_VALUE"""),"Lithuania")</f>
        <v>Lithuania</v>
      </c>
      <c r="D208" s="2"/>
      <c r="E208" s="2"/>
      <c r="F208" s="2" t="str">
        <f ca="1">IFERROR(__xludf.DUMMYFUNCTION("""COMPUTED_VALUE"""),"X")</f>
        <v>X</v>
      </c>
      <c r="G208" s="2" t="str">
        <f ca="1">IFERROR(__xludf.DUMMYFUNCTION("""COMPUTED_VALUE"""),"X")</f>
        <v>X</v>
      </c>
      <c r="H208" s="2"/>
      <c r="I208" s="2"/>
      <c r="J208" s="2"/>
      <c r="K208" s="2"/>
      <c r="L208" s="2"/>
      <c r="M208" s="2"/>
      <c r="N208" s="2"/>
      <c r="O208" s="5">
        <f ca="1">IFERROR(__xludf.DUMMYFUNCTION("""COMPUTED_VALUE"""),0)</f>
        <v>0</v>
      </c>
      <c r="P208" s="2">
        <f ca="1">IFERROR(__xludf.DUMMYFUNCTION("""COMPUTED_VALUE"""),0)</f>
        <v>0</v>
      </c>
      <c r="Q208" s="2">
        <f ca="1">IFERROR(__xludf.DUMMYFUNCTION("""COMPUTED_VALUE"""),1.89)</f>
        <v>1.89</v>
      </c>
      <c r="R208" s="2">
        <f ca="1">IFERROR(__xludf.DUMMYFUNCTION("""COMPUTED_VALUE"""),0.355)</f>
        <v>0.35499999999999998</v>
      </c>
      <c r="S208" s="2">
        <f ca="1">IFERROR(__xludf.DUMMYFUNCTION("""COMPUTED_VALUE"""),0)</f>
        <v>0</v>
      </c>
      <c r="T208" s="2">
        <f ca="1">IFERROR(__xludf.DUMMYFUNCTION("""COMPUTED_VALUE"""),0)</f>
        <v>0</v>
      </c>
      <c r="U208" s="2">
        <f ca="1">IFERROR(__xludf.DUMMYFUNCTION("""COMPUTED_VALUE"""),0)</f>
        <v>0</v>
      </c>
      <c r="V208" s="2">
        <f ca="1">IFERROR(__xludf.DUMMYFUNCTION("""COMPUTED_VALUE"""),0)</f>
        <v>0</v>
      </c>
      <c r="W208" s="2">
        <f ca="1">IFERROR(__xludf.DUMMYFUNCTION("""COMPUTED_VALUE"""),0)</f>
        <v>0</v>
      </c>
      <c r="X208" s="2">
        <f ca="1">IFERROR(__xludf.DUMMYFUNCTION("""COMPUTED_VALUE"""),0)</f>
        <v>0</v>
      </c>
      <c r="Y208" s="2">
        <f ca="1">IFERROR(__xludf.DUMMYFUNCTION("""COMPUTED_VALUE"""),0)</f>
        <v>0</v>
      </c>
      <c r="AB208" s="2"/>
      <c r="AC208" s="2"/>
      <c r="AD208" s="2"/>
      <c r="AE208" s="2" t="str">
        <f ca="1">IFERROR(__xludf.DUMMYFUNCTION("""COMPUTED_VALUE"""),"X")</f>
        <v>X</v>
      </c>
      <c r="AF208" s="2"/>
      <c r="AG208" s="2"/>
      <c r="AH208" s="2"/>
      <c r="AI208" s="2"/>
      <c r="AJ208" s="2"/>
      <c r="AK208" s="2"/>
      <c r="AL208" s="2"/>
      <c r="AM208" s="2">
        <f ca="1">IFERROR(__xludf.DUMMYFUNCTION("""COMPUTED_VALUE"""),0)</f>
        <v>0</v>
      </c>
      <c r="AN208" s="2">
        <f ca="1">IFERROR(__xludf.DUMMYFUNCTION("""COMPUTED_VALUE"""),0)</f>
        <v>0</v>
      </c>
      <c r="AO208" s="2">
        <f ca="1">IFERROR(__xludf.DUMMYFUNCTION("""COMPUTED_VALUE"""),0)</f>
        <v>0</v>
      </c>
      <c r="AP208" s="2">
        <f ca="1">IFERROR(__xludf.DUMMYFUNCTION("""COMPUTED_VALUE"""),0.37)</f>
        <v>0.37</v>
      </c>
      <c r="AQ208" s="2">
        <f ca="1">IFERROR(__xludf.DUMMYFUNCTION("""COMPUTED_VALUE"""),0)</f>
        <v>0</v>
      </c>
      <c r="AR208" s="2">
        <f ca="1">IFERROR(__xludf.DUMMYFUNCTION("""COMPUTED_VALUE"""),0)</f>
        <v>0</v>
      </c>
      <c r="AS208" s="2">
        <f ca="1">IFERROR(__xludf.DUMMYFUNCTION("""COMPUTED_VALUE"""),0)</f>
        <v>0</v>
      </c>
      <c r="AT208" s="2">
        <f ca="1">IFERROR(__xludf.DUMMYFUNCTION("""COMPUTED_VALUE"""),0)</f>
        <v>0</v>
      </c>
      <c r="AU208" s="2">
        <f ca="1">IFERROR(__xludf.DUMMYFUNCTION("""COMPUTED_VALUE"""),0)</f>
        <v>0</v>
      </c>
      <c r="AV208" s="2">
        <f ca="1">IFERROR(__xludf.DUMMYFUNCTION("""COMPUTED_VALUE"""),0)</f>
        <v>0</v>
      </c>
      <c r="AW208" s="2">
        <f ca="1">IFERROR(__xludf.DUMMYFUNCTION("""COMPUTED_VALUE"""),0)</f>
        <v>0</v>
      </c>
      <c r="AY208" s="2">
        <f t="shared" ca="1" si="0"/>
        <v>3</v>
      </c>
      <c r="AZ208" s="2" t="e">
        <f ca="1">IF(NOT(COUNTA(D208:J208)), _xludf.IFS(AL208="W", 'Round Bonuses'!$F$14, AL208="X", 'Round Bonuses'!$F$13, AK208="X", 'Round Bonuses'!$F$12, AJ208="X", 'Round Bonuses'!$F$11, AI208="X", 'Round Bonuses'!$F$10, AH208="X", 'Round Bonuses'!$F$9, AG208="X", 'Round Bonuses'!$F$8, AF208="X", 'Round Bonuses'!$F$7, AE208="X", 'Round Bonuses'!$F$6, AD208="X", 'Round Bonuses'!$F$5, AC208="X", 'Round Bonuses'!$F$4, AB208="X", 'Round Bonuses'!$F$3, TRUE, 0), IF(AA208="X", _xludf.IFS(AD208="X", 'Round Bonuses'!$E$4, AF208="X",'Round Bonuses'!$E$6,TRUE, 'Round Bonuses'!$E$7), 0) +IF(AB208="X", 'Round Bonuses'!$E$3, 0)+IF(AC208="X",'Round Bonuses'!$E$4, 0)+IF(AD208="X", 'Round Bonuses'!$E$5, 0)+IF(AE208="X", 'Round Bonuses'!$E$6, 0)+IF(AF208="X", 'Round Bonuses'!$E$7, 0)+IF(AG208="X", 'Round Bonuses'!$E$8, 0)+_xludf.IFS(AL208="W", 'Round Bonuses'!$G$14, AL208="X", 'Round Bonuses'!$G$13, AK208="X", 'Round Bonuses'!$G$12, AJ208="X", 'Round Bonuses'!$G$11, AI208="X", 'Round Bonuses'!$G$10, AH208="X", 'Round Bonuses'!$G$9, TRUE, 0))+_xludf.IFS(N208="W", 'Round Bonuses'!$C$13, N208="X", 'Round Bonuses'!$C$12, M208="X", 'Round Bonuses'!$C$11, L208="X", 'Round Bonuses'!$C$10, K208="X", 'Round Bonuses'!$C$9, J208="X", 'Round Bonuses'!$C$8, I208="X", 'Round Bonuses'!$C$7, H208="X", 'Round Bonuses'!$C$6, G208="X", 'Round Bonuses'!$C$5, F208="X", 'Round Bonuses'!$C$4, E208="X", 'Round Bonuses'!$C$3, D208="X", 'Round Bonuses'!$C$3, TRUE, 0)</f>
        <v>#NAME?</v>
      </c>
      <c r="BA208" s="2">
        <f t="shared" ca="1" si="1"/>
        <v>2.6150000000000002</v>
      </c>
      <c r="BB208" s="10" t="e">
        <f t="shared" ca="1" si="2"/>
        <v>#NAME?</v>
      </c>
      <c r="BD208" s="11" t="str">
        <f t="shared" ca="1" si="3"/>
        <v>Sūduva</v>
      </c>
      <c r="BE208" s="2" t="str">
        <f t="shared" ca="1" si="4"/>
        <v>Lithuania</v>
      </c>
      <c r="BF208" s="2" t="e">
        <f t="shared" ca="1" si="5"/>
        <v>#NAME?</v>
      </c>
      <c r="BG208" s="2">
        <f t="shared" ca="1" si="6"/>
        <v>3</v>
      </c>
      <c r="BH208" s="2" t="s">
        <v>276</v>
      </c>
      <c r="BI208" s="2" t="s">
        <v>141</v>
      </c>
      <c r="BJ208" s="7">
        <v>0.77</v>
      </c>
      <c r="BK208" s="2">
        <v>1</v>
      </c>
      <c r="BL208" s="2">
        <f t="shared" si="10"/>
        <v>206</v>
      </c>
      <c r="BM208" s="2" t="str">
        <f t="shared" si="7"/>
        <v>Željezničar</v>
      </c>
      <c r="BN208" s="7">
        <f t="shared" ref="BN208:BO208" si="215">BJ208</f>
        <v>0.77</v>
      </c>
      <c r="BO208" s="2">
        <f t="shared" si="215"/>
        <v>1</v>
      </c>
      <c r="BS208" s="2" t="str">
        <f t="shared" si="9"/>
        <v>Bosnia and Herzegovina</v>
      </c>
    </row>
    <row r="209" spans="1:71" ht="13.8" x14ac:dyDescent="0.45">
      <c r="A209" s="2" t="str">
        <f ca="1">IFERROR(__xludf.DUMMYFUNCTION("""COMPUTED_VALUE"""),"Sumgayit")</f>
        <v>Sumgayit</v>
      </c>
      <c r="B209" s="2">
        <f ca="1">IFERROR(__xludf.DUMMYFUNCTION("""COMPUTED_VALUE"""),0.71)</f>
        <v>0.71</v>
      </c>
      <c r="C209" s="2" t="str">
        <f ca="1">IFERROR(__xludf.DUMMYFUNCTION("""COMPUTED_VALUE"""),"Azerbaijan")</f>
        <v>Azerbaijan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5">
        <f ca="1">IFERROR(__xludf.DUMMYFUNCTION("""COMPUTED_VALUE"""),0)</f>
        <v>0</v>
      </c>
      <c r="P209" s="2">
        <f ca="1">IFERROR(__xludf.DUMMYFUNCTION("""COMPUTED_VALUE"""),0)</f>
        <v>0</v>
      </c>
      <c r="Q209" s="2">
        <f ca="1">IFERROR(__xludf.DUMMYFUNCTION("""COMPUTED_VALUE"""),0)</f>
        <v>0</v>
      </c>
      <c r="R209" s="2">
        <f ca="1">IFERROR(__xludf.DUMMYFUNCTION("""COMPUTED_VALUE"""),0)</f>
        <v>0</v>
      </c>
      <c r="S209" s="2">
        <f ca="1">IFERROR(__xludf.DUMMYFUNCTION("""COMPUTED_VALUE"""),0)</f>
        <v>0</v>
      </c>
      <c r="T209" s="2">
        <f ca="1">IFERROR(__xludf.DUMMYFUNCTION("""COMPUTED_VALUE"""),0)</f>
        <v>0</v>
      </c>
      <c r="U209" s="2">
        <f ca="1">IFERROR(__xludf.DUMMYFUNCTION("""COMPUTED_VALUE"""),0)</f>
        <v>0</v>
      </c>
      <c r="V209" s="2">
        <f ca="1">IFERROR(__xludf.DUMMYFUNCTION("""COMPUTED_VALUE"""),0)</f>
        <v>0</v>
      </c>
      <c r="W209" s="2">
        <f ca="1">IFERROR(__xludf.DUMMYFUNCTION("""COMPUTED_VALUE"""),0)</f>
        <v>0</v>
      </c>
      <c r="X209" s="2">
        <f ca="1">IFERROR(__xludf.DUMMYFUNCTION("""COMPUTED_VALUE"""),0)</f>
        <v>0</v>
      </c>
      <c r="Y209" s="2">
        <f ca="1">IFERROR(__xludf.DUMMYFUNCTION("""COMPUTED_VALUE"""),0)</f>
        <v>0</v>
      </c>
      <c r="AB209" s="2"/>
      <c r="AC209" s="2" t="str">
        <f ca="1">IFERROR(__xludf.DUMMYFUNCTION("""COMPUTED_VALUE"""),"X")</f>
        <v>X</v>
      </c>
      <c r="AD209" s="2"/>
      <c r="AE209" s="2"/>
      <c r="AF209" s="2"/>
      <c r="AG209" s="2"/>
      <c r="AH209" s="2"/>
      <c r="AI209" s="2"/>
      <c r="AJ209" s="2"/>
      <c r="AK209" s="2"/>
      <c r="AL209" s="2"/>
      <c r="AM209" s="2">
        <f ca="1">IFERROR(__xludf.DUMMYFUNCTION("""COMPUTED_VALUE"""),0)</f>
        <v>0</v>
      </c>
      <c r="AN209" s="2">
        <f ca="1">IFERROR(__xludf.DUMMYFUNCTION("""COMPUTED_VALUE"""),0.389999999999999)</f>
        <v>0.38999999999999901</v>
      </c>
      <c r="AO209" s="2">
        <f ca="1">IFERROR(__xludf.DUMMYFUNCTION("""COMPUTED_VALUE"""),0)</f>
        <v>0</v>
      </c>
      <c r="AP209" s="2">
        <f ca="1">IFERROR(__xludf.DUMMYFUNCTION("""COMPUTED_VALUE"""),0)</f>
        <v>0</v>
      </c>
      <c r="AQ209" s="2">
        <f ca="1">IFERROR(__xludf.DUMMYFUNCTION("""COMPUTED_VALUE"""),0)</f>
        <v>0</v>
      </c>
      <c r="AR209" s="2">
        <f ca="1">IFERROR(__xludf.DUMMYFUNCTION("""COMPUTED_VALUE"""),0)</f>
        <v>0</v>
      </c>
      <c r="AS209" s="2">
        <f ca="1">IFERROR(__xludf.DUMMYFUNCTION("""COMPUTED_VALUE"""),0)</f>
        <v>0</v>
      </c>
      <c r="AT209" s="2">
        <f ca="1">IFERROR(__xludf.DUMMYFUNCTION("""COMPUTED_VALUE"""),0)</f>
        <v>0</v>
      </c>
      <c r="AU209" s="2">
        <f ca="1">IFERROR(__xludf.DUMMYFUNCTION("""COMPUTED_VALUE"""),0)</f>
        <v>0</v>
      </c>
      <c r="AV209" s="2">
        <f ca="1">IFERROR(__xludf.DUMMYFUNCTION("""COMPUTED_VALUE"""),0)</f>
        <v>0</v>
      </c>
      <c r="AW209" s="2">
        <f ca="1">IFERROR(__xludf.DUMMYFUNCTION("""COMPUTED_VALUE"""),0)</f>
        <v>0</v>
      </c>
      <c r="AY209" s="2">
        <f t="shared" ca="1" si="0"/>
        <v>1</v>
      </c>
      <c r="AZ209" s="2" t="e">
        <f ca="1">IF(NOT(COUNTA(D209:J209)), _xludf.IFS(AL209="W", 'Round Bonuses'!$F$14, AL209="X", 'Round Bonuses'!$F$13, AK209="X", 'Round Bonuses'!$F$12, AJ209="X", 'Round Bonuses'!$F$11, AI209="X", 'Round Bonuses'!$F$10, AH209="X", 'Round Bonuses'!$F$9, AG209="X", 'Round Bonuses'!$F$8, AF209="X", 'Round Bonuses'!$F$7, AE209="X", 'Round Bonuses'!$F$6, AD209="X", 'Round Bonuses'!$F$5, AC209="X", 'Round Bonuses'!$F$4, AB209="X", 'Round Bonuses'!$F$3, TRUE, 0), IF(AA209="X", _xludf.IFS(AD209="X", 'Round Bonuses'!$E$4, AF209="X",'Round Bonuses'!$E$6,TRUE, 'Round Bonuses'!$E$7), 0) +IF(AB209="X", 'Round Bonuses'!$E$3, 0)+IF(AC209="X",'Round Bonuses'!$E$4, 0)+IF(AD209="X", 'Round Bonuses'!$E$5, 0)+IF(AE209="X", 'Round Bonuses'!$E$6, 0)+IF(AF209="X", 'Round Bonuses'!$E$7, 0)+IF(AG209="X", 'Round Bonuses'!$E$8, 0)+_xludf.IFS(AL209="W", 'Round Bonuses'!$G$14, AL209="X", 'Round Bonuses'!$G$13, AK209="X", 'Round Bonuses'!$G$12, AJ209="X", 'Round Bonuses'!$G$11, AI209="X", 'Round Bonuses'!$G$10, AH209="X", 'Round Bonuses'!$G$9, TRUE, 0))+_xludf.IFS(N209="W", 'Round Bonuses'!$C$13, N209="X", 'Round Bonuses'!$C$12, M209="X", 'Round Bonuses'!$C$11, L209="X", 'Round Bonuses'!$C$10, K209="X", 'Round Bonuses'!$C$9, J209="X", 'Round Bonuses'!$C$8, I209="X", 'Round Bonuses'!$C$7, H209="X", 'Round Bonuses'!$C$6, G209="X", 'Round Bonuses'!$C$5, F209="X", 'Round Bonuses'!$C$4, E209="X", 'Round Bonuses'!$C$3, D209="X", 'Round Bonuses'!$C$3, TRUE, 0)</f>
        <v>#NAME?</v>
      </c>
      <c r="BA209" s="2">
        <f t="shared" ca="1" si="1"/>
        <v>0.38999999999999901</v>
      </c>
      <c r="BB209" s="10" t="e">
        <f t="shared" ca="1" si="2"/>
        <v>#NAME?</v>
      </c>
      <c r="BD209" s="11" t="str">
        <f t="shared" ca="1" si="3"/>
        <v>Sumgayit</v>
      </c>
      <c r="BE209" s="2" t="str">
        <f t="shared" ca="1" si="4"/>
        <v>Azerbaijan</v>
      </c>
      <c r="BF209" s="2" t="e">
        <f t="shared" ca="1" si="5"/>
        <v>#NAME?</v>
      </c>
      <c r="BG209" s="2">
        <f t="shared" ca="1" si="6"/>
        <v>1</v>
      </c>
      <c r="BH209" s="2" t="s">
        <v>277</v>
      </c>
      <c r="BI209" s="2" t="s">
        <v>121</v>
      </c>
      <c r="BJ209" s="7">
        <v>0.74499999999999988</v>
      </c>
      <c r="BK209" s="2">
        <v>1</v>
      </c>
      <c r="BL209" s="2">
        <f t="shared" si="10"/>
        <v>207</v>
      </c>
      <c r="BM209" s="2" t="str">
        <f t="shared" si="7"/>
        <v>Derry City</v>
      </c>
      <c r="BN209" s="7">
        <f t="shared" ref="BN209:BO209" si="216">BJ209</f>
        <v>0.74499999999999988</v>
      </c>
      <c r="BO209" s="2">
        <f t="shared" si="216"/>
        <v>1</v>
      </c>
      <c r="BS209" s="2" t="str">
        <f t="shared" si="9"/>
        <v>Republic of Ireland</v>
      </c>
    </row>
    <row r="210" spans="1:71" ht="13.8" x14ac:dyDescent="0.45">
      <c r="A210" s="2" t="str">
        <f ca="1">IFERROR(__xludf.DUMMYFUNCTION("""COMPUTED_VALUE"""),"Sutjeska Nikšić")</f>
        <v>Sutjeska Nikšić</v>
      </c>
      <c r="B210" s="2">
        <f ca="1">IFERROR(__xludf.DUMMYFUNCTION("""COMPUTED_VALUE"""),0.5)</f>
        <v>0.5</v>
      </c>
      <c r="C210" s="2" t="str">
        <f ca="1">IFERROR(__xludf.DUMMYFUNCTION("""COMPUTED_VALUE"""),"Montenegro")</f>
        <v>Montenegro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5">
        <f ca="1">IFERROR(__xludf.DUMMYFUNCTION("""COMPUTED_VALUE"""),0)</f>
        <v>0</v>
      </c>
      <c r="P210" s="2">
        <f ca="1">IFERROR(__xludf.DUMMYFUNCTION("""COMPUTED_VALUE"""),0)</f>
        <v>0</v>
      </c>
      <c r="Q210" s="2">
        <f ca="1">IFERROR(__xludf.DUMMYFUNCTION("""COMPUTED_VALUE"""),0)</f>
        <v>0</v>
      </c>
      <c r="R210" s="2">
        <f ca="1">IFERROR(__xludf.DUMMYFUNCTION("""COMPUTED_VALUE"""),0)</f>
        <v>0</v>
      </c>
      <c r="S210" s="2">
        <f ca="1">IFERROR(__xludf.DUMMYFUNCTION("""COMPUTED_VALUE"""),0)</f>
        <v>0</v>
      </c>
      <c r="T210" s="2">
        <f ca="1">IFERROR(__xludf.DUMMYFUNCTION("""COMPUTED_VALUE"""),0)</f>
        <v>0</v>
      </c>
      <c r="U210" s="2">
        <f ca="1">IFERROR(__xludf.DUMMYFUNCTION("""COMPUTED_VALUE"""),0)</f>
        <v>0</v>
      </c>
      <c r="V210" s="2">
        <f ca="1">IFERROR(__xludf.DUMMYFUNCTION("""COMPUTED_VALUE"""),0)</f>
        <v>0</v>
      </c>
      <c r="W210" s="2">
        <f ca="1">IFERROR(__xludf.DUMMYFUNCTION("""COMPUTED_VALUE"""),0)</f>
        <v>0</v>
      </c>
      <c r="X210" s="2">
        <f ca="1">IFERROR(__xludf.DUMMYFUNCTION("""COMPUTED_VALUE"""),0)</f>
        <v>0</v>
      </c>
      <c r="Y210" s="2">
        <f ca="1">IFERROR(__xludf.DUMMYFUNCTION("""COMPUTED_VALUE"""),0)</f>
        <v>0</v>
      </c>
      <c r="AB210" s="2"/>
      <c r="AC210" s="2" t="str">
        <f ca="1">IFERROR(__xludf.DUMMYFUNCTION("""COMPUTED_VALUE"""),"X")</f>
        <v>X</v>
      </c>
      <c r="AD210" s="2"/>
      <c r="AE210" s="2"/>
      <c r="AF210" s="2"/>
      <c r="AG210" s="2"/>
      <c r="AH210" s="2"/>
      <c r="AI210" s="2"/>
      <c r="AJ210" s="2"/>
      <c r="AK210" s="2"/>
      <c r="AL210" s="2"/>
      <c r="AM210" s="2">
        <f ca="1">IFERROR(__xludf.DUMMYFUNCTION("""COMPUTED_VALUE"""),0)</f>
        <v>0</v>
      </c>
      <c r="AN210" s="2">
        <f ca="1">IFERROR(__xludf.DUMMYFUNCTION("""COMPUTED_VALUE"""),0.444999999999999)</f>
        <v>0.44499999999999901</v>
      </c>
      <c r="AO210" s="2">
        <f ca="1">IFERROR(__xludf.DUMMYFUNCTION("""COMPUTED_VALUE"""),0)</f>
        <v>0</v>
      </c>
      <c r="AP210" s="2">
        <f ca="1">IFERROR(__xludf.DUMMYFUNCTION("""COMPUTED_VALUE"""),0)</f>
        <v>0</v>
      </c>
      <c r="AQ210" s="2">
        <f ca="1">IFERROR(__xludf.DUMMYFUNCTION("""COMPUTED_VALUE"""),0)</f>
        <v>0</v>
      </c>
      <c r="AR210" s="2">
        <f ca="1">IFERROR(__xludf.DUMMYFUNCTION("""COMPUTED_VALUE"""),0)</f>
        <v>0</v>
      </c>
      <c r="AS210" s="2">
        <f ca="1">IFERROR(__xludf.DUMMYFUNCTION("""COMPUTED_VALUE"""),0)</f>
        <v>0</v>
      </c>
      <c r="AT210" s="2">
        <f ca="1">IFERROR(__xludf.DUMMYFUNCTION("""COMPUTED_VALUE"""),0)</f>
        <v>0</v>
      </c>
      <c r="AU210" s="2">
        <f ca="1">IFERROR(__xludf.DUMMYFUNCTION("""COMPUTED_VALUE"""),0)</f>
        <v>0</v>
      </c>
      <c r="AV210" s="2">
        <f ca="1">IFERROR(__xludf.DUMMYFUNCTION("""COMPUTED_VALUE"""),0)</f>
        <v>0</v>
      </c>
      <c r="AW210" s="2">
        <f ca="1">IFERROR(__xludf.DUMMYFUNCTION("""COMPUTED_VALUE"""),0)</f>
        <v>0</v>
      </c>
      <c r="AY210" s="2">
        <f t="shared" ca="1" si="0"/>
        <v>1</v>
      </c>
      <c r="AZ210" s="2" t="e">
        <f ca="1">IF(NOT(COUNTA(D210:J210)), _xludf.IFS(AL210="W", 'Round Bonuses'!$F$14, AL210="X", 'Round Bonuses'!$F$13, AK210="X", 'Round Bonuses'!$F$12, AJ210="X", 'Round Bonuses'!$F$11, AI210="X", 'Round Bonuses'!$F$10, AH210="X", 'Round Bonuses'!$F$9, AG210="X", 'Round Bonuses'!$F$8, AF210="X", 'Round Bonuses'!$F$7, AE210="X", 'Round Bonuses'!$F$6, AD210="X", 'Round Bonuses'!$F$5, AC210="X", 'Round Bonuses'!$F$4, AB210="X", 'Round Bonuses'!$F$3, TRUE, 0), IF(AA210="X", _xludf.IFS(AD210="X", 'Round Bonuses'!$E$4, AF210="X",'Round Bonuses'!$E$6,TRUE, 'Round Bonuses'!$E$7), 0) +IF(AB210="X", 'Round Bonuses'!$E$3, 0)+IF(AC210="X",'Round Bonuses'!$E$4, 0)+IF(AD210="X", 'Round Bonuses'!$E$5, 0)+IF(AE210="X", 'Round Bonuses'!$E$6, 0)+IF(AF210="X", 'Round Bonuses'!$E$7, 0)+IF(AG210="X", 'Round Bonuses'!$E$8, 0)+_xludf.IFS(AL210="W", 'Round Bonuses'!$G$14, AL210="X", 'Round Bonuses'!$G$13, AK210="X", 'Round Bonuses'!$G$12, AJ210="X", 'Round Bonuses'!$G$11, AI210="X", 'Round Bonuses'!$G$10, AH210="X", 'Round Bonuses'!$G$9, TRUE, 0))+_xludf.IFS(N210="W", 'Round Bonuses'!$C$13, N210="X", 'Round Bonuses'!$C$12, M210="X", 'Round Bonuses'!$C$11, L210="X", 'Round Bonuses'!$C$10, K210="X", 'Round Bonuses'!$C$9, J210="X", 'Round Bonuses'!$C$8, I210="X", 'Round Bonuses'!$C$7, H210="X", 'Round Bonuses'!$C$6, G210="X", 'Round Bonuses'!$C$5, F210="X", 'Round Bonuses'!$C$4, E210="X", 'Round Bonuses'!$C$3, D210="X", 'Round Bonuses'!$C$3, TRUE, 0)</f>
        <v>#NAME?</v>
      </c>
      <c r="BA210" s="2">
        <f t="shared" ca="1" si="1"/>
        <v>0.44499999999999901</v>
      </c>
      <c r="BB210" s="10" t="e">
        <f t="shared" ca="1" si="2"/>
        <v>#NAME?</v>
      </c>
      <c r="BD210" s="11" t="str">
        <f t="shared" ca="1" si="3"/>
        <v>Sutjeska Nikšić</v>
      </c>
      <c r="BE210" s="2" t="str">
        <f t="shared" ca="1" si="4"/>
        <v>Montenegro</v>
      </c>
      <c r="BF210" s="2" t="e">
        <f t="shared" ca="1" si="5"/>
        <v>#NAME?</v>
      </c>
      <c r="BG210" s="2">
        <f t="shared" ca="1" si="6"/>
        <v>1</v>
      </c>
      <c r="BH210" s="2" t="s">
        <v>278</v>
      </c>
      <c r="BI210" s="2" t="s">
        <v>175</v>
      </c>
      <c r="BJ210" s="7">
        <v>0.74499999999999988</v>
      </c>
      <c r="BK210" s="2">
        <v>1</v>
      </c>
      <c r="BL210" s="2">
        <f t="shared" si="10"/>
        <v>208</v>
      </c>
      <c r="BM210" s="2" t="str">
        <f t="shared" si="7"/>
        <v>Sutjeska Nikšić</v>
      </c>
      <c r="BN210" s="7">
        <f t="shared" ref="BN210:BO210" si="217">BJ210</f>
        <v>0.74499999999999988</v>
      </c>
      <c r="BO210" s="2">
        <f t="shared" si="217"/>
        <v>1</v>
      </c>
      <c r="BS210" s="2" t="str">
        <f t="shared" si="9"/>
        <v>Montenegro</v>
      </c>
    </row>
    <row r="211" spans="1:71" ht="13.8" x14ac:dyDescent="0.45">
      <c r="A211" s="2" t="str">
        <f ca="1">IFERROR(__xludf.DUMMYFUNCTION("""COMPUTED_VALUE"""),"Teuta")</f>
        <v>Teuta</v>
      </c>
      <c r="B211" s="2">
        <f ca="1">IFERROR(__xludf.DUMMYFUNCTION("""COMPUTED_VALUE"""),0.62)</f>
        <v>0.62</v>
      </c>
      <c r="C211" s="2" t="str">
        <f ca="1">IFERROR(__xludf.DUMMYFUNCTION("""COMPUTED_VALUE"""),"Albania")</f>
        <v>Albania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5">
        <f ca="1">IFERROR(__xludf.DUMMYFUNCTION("""COMPUTED_VALUE"""),0)</f>
        <v>0</v>
      </c>
      <c r="P211" s="2">
        <f ca="1">IFERROR(__xludf.DUMMYFUNCTION("""COMPUTED_VALUE"""),0)</f>
        <v>0</v>
      </c>
      <c r="Q211" s="2">
        <f ca="1">IFERROR(__xludf.DUMMYFUNCTION("""COMPUTED_VALUE"""),0)</f>
        <v>0</v>
      </c>
      <c r="R211" s="2">
        <f ca="1">IFERROR(__xludf.DUMMYFUNCTION("""COMPUTED_VALUE"""),0)</f>
        <v>0</v>
      </c>
      <c r="S211" s="2">
        <f ca="1">IFERROR(__xludf.DUMMYFUNCTION("""COMPUTED_VALUE"""),0)</f>
        <v>0</v>
      </c>
      <c r="T211" s="2">
        <f ca="1">IFERROR(__xludf.DUMMYFUNCTION("""COMPUTED_VALUE"""),0)</f>
        <v>0</v>
      </c>
      <c r="U211" s="2">
        <f ca="1">IFERROR(__xludf.DUMMYFUNCTION("""COMPUTED_VALUE"""),0)</f>
        <v>0</v>
      </c>
      <c r="V211" s="2">
        <f ca="1">IFERROR(__xludf.DUMMYFUNCTION("""COMPUTED_VALUE"""),0)</f>
        <v>0</v>
      </c>
      <c r="W211" s="2">
        <f ca="1">IFERROR(__xludf.DUMMYFUNCTION("""COMPUTED_VALUE"""),0)</f>
        <v>0</v>
      </c>
      <c r="X211" s="2">
        <f ca="1">IFERROR(__xludf.DUMMYFUNCTION("""COMPUTED_VALUE"""),0)</f>
        <v>0</v>
      </c>
      <c r="Y211" s="2">
        <f ca="1">IFERROR(__xludf.DUMMYFUNCTION("""COMPUTED_VALUE"""),0)</f>
        <v>0</v>
      </c>
      <c r="AB211" s="2"/>
      <c r="AC211" s="2" t="str">
        <f ca="1">IFERROR(__xludf.DUMMYFUNCTION("""COMPUTED_VALUE"""),"X")</f>
        <v>X</v>
      </c>
      <c r="AD211" s="2" t="str">
        <f ca="1">IFERROR(__xludf.DUMMYFUNCTION("""COMPUTED_VALUE"""),"X")</f>
        <v>X</v>
      </c>
      <c r="AE211" s="2"/>
      <c r="AF211" s="2"/>
      <c r="AG211" s="2"/>
      <c r="AH211" s="2"/>
      <c r="AI211" s="2"/>
      <c r="AJ211" s="2"/>
      <c r="AK211" s="2"/>
      <c r="AL211" s="2"/>
      <c r="AM211" s="2">
        <f ca="1">IFERROR(__xludf.DUMMYFUNCTION("""COMPUTED_VALUE"""),0)</f>
        <v>0</v>
      </c>
      <c r="AN211" s="2">
        <f ca="1">IFERROR(__xludf.DUMMYFUNCTION("""COMPUTED_VALUE"""),3.0175)</f>
        <v>3.0175000000000001</v>
      </c>
      <c r="AO211" s="2">
        <f ca="1">IFERROR(__xludf.DUMMYFUNCTION("""COMPUTED_VALUE"""),0.429999999999999)</f>
        <v>0.42999999999999899</v>
      </c>
      <c r="AP211" s="2">
        <f ca="1">IFERROR(__xludf.DUMMYFUNCTION("""COMPUTED_VALUE"""),0)</f>
        <v>0</v>
      </c>
      <c r="AQ211" s="2">
        <f ca="1">IFERROR(__xludf.DUMMYFUNCTION("""COMPUTED_VALUE"""),0)</f>
        <v>0</v>
      </c>
      <c r="AR211" s="2">
        <f ca="1">IFERROR(__xludf.DUMMYFUNCTION("""COMPUTED_VALUE"""),0)</f>
        <v>0</v>
      </c>
      <c r="AS211" s="2">
        <f ca="1">IFERROR(__xludf.DUMMYFUNCTION("""COMPUTED_VALUE"""),0)</f>
        <v>0</v>
      </c>
      <c r="AT211" s="2">
        <f ca="1">IFERROR(__xludf.DUMMYFUNCTION("""COMPUTED_VALUE"""),0)</f>
        <v>0</v>
      </c>
      <c r="AU211" s="2">
        <f ca="1">IFERROR(__xludf.DUMMYFUNCTION("""COMPUTED_VALUE"""),0)</f>
        <v>0</v>
      </c>
      <c r="AV211" s="2">
        <f ca="1">IFERROR(__xludf.DUMMYFUNCTION("""COMPUTED_VALUE"""),0)</f>
        <v>0</v>
      </c>
      <c r="AW211" s="2">
        <f ca="1">IFERROR(__xludf.DUMMYFUNCTION("""COMPUTED_VALUE"""),0)</f>
        <v>0</v>
      </c>
      <c r="AY211" s="2">
        <f t="shared" ca="1" si="0"/>
        <v>2</v>
      </c>
      <c r="AZ211" s="2" t="e">
        <f ca="1">IF(NOT(COUNTA(D211:J211)), _xludf.IFS(AL211="W", 'Round Bonuses'!$F$14, AL211="X", 'Round Bonuses'!$F$13, AK211="X", 'Round Bonuses'!$F$12, AJ211="X", 'Round Bonuses'!$F$11, AI211="X", 'Round Bonuses'!$F$10, AH211="X", 'Round Bonuses'!$F$9, AG211="X", 'Round Bonuses'!$F$8, AF211="X", 'Round Bonuses'!$F$7, AE211="X", 'Round Bonuses'!$F$6, AD211="X", 'Round Bonuses'!$F$5, AC211="X", 'Round Bonuses'!$F$4, AB211="X", 'Round Bonuses'!$F$3, TRUE, 0), IF(AA211="X", _xludf.IFS(AD211="X", 'Round Bonuses'!$E$4, AF211="X",'Round Bonuses'!$E$6,TRUE, 'Round Bonuses'!$E$7), 0) +IF(AB211="X", 'Round Bonuses'!$E$3, 0)+IF(AC211="X",'Round Bonuses'!$E$4, 0)+IF(AD211="X", 'Round Bonuses'!$E$5, 0)+IF(AE211="X", 'Round Bonuses'!$E$6, 0)+IF(AF211="X", 'Round Bonuses'!$E$7, 0)+IF(AG211="X", 'Round Bonuses'!$E$8, 0)+_xludf.IFS(AL211="W", 'Round Bonuses'!$G$14, AL211="X", 'Round Bonuses'!$G$13, AK211="X", 'Round Bonuses'!$G$12, AJ211="X", 'Round Bonuses'!$G$11, AI211="X", 'Round Bonuses'!$G$10, AH211="X", 'Round Bonuses'!$G$9, TRUE, 0))+_xludf.IFS(N211="W", 'Round Bonuses'!$C$13, N211="X", 'Round Bonuses'!$C$12, M211="X", 'Round Bonuses'!$C$11, L211="X", 'Round Bonuses'!$C$10, K211="X", 'Round Bonuses'!$C$9, J211="X", 'Round Bonuses'!$C$8, I211="X", 'Round Bonuses'!$C$7, H211="X", 'Round Bonuses'!$C$6, G211="X", 'Round Bonuses'!$C$5, F211="X", 'Round Bonuses'!$C$4, E211="X", 'Round Bonuses'!$C$3, D211="X", 'Round Bonuses'!$C$3, TRUE, 0)</f>
        <v>#NAME?</v>
      </c>
      <c r="BA211" s="2">
        <f t="shared" ca="1" si="1"/>
        <v>3.4474999999999989</v>
      </c>
      <c r="BB211" s="10" t="e">
        <f t="shared" ca="1" si="2"/>
        <v>#NAME?</v>
      </c>
      <c r="BD211" s="11" t="str">
        <f t="shared" ca="1" si="3"/>
        <v>Teuta</v>
      </c>
      <c r="BE211" s="2" t="str">
        <f t="shared" ca="1" si="4"/>
        <v>Albania</v>
      </c>
      <c r="BF211" s="2" t="e">
        <f t="shared" ca="1" si="5"/>
        <v>#NAME?</v>
      </c>
      <c r="BG211" s="2">
        <f t="shared" ca="1" si="6"/>
        <v>2</v>
      </c>
      <c r="BH211" s="2" t="s">
        <v>279</v>
      </c>
      <c r="BI211" s="2" t="s">
        <v>173</v>
      </c>
      <c r="BJ211" s="7">
        <v>0.7350000000000001</v>
      </c>
      <c r="BK211" s="2">
        <v>1</v>
      </c>
      <c r="BL211" s="2">
        <f t="shared" si="10"/>
        <v>209</v>
      </c>
      <c r="BM211" s="2" t="str">
        <f t="shared" si="7"/>
        <v>Dinamo-Auto</v>
      </c>
      <c r="BN211" s="7">
        <f t="shared" ref="BN211:BO211" si="218">BJ211</f>
        <v>0.7350000000000001</v>
      </c>
      <c r="BO211" s="2">
        <f t="shared" si="218"/>
        <v>1</v>
      </c>
      <c r="BS211" s="2" t="str">
        <f t="shared" si="9"/>
        <v>Moldova</v>
      </c>
    </row>
    <row r="212" spans="1:71" ht="13.8" x14ac:dyDescent="0.45">
      <c r="A212" s="2" t="str">
        <f ca="1">IFERROR(__xludf.DUMMYFUNCTION("""COMPUTED_VALUE"""),"The New Saints")</f>
        <v>The New Saints</v>
      </c>
      <c r="B212" s="2">
        <f ca="1">IFERROR(__xludf.DUMMYFUNCTION("""COMPUTED_VALUE"""),0.51)</f>
        <v>0.51</v>
      </c>
      <c r="C212" s="2" t="str">
        <f ca="1">IFERROR(__xludf.DUMMYFUNCTION("""COMPUTED_VALUE"""),"Wales")</f>
        <v>Wales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5">
        <f ca="1">IFERROR(__xludf.DUMMYFUNCTION("""COMPUTED_VALUE"""),0)</f>
        <v>0</v>
      </c>
      <c r="P212" s="2">
        <f ca="1">IFERROR(__xludf.DUMMYFUNCTION("""COMPUTED_VALUE"""),0)</f>
        <v>0</v>
      </c>
      <c r="Q212" s="2">
        <f ca="1">IFERROR(__xludf.DUMMYFUNCTION("""COMPUTED_VALUE"""),0)</f>
        <v>0</v>
      </c>
      <c r="R212" s="2">
        <f ca="1">IFERROR(__xludf.DUMMYFUNCTION("""COMPUTED_VALUE"""),0)</f>
        <v>0</v>
      </c>
      <c r="S212" s="2">
        <f ca="1">IFERROR(__xludf.DUMMYFUNCTION("""COMPUTED_VALUE"""),0)</f>
        <v>0</v>
      </c>
      <c r="T212" s="2">
        <f ca="1">IFERROR(__xludf.DUMMYFUNCTION("""COMPUTED_VALUE"""),0)</f>
        <v>0</v>
      </c>
      <c r="U212" s="2">
        <f ca="1">IFERROR(__xludf.DUMMYFUNCTION("""COMPUTED_VALUE"""),0)</f>
        <v>0</v>
      </c>
      <c r="V212" s="2">
        <f ca="1">IFERROR(__xludf.DUMMYFUNCTION("""COMPUTED_VALUE"""),0)</f>
        <v>0</v>
      </c>
      <c r="W212" s="2">
        <f ca="1">IFERROR(__xludf.DUMMYFUNCTION("""COMPUTED_VALUE"""),0)</f>
        <v>0</v>
      </c>
      <c r="X212" s="2">
        <f ca="1">IFERROR(__xludf.DUMMYFUNCTION("""COMPUTED_VALUE"""),0)</f>
        <v>0</v>
      </c>
      <c r="Y212" s="2">
        <f ca="1">IFERROR(__xludf.DUMMYFUNCTION("""COMPUTED_VALUE"""),0)</f>
        <v>0</v>
      </c>
      <c r="AB212" s="2"/>
      <c r="AC212" s="2" t="str">
        <f ca="1">IFERROR(__xludf.DUMMYFUNCTION("""COMPUTED_VALUE"""),"X")</f>
        <v>X</v>
      </c>
      <c r="AD212" s="2" t="str">
        <f ca="1">IFERROR(__xludf.DUMMYFUNCTION("""COMPUTED_VALUE"""),"X")</f>
        <v>X</v>
      </c>
      <c r="AE212" s="2"/>
      <c r="AF212" s="2"/>
      <c r="AG212" s="2"/>
      <c r="AH212" s="2"/>
      <c r="AI212" s="2"/>
      <c r="AJ212" s="2"/>
      <c r="AK212" s="2"/>
      <c r="AL212" s="2"/>
      <c r="AM212" s="2">
        <f ca="1">IFERROR(__xludf.DUMMYFUNCTION("""COMPUTED_VALUE"""),0)</f>
        <v>0</v>
      </c>
      <c r="AN212" s="2">
        <f ca="1">IFERROR(__xludf.DUMMYFUNCTION("""COMPUTED_VALUE"""),2.93249999999999)</f>
        <v>2.9324999999999899</v>
      </c>
      <c r="AO212" s="2">
        <f ca="1">IFERROR(__xludf.DUMMYFUNCTION("""COMPUTED_VALUE"""),0.49)</f>
        <v>0.49</v>
      </c>
      <c r="AP212" s="2">
        <f ca="1">IFERROR(__xludf.DUMMYFUNCTION("""COMPUTED_VALUE"""),0)</f>
        <v>0</v>
      </c>
      <c r="AQ212" s="2">
        <f ca="1">IFERROR(__xludf.DUMMYFUNCTION("""COMPUTED_VALUE"""),0)</f>
        <v>0</v>
      </c>
      <c r="AR212" s="2">
        <f ca="1">IFERROR(__xludf.DUMMYFUNCTION("""COMPUTED_VALUE"""),0)</f>
        <v>0</v>
      </c>
      <c r="AS212" s="2">
        <f ca="1">IFERROR(__xludf.DUMMYFUNCTION("""COMPUTED_VALUE"""),0)</f>
        <v>0</v>
      </c>
      <c r="AT212" s="2">
        <f ca="1">IFERROR(__xludf.DUMMYFUNCTION("""COMPUTED_VALUE"""),0)</f>
        <v>0</v>
      </c>
      <c r="AU212" s="2">
        <f ca="1">IFERROR(__xludf.DUMMYFUNCTION("""COMPUTED_VALUE"""),0)</f>
        <v>0</v>
      </c>
      <c r="AV212" s="2">
        <f ca="1">IFERROR(__xludf.DUMMYFUNCTION("""COMPUTED_VALUE"""),0)</f>
        <v>0</v>
      </c>
      <c r="AW212" s="2">
        <f ca="1">IFERROR(__xludf.DUMMYFUNCTION("""COMPUTED_VALUE"""),0)</f>
        <v>0</v>
      </c>
      <c r="AY212" s="2">
        <f t="shared" ca="1" si="0"/>
        <v>2</v>
      </c>
      <c r="AZ212" s="2" t="e">
        <f ca="1">IF(NOT(COUNTA(D212:J212)), _xludf.IFS(AL212="W", 'Round Bonuses'!$F$14, AL212="X", 'Round Bonuses'!$F$13, AK212="X", 'Round Bonuses'!$F$12, AJ212="X", 'Round Bonuses'!$F$11, AI212="X", 'Round Bonuses'!$F$10, AH212="X", 'Round Bonuses'!$F$9, AG212="X", 'Round Bonuses'!$F$8, AF212="X", 'Round Bonuses'!$F$7, AE212="X", 'Round Bonuses'!$F$6, AD212="X", 'Round Bonuses'!$F$5, AC212="X", 'Round Bonuses'!$F$4, AB212="X", 'Round Bonuses'!$F$3, TRUE, 0), IF(AA212="X", _xludf.IFS(AD212="X", 'Round Bonuses'!$E$4, AF212="X",'Round Bonuses'!$E$6,TRUE, 'Round Bonuses'!$E$7), 0) +IF(AB212="X", 'Round Bonuses'!$E$3, 0)+IF(AC212="X",'Round Bonuses'!$E$4, 0)+IF(AD212="X", 'Round Bonuses'!$E$5, 0)+IF(AE212="X", 'Round Bonuses'!$E$6, 0)+IF(AF212="X", 'Round Bonuses'!$E$7, 0)+IF(AG212="X", 'Round Bonuses'!$E$8, 0)+_xludf.IFS(AL212="W", 'Round Bonuses'!$G$14, AL212="X", 'Round Bonuses'!$G$13, AK212="X", 'Round Bonuses'!$G$12, AJ212="X", 'Round Bonuses'!$G$11, AI212="X", 'Round Bonuses'!$G$10, AH212="X", 'Round Bonuses'!$G$9, TRUE, 0))+_xludf.IFS(N212="W", 'Round Bonuses'!$C$13, N212="X", 'Round Bonuses'!$C$12, M212="X", 'Round Bonuses'!$C$11, L212="X", 'Round Bonuses'!$C$10, K212="X", 'Round Bonuses'!$C$9, J212="X", 'Round Bonuses'!$C$8, I212="X", 'Round Bonuses'!$C$7, H212="X", 'Round Bonuses'!$C$6, G212="X", 'Round Bonuses'!$C$5, F212="X", 'Round Bonuses'!$C$4, E212="X", 'Round Bonuses'!$C$3, D212="X", 'Round Bonuses'!$C$3, TRUE, 0)</f>
        <v>#NAME?</v>
      </c>
      <c r="BA212" s="2">
        <f t="shared" ca="1" si="1"/>
        <v>3.4224999999999897</v>
      </c>
      <c r="BB212" s="10" t="e">
        <f t="shared" ca="1" si="2"/>
        <v>#NAME?</v>
      </c>
      <c r="BD212" s="11" t="str">
        <f t="shared" ca="1" si="3"/>
        <v>The New Saints</v>
      </c>
      <c r="BE212" s="2" t="str">
        <f t="shared" ca="1" si="4"/>
        <v>Wales</v>
      </c>
      <c r="BF212" s="2" t="e">
        <f t="shared" ca="1" si="5"/>
        <v>#NAME?</v>
      </c>
      <c r="BG212" s="2">
        <f t="shared" ca="1" si="6"/>
        <v>2</v>
      </c>
      <c r="BH212" s="2" t="s">
        <v>280</v>
      </c>
      <c r="BI212" s="2" t="s">
        <v>152</v>
      </c>
      <c r="BJ212" s="7">
        <v>0.73499999999999988</v>
      </c>
      <c r="BK212" s="2">
        <v>1</v>
      </c>
      <c r="BL212" s="2">
        <f t="shared" si="10"/>
        <v>210</v>
      </c>
      <c r="BM212" s="2" t="str">
        <f t="shared" si="7"/>
        <v>Honka</v>
      </c>
      <c r="BN212" s="7">
        <f t="shared" ref="BN212:BO212" si="219">BJ212</f>
        <v>0.73499999999999988</v>
      </c>
      <c r="BO212" s="2">
        <f t="shared" si="219"/>
        <v>1</v>
      </c>
      <c r="BS212" s="2" t="str">
        <f t="shared" si="9"/>
        <v>Finland</v>
      </c>
    </row>
    <row r="213" spans="1:71" ht="13.8" x14ac:dyDescent="0.45">
      <c r="A213" s="2" t="str">
        <f ca="1">IFERROR(__xludf.DUMMYFUNCTION("""COMPUTED_VALUE"""),"Tirana")</f>
        <v>Tirana</v>
      </c>
      <c r="B213" s="2">
        <f ca="1">IFERROR(__xludf.DUMMYFUNCTION("""COMPUTED_VALUE"""),0.64)</f>
        <v>0.64</v>
      </c>
      <c r="C213" s="2" t="str">
        <f ca="1">IFERROR(__xludf.DUMMYFUNCTION("""COMPUTED_VALUE"""),"Albania")</f>
        <v>Albania</v>
      </c>
      <c r="D213" s="2"/>
      <c r="E213" s="2"/>
      <c r="F213" s="2" t="str">
        <f ca="1">IFERROR(__xludf.DUMMYFUNCTION("""COMPUTED_VALUE"""),"X")</f>
        <v>X</v>
      </c>
      <c r="G213" s="2" t="str">
        <f ca="1">IFERROR(__xludf.DUMMYFUNCTION("""COMPUTED_VALUE"""),"X")</f>
        <v>X</v>
      </c>
      <c r="H213" s="2"/>
      <c r="I213" s="2"/>
      <c r="J213" s="2"/>
      <c r="K213" s="2"/>
      <c r="L213" s="2"/>
      <c r="M213" s="2"/>
      <c r="N213" s="2"/>
      <c r="O213" s="5">
        <f ca="1">IFERROR(__xludf.DUMMYFUNCTION("""COMPUTED_VALUE"""),0)</f>
        <v>0</v>
      </c>
      <c r="P213" s="2">
        <f ca="1">IFERROR(__xludf.DUMMYFUNCTION("""COMPUTED_VALUE"""),0)</f>
        <v>0</v>
      </c>
      <c r="Q213" s="2">
        <f ca="1">IFERROR(__xludf.DUMMYFUNCTION("""COMPUTED_VALUE"""),2.2525)</f>
        <v>2.2524999999999999</v>
      </c>
      <c r="R213" s="2">
        <f ca="1">IFERROR(__xludf.DUMMYFUNCTION("""COMPUTED_VALUE"""),0.685)</f>
        <v>0.68500000000000005</v>
      </c>
      <c r="S213" s="2">
        <f ca="1">IFERROR(__xludf.DUMMYFUNCTION("""COMPUTED_VALUE"""),0)</f>
        <v>0</v>
      </c>
      <c r="T213" s="2">
        <f ca="1">IFERROR(__xludf.DUMMYFUNCTION("""COMPUTED_VALUE"""),0)</f>
        <v>0</v>
      </c>
      <c r="U213" s="2">
        <f ca="1">IFERROR(__xludf.DUMMYFUNCTION("""COMPUTED_VALUE"""),0)</f>
        <v>0</v>
      </c>
      <c r="V213" s="2">
        <f ca="1">IFERROR(__xludf.DUMMYFUNCTION("""COMPUTED_VALUE"""),0)</f>
        <v>0</v>
      </c>
      <c r="W213" s="2">
        <f ca="1">IFERROR(__xludf.DUMMYFUNCTION("""COMPUTED_VALUE"""),0)</f>
        <v>0</v>
      </c>
      <c r="X213" s="2">
        <f ca="1">IFERROR(__xludf.DUMMYFUNCTION("""COMPUTED_VALUE"""),0)</f>
        <v>0</v>
      </c>
      <c r="Y213" s="2">
        <f ca="1">IFERROR(__xludf.DUMMYFUNCTION("""COMPUTED_VALUE"""),0)</f>
        <v>0</v>
      </c>
      <c r="AA213" s="3" t="s">
        <v>39</v>
      </c>
      <c r="AB213" s="2"/>
      <c r="AC213" s="2"/>
      <c r="AD213" s="2"/>
      <c r="AE213" s="2"/>
      <c r="AF213" s="2" t="str">
        <f ca="1">IFERROR(__xludf.DUMMYFUNCTION("""COMPUTED_VALUE"""),"X")</f>
        <v>X</v>
      </c>
      <c r="AG213" s="2"/>
      <c r="AH213" s="2"/>
      <c r="AI213" s="2"/>
      <c r="AJ213" s="2"/>
      <c r="AK213" s="2"/>
      <c r="AL213" s="2"/>
      <c r="AM213" s="2">
        <f ca="1">IFERROR(__xludf.DUMMYFUNCTION("""COMPUTED_VALUE"""),0)</f>
        <v>0</v>
      </c>
      <c r="AN213" s="2">
        <f ca="1">IFERROR(__xludf.DUMMYFUNCTION("""COMPUTED_VALUE"""),0)</f>
        <v>0</v>
      </c>
      <c r="AO213" s="2">
        <f ca="1">IFERROR(__xludf.DUMMYFUNCTION("""COMPUTED_VALUE"""),0)</f>
        <v>0</v>
      </c>
      <c r="AP213" s="2">
        <f ca="1">IFERROR(__xludf.DUMMYFUNCTION("""COMPUTED_VALUE"""),0)</f>
        <v>0</v>
      </c>
      <c r="AQ213" s="2">
        <f ca="1">IFERROR(__xludf.DUMMYFUNCTION("""COMPUTED_VALUE"""),0.454999999999999)</f>
        <v>0.45499999999999902</v>
      </c>
      <c r="AR213" s="2">
        <f ca="1">IFERROR(__xludf.DUMMYFUNCTION("""COMPUTED_VALUE"""),0)</f>
        <v>0</v>
      </c>
      <c r="AS213" s="2">
        <f ca="1">IFERROR(__xludf.DUMMYFUNCTION("""COMPUTED_VALUE"""),0)</f>
        <v>0</v>
      </c>
      <c r="AT213" s="2">
        <f ca="1">IFERROR(__xludf.DUMMYFUNCTION("""COMPUTED_VALUE"""),0)</f>
        <v>0</v>
      </c>
      <c r="AU213" s="2">
        <f ca="1">IFERROR(__xludf.DUMMYFUNCTION("""COMPUTED_VALUE"""),0)</f>
        <v>0</v>
      </c>
      <c r="AV213" s="2">
        <f ca="1">IFERROR(__xludf.DUMMYFUNCTION("""COMPUTED_VALUE"""),0)</f>
        <v>0</v>
      </c>
      <c r="AW213" s="2">
        <f ca="1">IFERROR(__xludf.DUMMYFUNCTION("""COMPUTED_VALUE"""),0)</f>
        <v>0</v>
      </c>
      <c r="AY213" s="2">
        <f t="shared" ca="1" si="0"/>
        <v>3</v>
      </c>
      <c r="AZ213" s="2" t="e">
        <f ca="1">IF(NOT(COUNTA(D213:J213)), _xludf.IFS(AL213="W", 'Round Bonuses'!$F$14, AL213="X", 'Round Bonuses'!$F$13, AK213="X", 'Round Bonuses'!$F$12, AJ213="X", 'Round Bonuses'!$F$11, AI213="X", 'Round Bonuses'!$F$10, AH213="X", 'Round Bonuses'!$F$9, AG213="X", 'Round Bonuses'!$F$8, AF213="X", 'Round Bonuses'!$F$7, AE213="X", 'Round Bonuses'!$F$6, AD213="X", 'Round Bonuses'!$F$5, AC213="X", 'Round Bonuses'!$F$4, AB213="X", 'Round Bonuses'!$F$3, TRUE, 0), IF(AA213="X", _xludf.IFS(AD213="X", 'Round Bonuses'!$E$4, AF213="X",'Round Bonuses'!$E$6,TRUE, 'Round Bonuses'!$E$7), 0) +IF(AB213="X", 'Round Bonuses'!$E$3, 0)+IF(AC213="X",'Round Bonuses'!$E$4, 0)+IF(AD213="X", 'Round Bonuses'!$E$5, 0)+IF(AE213="X", 'Round Bonuses'!$E$6, 0)+IF(AF213="X", 'Round Bonuses'!$E$7, 0)+IF(AG213="X", 'Round Bonuses'!$E$8, 0)+_xludf.IFS(AL213="W", 'Round Bonuses'!$G$14, AL213="X", 'Round Bonuses'!$G$13, AK213="X", 'Round Bonuses'!$G$12, AJ213="X", 'Round Bonuses'!$G$11, AI213="X", 'Round Bonuses'!$G$10, AH213="X", 'Round Bonuses'!$G$9, TRUE, 0))+_xludf.IFS(N213="W", 'Round Bonuses'!$C$13, N213="X", 'Round Bonuses'!$C$12, M213="X", 'Round Bonuses'!$C$11, L213="X", 'Round Bonuses'!$C$10, K213="X", 'Round Bonuses'!$C$9, J213="X", 'Round Bonuses'!$C$8, I213="X", 'Round Bonuses'!$C$7, H213="X", 'Round Bonuses'!$C$6, G213="X", 'Round Bonuses'!$C$5, F213="X", 'Round Bonuses'!$C$4, E213="X", 'Round Bonuses'!$C$3, D213="X", 'Round Bonuses'!$C$3, TRUE, 0)</f>
        <v>#NAME?</v>
      </c>
      <c r="BA213" s="2">
        <f t="shared" ca="1" si="1"/>
        <v>3.3924999999999992</v>
      </c>
      <c r="BB213" s="10" t="e">
        <f t="shared" ca="1" si="2"/>
        <v>#NAME?</v>
      </c>
      <c r="BD213" s="11" t="str">
        <f t="shared" ca="1" si="3"/>
        <v>Tirana</v>
      </c>
      <c r="BE213" s="2" t="str">
        <f t="shared" ca="1" si="4"/>
        <v>Albania</v>
      </c>
      <c r="BF213" s="2" t="e">
        <f t="shared" ca="1" si="5"/>
        <v>#NAME?</v>
      </c>
      <c r="BG213" s="2">
        <f t="shared" ca="1" si="6"/>
        <v>3</v>
      </c>
      <c r="BH213" s="2" t="s">
        <v>281</v>
      </c>
      <c r="BI213" s="2" t="s">
        <v>249</v>
      </c>
      <c r="BJ213" s="7">
        <v>0.73</v>
      </c>
      <c r="BK213" s="2">
        <v>1</v>
      </c>
      <c r="BL213" s="2">
        <f t="shared" si="10"/>
        <v>211</v>
      </c>
      <c r="BM213" s="2" t="str">
        <f t="shared" si="7"/>
        <v>FH</v>
      </c>
      <c r="BN213" s="7">
        <f t="shared" ref="BN213:BO213" si="220">BJ213</f>
        <v>0.73</v>
      </c>
      <c r="BO213" s="2">
        <f t="shared" si="220"/>
        <v>1</v>
      </c>
      <c r="BS213" s="2" t="str">
        <f t="shared" si="9"/>
        <v>Iceland</v>
      </c>
    </row>
    <row r="214" spans="1:71" ht="13.8" x14ac:dyDescent="0.45">
      <c r="A214" s="2" t="str">
        <f ca="1">IFERROR(__xludf.DUMMYFUNCTION("""COMPUTED_VALUE"""),"Tottenham Hotspur")</f>
        <v>Tottenham Hotspur</v>
      </c>
      <c r="B214" s="2">
        <f ca="1">IFERROR(__xludf.DUMMYFUNCTION("""COMPUTED_VALUE"""),0.929999999999999)</f>
        <v>0.92999999999999905</v>
      </c>
      <c r="C214" s="2" t="str">
        <f ca="1">IFERROR(__xludf.DUMMYFUNCTION("""COMPUTED_VALUE"""),"England")</f>
        <v>England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5">
        <f ca="1">IFERROR(__xludf.DUMMYFUNCTION("""COMPUTED_VALUE"""),0)</f>
        <v>0</v>
      </c>
      <c r="P214" s="2">
        <f ca="1">IFERROR(__xludf.DUMMYFUNCTION("""COMPUTED_VALUE"""),0)</f>
        <v>0</v>
      </c>
      <c r="Q214" s="2">
        <f ca="1">IFERROR(__xludf.DUMMYFUNCTION("""COMPUTED_VALUE"""),0)</f>
        <v>0</v>
      </c>
      <c r="R214" s="2">
        <f ca="1">IFERROR(__xludf.DUMMYFUNCTION("""COMPUTED_VALUE"""),0)</f>
        <v>0</v>
      </c>
      <c r="S214" s="2">
        <f ca="1">IFERROR(__xludf.DUMMYFUNCTION("""COMPUTED_VALUE"""),0)</f>
        <v>0</v>
      </c>
      <c r="T214" s="2">
        <f ca="1">IFERROR(__xludf.DUMMYFUNCTION("""COMPUTED_VALUE"""),0)</f>
        <v>0</v>
      </c>
      <c r="U214" s="2">
        <f ca="1">IFERROR(__xludf.DUMMYFUNCTION("""COMPUTED_VALUE"""),0)</f>
        <v>0</v>
      </c>
      <c r="V214" s="2">
        <f ca="1">IFERROR(__xludf.DUMMYFUNCTION("""COMPUTED_VALUE"""),0)</f>
        <v>0</v>
      </c>
      <c r="W214" s="2">
        <f ca="1">IFERROR(__xludf.DUMMYFUNCTION("""COMPUTED_VALUE"""),0)</f>
        <v>0</v>
      </c>
      <c r="X214" s="2">
        <f ca="1">IFERROR(__xludf.DUMMYFUNCTION("""COMPUTED_VALUE"""),0)</f>
        <v>0</v>
      </c>
      <c r="Y214" s="2">
        <f ca="1">IFERROR(__xludf.DUMMYFUNCTION("""COMPUTED_VALUE"""),0)</f>
        <v>0</v>
      </c>
      <c r="AB214" s="2"/>
      <c r="AC214" s="2"/>
      <c r="AD214" s="2" t="str">
        <f ca="1">IFERROR(__xludf.DUMMYFUNCTION("""COMPUTED_VALUE"""),"X")</f>
        <v>X</v>
      </c>
      <c r="AE214" s="2" t="str">
        <f ca="1">IFERROR(__xludf.DUMMYFUNCTION("""COMPUTED_VALUE"""),"X")</f>
        <v>X</v>
      </c>
      <c r="AF214" s="2" t="str">
        <f ca="1">IFERROR(__xludf.DUMMYFUNCTION("""COMPUTED_VALUE"""),"X")</f>
        <v>X</v>
      </c>
      <c r="AG214" s="2" t="str">
        <f ca="1">IFERROR(__xludf.DUMMYFUNCTION("""COMPUTED_VALUE"""),"X")</f>
        <v>X</v>
      </c>
      <c r="AH214" s="2" t="str">
        <f ca="1">IFERROR(__xludf.DUMMYFUNCTION("""COMPUTED_VALUE"""),"X")</f>
        <v>X</v>
      </c>
      <c r="AI214" s="2" t="str">
        <f ca="1">IFERROR(__xludf.DUMMYFUNCTION("""COMPUTED_VALUE"""),"X")</f>
        <v>X</v>
      </c>
      <c r="AJ214" s="2"/>
      <c r="AK214" s="2"/>
      <c r="AL214" s="2"/>
      <c r="AM214" s="2">
        <f ca="1">IFERROR(__xludf.DUMMYFUNCTION("""COMPUTED_VALUE"""),0)</f>
        <v>0</v>
      </c>
      <c r="AN214" s="2">
        <f ca="1">IFERROR(__xludf.DUMMYFUNCTION("""COMPUTED_VALUE"""),0)</f>
        <v>0</v>
      </c>
      <c r="AO214" s="2">
        <f ca="1">IFERROR(__xludf.DUMMYFUNCTION("""COMPUTED_VALUE"""),2.8875)</f>
        <v>2.8875000000000002</v>
      </c>
      <c r="AP214" s="2">
        <f ca="1">IFERROR(__xludf.DUMMYFUNCTION("""COMPUTED_VALUE"""),2.71999999999999)</f>
        <v>2.71999999999999</v>
      </c>
      <c r="AQ214" s="2">
        <f ca="1">IFERROR(__xludf.DUMMYFUNCTION("""COMPUTED_VALUE"""),3.33)</f>
        <v>3.33</v>
      </c>
      <c r="AR214" s="2">
        <f ca="1">IFERROR(__xludf.DUMMYFUNCTION("""COMPUTED_VALUE"""),16.26625)</f>
        <v>16.266249999999999</v>
      </c>
      <c r="AS214" s="2">
        <f ca="1">IFERROR(__xludf.DUMMYFUNCTION("""COMPUTED_VALUE"""),7.63249999999999)</f>
        <v>7.6324999999999896</v>
      </c>
      <c r="AT214" s="2">
        <f ca="1">IFERROR(__xludf.DUMMYFUNCTION("""COMPUTED_VALUE"""),4.08749999999999)</f>
        <v>4.0874999999999897</v>
      </c>
      <c r="AU214" s="2">
        <f ca="1">IFERROR(__xludf.DUMMYFUNCTION("""COMPUTED_VALUE"""),0)</f>
        <v>0</v>
      </c>
      <c r="AV214" s="2">
        <f ca="1">IFERROR(__xludf.DUMMYFUNCTION("""COMPUTED_VALUE"""),0)</f>
        <v>0</v>
      </c>
      <c r="AW214" s="2">
        <f ca="1">IFERROR(__xludf.DUMMYFUNCTION("""COMPUTED_VALUE"""),0)</f>
        <v>0</v>
      </c>
      <c r="AY214" s="2">
        <f t="shared" ca="1" si="0"/>
        <v>13</v>
      </c>
      <c r="AZ214" s="2" t="e">
        <f ca="1">IF(NOT(COUNTA(D214:J214)), _xludf.IFS(AL214="W", 'Round Bonuses'!$F$14, AL214="X", 'Round Bonuses'!$F$13, AK214="X", 'Round Bonuses'!$F$12, AJ214="X", 'Round Bonuses'!$F$11, AI214="X", 'Round Bonuses'!$F$10, AH214="X", 'Round Bonuses'!$F$9, AG214="X", 'Round Bonuses'!$F$8, AF214="X", 'Round Bonuses'!$F$7, AE214="X", 'Round Bonuses'!$F$6, AD214="X", 'Round Bonuses'!$F$5, AC214="X", 'Round Bonuses'!$F$4, AB214="X", 'Round Bonuses'!$F$3, TRUE, 0), IF(AA214="X", _xludf.IFS(AD214="X", 'Round Bonuses'!$E$4, AF214="X",'Round Bonuses'!$E$6,TRUE, 'Round Bonuses'!$E$7), 0) +IF(AB214="X", 'Round Bonuses'!$E$3, 0)+IF(AC214="X",'Round Bonuses'!$E$4, 0)+IF(AD214="X", 'Round Bonuses'!$E$5, 0)+IF(AE214="X", 'Round Bonuses'!$E$6, 0)+IF(AF214="X", 'Round Bonuses'!$E$7, 0)+IF(AG214="X", 'Round Bonuses'!$E$8, 0)+_xludf.IFS(AL214="W", 'Round Bonuses'!$G$14, AL214="X", 'Round Bonuses'!$G$13, AK214="X", 'Round Bonuses'!$G$12, AJ214="X", 'Round Bonuses'!$G$11, AI214="X", 'Round Bonuses'!$G$10, AH214="X", 'Round Bonuses'!$G$9, TRUE, 0))+_xludf.IFS(N214="W", 'Round Bonuses'!$C$13, N214="X", 'Round Bonuses'!$C$12, M214="X", 'Round Bonuses'!$C$11, L214="X", 'Round Bonuses'!$C$10, K214="X", 'Round Bonuses'!$C$9, J214="X", 'Round Bonuses'!$C$8, I214="X", 'Round Bonuses'!$C$7, H214="X", 'Round Bonuses'!$C$6, G214="X", 'Round Bonuses'!$C$5, F214="X", 'Round Bonuses'!$C$4, E214="X", 'Round Bonuses'!$C$3, D214="X", 'Round Bonuses'!$C$3, TRUE, 0)</f>
        <v>#NAME?</v>
      </c>
      <c r="BA214" s="2">
        <f t="shared" ca="1" si="1"/>
        <v>36.92374999999997</v>
      </c>
      <c r="BB214" s="10" t="e">
        <f t="shared" ca="1" si="2"/>
        <v>#NAME?</v>
      </c>
      <c r="BD214" s="11" t="str">
        <f t="shared" ca="1" si="3"/>
        <v>Tottenham Hotspur</v>
      </c>
      <c r="BE214" s="2" t="str">
        <f t="shared" ca="1" si="4"/>
        <v>England</v>
      </c>
      <c r="BF214" s="2" t="e">
        <f t="shared" ca="1" si="5"/>
        <v>#NAME?</v>
      </c>
      <c r="BG214" s="2">
        <f t="shared" ca="1" si="6"/>
        <v>13</v>
      </c>
      <c r="BH214" s="2" t="s">
        <v>282</v>
      </c>
      <c r="BI214" s="2" t="s">
        <v>162</v>
      </c>
      <c r="BJ214" s="7">
        <v>0.72499999999999987</v>
      </c>
      <c r="BK214" s="2">
        <v>1</v>
      </c>
      <c r="BL214" s="2">
        <f t="shared" si="10"/>
        <v>212</v>
      </c>
      <c r="BM214" s="2" t="str">
        <f t="shared" si="7"/>
        <v>Ružomberok</v>
      </c>
      <c r="BN214" s="7">
        <f t="shared" ref="BN214:BO214" si="221">BJ214</f>
        <v>0.72499999999999987</v>
      </c>
      <c r="BO214" s="2">
        <f t="shared" si="221"/>
        <v>1</v>
      </c>
      <c r="BS214" s="2" t="str">
        <f t="shared" si="9"/>
        <v>Slovakia</v>
      </c>
    </row>
    <row r="215" spans="1:71" ht="13.8" x14ac:dyDescent="0.45">
      <c r="A215" s="2" t="str">
        <f ca="1">IFERROR(__xludf.DUMMYFUNCTION("""COMPUTED_VALUE"""),"Tre Fiori")</f>
        <v>Tre Fiori</v>
      </c>
      <c r="B215" s="2">
        <f ca="1">IFERROR(__xludf.DUMMYFUNCTION("""COMPUTED_VALUE"""),0.449999999999999)</f>
        <v>0.44999999999999901</v>
      </c>
      <c r="C215" s="2" t="str">
        <f ca="1">IFERROR(__xludf.DUMMYFUNCTION("""COMPUTED_VALUE"""),"San Marino")</f>
        <v>San Marino</v>
      </c>
      <c r="D215" s="2" t="str">
        <f ca="1">IFERROR(__xludf.DUMMYFUNCTION("""COMPUTED_VALUE"""),"X")</f>
        <v>X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5">
        <f ca="1">IFERROR(__xludf.DUMMYFUNCTION("""COMPUTED_VALUE"""),0.229999999999999)</f>
        <v>0.22999999999999901</v>
      </c>
      <c r="P215" s="2">
        <f ca="1">IFERROR(__xludf.DUMMYFUNCTION("""COMPUTED_VALUE"""),0)</f>
        <v>0</v>
      </c>
      <c r="Q215" s="2">
        <f ca="1">IFERROR(__xludf.DUMMYFUNCTION("""COMPUTED_VALUE"""),0)</f>
        <v>0</v>
      </c>
      <c r="R215" s="2">
        <f ca="1">IFERROR(__xludf.DUMMYFUNCTION("""COMPUTED_VALUE"""),0)</f>
        <v>0</v>
      </c>
      <c r="S215" s="2">
        <f ca="1">IFERROR(__xludf.DUMMYFUNCTION("""COMPUTED_VALUE"""),0)</f>
        <v>0</v>
      </c>
      <c r="T215" s="2">
        <f ca="1">IFERROR(__xludf.DUMMYFUNCTION("""COMPUTED_VALUE"""),0)</f>
        <v>0</v>
      </c>
      <c r="U215" s="2">
        <f ca="1">IFERROR(__xludf.DUMMYFUNCTION("""COMPUTED_VALUE"""),0)</f>
        <v>0</v>
      </c>
      <c r="V215" s="2">
        <f ca="1">IFERROR(__xludf.DUMMYFUNCTION("""COMPUTED_VALUE"""),0)</f>
        <v>0</v>
      </c>
      <c r="W215" s="2">
        <f ca="1">IFERROR(__xludf.DUMMYFUNCTION("""COMPUTED_VALUE"""),0)</f>
        <v>0</v>
      </c>
      <c r="X215" s="2">
        <f ca="1">IFERROR(__xludf.DUMMYFUNCTION("""COMPUTED_VALUE"""),0)</f>
        <v>0</v>
      </c>
      <c r="Y215" s="2">
        <f ca="1">IFERROR(__xludf.DUMMYFUNCTION("""COMPUTED_VALUE"""),0)</f>
        <v>0</v>
      </c>
      <c r="AA215" s="3" t="s">
        <v>39</v>
      </c>
      <c r="AB215" s="2"/>
      <c r="AC215" s="2"/>
      <c r="AD215" s="2" t="str">
        <f ca="1">IFERROR(__xludf.DUMMYFUNCTION("""COMPUTED_VALUE"""),"X")</f>
        <v>X</v>
      </c>
      <c r="AE215" s="2"/>
      <c r="AF215" s="2"/>
      <c r="AG215" s="2"/>
      <c r="AH215" s="2"/>
      <c r="AI215" s="2"/>
      <c r="AJ215" s="2"/>
      <c r="AK215" s="2"/>
      <c r="AL215" s="2"/>
      <c r="AM215" s="2">
        <f ca="1">IFERROR(__xludf.DUMMYFUNCTION("""COMPUTED_VALUE"""),0)</f>
        <v>0</v>
      </c>
      <c r="AN215" s="2">
        <f ca="1">IFERROR(__xludf.DUMMYFUNCTION("""COMPUTED_VALUE"""),0)</f>
        <v>0</v>
      </c>
      <c r="AO215" s="2">
        <f ca="1">IFERROR(__xludf.DUMMYFUNCTION("""COMPUTED_VALUE"""),0.455)</f>
        <v>0.45500000000000002</v>
      </c>
      <c r="AP215" s="2">
        <f ca="1">IFERROR(__xludf.DUMMYFUNCTION("""COMPUTED_VALUE"""),0)</f>
        <v>0</v>
      </c>
      <c r="AQ215" s="2">
        <f ca="1">IFERROR(__xludf.DUMMYFUNCTION("""COMPUTED_VALUE"""),0)</f>
        <v>0</v>
      </c>
      <c r="AR215" s="2">
        <f ca="1">IFERROR(__xludf.DUMMYFUNCTION("""COMPUTED_VALUE"""),0)</f>
        <v>0</v>
      </c>
      <c r="AS215" s="2">
        <f ca="1">IFERROR(__xludf.DUMMYFUNCTION("""COMPUTED_VALUE"""),0)</f>
        <v>0</v>
      </c>
      <c r="AT215" s="2">
        <f ca="1">IFERROR(__xludf.DUMMYFUNCTION("""COMPUTED_VALUE"""),0)</f>
        <v>0</v>
      </c>
      <c r="AU215" s="2">
        <f ca="1">IFERROR(__xludf.DUMMYFUNCTION("""COMPUTED_VALUE"""),0)</f>
        <v>0</v>
      </c>
      <c r="AV215" s="2">
        <f ca="1">IFERROR(__xludf.DUMMYFUNCTION("""COMPUTED_VALUE"""),0)</f>
        <v>0</v>
      </c>
      <c r="AW215" s="2">
        <f ca="1">IFERROR(__xludf.DUMMYFUNCTION("""COMPUTED_VALUE"""),0)</f>
        <v>0</v>
      </c>
      <c r="AY215" s="2">
        <f t="shared" ca="1" si="0"/>
        <v>2</v>
      </c>
      <c r="AZ215" s="2" t="e">
        <f ca="1">IF(NOT(COUNTA(D215:J215)), _xludf.IFS(AL215="W", 'Round Bonuses'!$F$14, AL215="X", 'Round Bonuses'!$F$13, AK215="X", 'Round Bonuses'!$F$12, AJ215="X", 'Round Bonuses'!$F$11, AI215="X", 'Round Bonuses'!$F$10, AH215="X", 'Round Bonuses'!$F$9, AG215="X", 'Round Bonuses'!$F$8, AF215="X", 'Round Bonuses'!$F$7, AE215="X", 'Round Bonuses'!$F$6, AD215="X", 'Round Bonuses'!$F$5, AC215="X", 'Round Bonuses'!$F$4, AB215="X", 'Round Bonuses'!$F$3, TRUE, 0), IF(AA215="X", _xludf.IFS(AD215="X", 'Round Bonuses'!$E$4, AF215="X",'Round Bonuses'!$E$6,TRUE, 'Round Bonuses'!$E$7), 0) +IF(AB215="X", 'Round Bonuses'!$E$3, 0)+IF(AC215="X",'Round Bonuses'!$E$4, 0)+IF(AD215="X", 'Round Bonuses'!$E$5, 0)+IF(AE215="X", 'Round Bonuses'!$E$6, 0)+IF(AF215="X", 'Round Bonuses'!$E$7, 0)+IF(AG215="X", 'Round Bonuses'!$E$8, 0)+_xludf.IFS(AL215="W", 'Round Bonuses'!$G$14, AL215="X", 'Round Bonuses'!$G$13, AK215="X", 'Round Bonuses'!$G$12, AJ215="X", 'Round Bonuses'!$G$11, AI215="X", 'Round Bonuses'!$G$10, AH215="X", 'Round Bonuses'!$G$9, TRUE, 0))+_xludf.IFS(N215="W", 'Round Bonuses'!$C$13, N215="X", 'Round Bonuses'!$C$12, M215="X", 'Round Bonuses'!$C$11, L215="X", 'Round Bonuses'!$C$10, K215="X", 'Round Bonuses'!$C$9, J215="X", 'Round Bonuses'!$C$8, I215="X", 'Round Bonuses'!$C$7, H215="X", 'Round Bonuses'!$C$6, G215="X", 'Round Bonuses'!$C$5, F215="X", 'Round Bonuses'!$C$4, E215="X", 'Round Bonuses'!$C$3, D215="X", 'Round Bonuses'!$C$3, TRUE, 0)</f>
        <v>#NAME?</v>
      </c>
      <c r="BA215" s="2">
        <f t="shared" ca="1" si="1"/>
        <v>0.68499999999999905</v>
      </c>
      <c r="BB215" s="10" t="e">
        <f t="shared" ca="1" si="2"/>
        <v>#NAME?</v>
      </c>
      <c r="BD215" s="11" t="str">
        <f t="shared" ca="1" si="3"/>
        <v>Tre Fiori</v>
      </c>
      <c r="BE215" s="2" t="str">
        <f t="shared" ca="1" si="4"/>
        <v>San Marino</v>
      </c>
      <c r="BF215" s="2" t="e">
        <f t="shared" ca="1" si="5"/>
        <v>#NAME?</v>
      </c>
      <c r="BG215" s="2">
        <f t="shared" ca="1" si="6"/>
        <v>2</v>
      </c>
      <c r="BH215" s="2" t="s">
        <v>283</v>
      </c>
      <c r="BI215" s="2" t="s">
        <v>102</v>
      </c>
      <c r="BJ215" s="7">
        <v>0.69</v>
      </c>
      <c r="BK215" s="2">
        <v>1</v>
      </c>
      <c r="BL215" s="2">
        <f t="shared" si="10"/>
        <v>213</v>
      </c>
      <c r="BM215" s="2" t="str">
        <f t="shared" si="7"/>
        <v>Sumgayit</v>
      </c>
      <c r="BN215" s="7">
        <f t="shared" ref="BN215:BO215" si="222">BJ215</f>
        <v>0.69</v>
      </c>
      <c r="BO215" s="2">
        <f t="shared" si="222"/>
        <v>1</v>
      </c>
      <c r="BS215" s="2" t="str">
        <f t="shared" si="9"/>
        <v>Azerbaijan</v>
      </c>
    </row>
    <row r="216" spans="1:71" ht="13.8" x14ac:dyDescent="0.45">
      <c r="A216" s="2" t="str">
        <f ca="1">IFERROR(__xludf.DUMMYFUNCTION("""COMPUTED_VALUE"""),"Tre Penne")</f>
        <v>Tre Penne</v>
      </c>
      <c r="B216" s="2">
        <f ca="1">IFERROR(__xludf.DUMMYFUNCTION("""COMPUTED_VALUE"""),0.429999999999999)</f>
        <v>0.42999999999999899</v>
      </c>
      <c r="C216" s="2" t="str">
        <f ca="1">IFERROR(__xludf.DUMMYFUNCTION("""COMPUTED_VALUE"""),"San Marino")</f>
        <v>San Marino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5">
        <f ca="1">IFERROR(__xludf.DUMMYFUNCTION("""COMPUTED_VALUE"""),0)</f>
        <v>0</v>
      </c>
      <c r="P216" s="2">
        <f ca="1">IFERROR(__xludf.DUMMYFUNCTION("""COMPUTED_VALUE"""),0)</f>
        <v>0</v>
      </c>
      <c r="Q216" s="2">
        <f ca="1">IFERROR(__xludf.DUMMYFUNCTION("""COMPUTED_VALUE"""),0)</f>
        <v>0</v>
      </c>
      <c r="R216" s="2">
        <f ca="1">IFERROR(__xludf.DUMMYFUNCTION("""COMPUTED_VALUE"""),0)</f>
        <v>0</v>
      </c>
      <c r="S216" s="2">
        <f ca="1">IFERROR(__xludf.DUMMYFUNCTION("""COMPUTED_VALUE"""),0)</f>
        <v>0</v>
      </c>
      <c r="T216" s="2">
        <f ca="1">IFERROR(__xludf.DUMMYFUNCTION("""COMPUTED_VALUE"""),0)</f>
        <v>0</v>
      </c>
      <c r="U216" s="2">
        <f ca="1">IFERROR(__xludf.DUMMYFUNCTION("""COMPUTED_VALUE"""),0)</f>
        <v>0</v>
      </c>
      <c r="V216" s="2">
        <f ca="1">IFERROR(__xludf.DUMMYFUNCTION("""COMPUTED_VALUE"""),0)</f>
        <v>0</v>
      </c>
      <c r="W216" s="2">
        <f ca="1">IFERROR(__xludf.DUMMYFUNCTION("""COMPUTED_VALUE"""),0)</f>
        <v>0</v>
      </c>
      <c r="X216" s="2">
        <f ca="1">IFERROR(__xludf.DUMMYFUNCTION("""COMPUTED_VALUE"""),0)</f>
        <v>0</v>
      </c>
      <c r="Y216" s="2">
        <f ca="1">IFERROR(__xludf.DUMMYFUNCTION("""COMPUTED_VALUE"""),0)</f>
        <v>0</v>
      </c>
      <c r="AB216" s="2" t="str">
        <f ca="1">IFERROR(__xludf.DUMMYFUNCTION("""COMPUTED_VALUE"""),"X")</f>
        <v>X</v>
      </c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>
        <f ca="1">IFERROR(__xludf.DUMMYFUNCTION("""COMPUTED_VALUE"""),0.209999999999999)</f>
        <v>0.20999999999999899</v>
      </c>
      <c r="AN216" s="2">
        <f ca="1">IFERROR(__xludf.DUMMYFUNCTION("""COMPUTED_VALUE"""),0)</f>
        <v>0</v>
      </c>
      <c r="AO216" s="2">
        <f ca="1">IFERROR(__xludf.DUMMYFUNCTION("""COMPUTED_VALUE"""),0)</f>
        <v>0</v>
      </c>
      <c r="AP216" s="2">
        <f ca="1">IFERROR(__xludf.DUMMYFUNCTION("""COMPUTED_VALUE"""),0)</f>
        <v>0</v>
      </c>
      <c r="AQ216" s="2">
        <f ca="1">IFERROR(__xludf.DUMMYFUNCTION("""COMPUTED_VALUE"""),0)</f>
        <v>0</v>
      </c>
      <c r="AR216" s="2">
        <f ca="1">IFERROR(__xludf.DUMMYFUNCTION("""COMPUTED_VALUE"""),0)</f>
        <v>0</v>
      </c>
      <c r="AS216" s="2">
        <f ca="1">IFERROR(__xludf.DUMMYFUNCTION("""COMPUTED_VALUE"""),0)</f>
        <v>0</v>
      </c>
      <c r="AT216" s="2">
        <f ca="1">IFERROR(__xludf.DUMMYFUNCTION("""COMPUTED_VALUE"""),0)</f>
        <v>0</v>
      </c>
      <c r="AU216" s="2">
        <f ca="1">IFERROR(__xludf.DUMMYFUNCTION("""COMPUTED_VALUE"""),0)</f>
        <v>0</v>
      </c>
      <c r="AV216" s="2">
        <f ca="1">IFERROR(__xludf.DUMMYFUNCTION("""COMPUTED_VALUE"""),0)</f>
        <v>0</v>
      </c>
      <c r="AW216" s="2">
        <f ca="1">IFERROR(__xludf.DUMMYFUNCTION("""COMPUTED_VALUE"""),0)</f>
        <v>0</v>
      </c>
      <c r="AY216" s="2">
        <f t="shared" ca="1" si="0"/>
        <v>1</v>
      </c>
      <c r="AZ216" s="2" t="e">
        <f ca="1">IF(NOT(COUNTA(D216:J216)), _xludf.IFS(AL216="W", 'Round Bonuses'!$F$14, AL216="X", 'Round Bonuses'!$F$13, AK216="X", 'Round Bonuses'!$F$12, AJ216="X", 'Round Bonuses'!$F$11, AI216="X", 'Round Bonuses'!$F$10, AH216="X", 'Round Bonuses'!$F$9, AG216="X", 'Round Bonuses'!$F$8, AF216="X", 'Round Bonuses'!$F$7, AE216="X", 'Round Bonuses'!$F$6, AD216="X", 'Round Bonuses'!$F$5, AC216="X", 'Round Bonuses'!$F$4, AB216="X", 'Round Bonuses'!$F$3, TRUE, 0), IF(AA216="X", _xludf.IFS(AD216="X", 'Round Bonuses'!$E$4, AF216="X",'Round Bonuses'!$E$6,TRUE, 'Round Bonuses'!$E$7), 0) +IF(AB216="X", 'Round Bonuses'!$E$3, 0)+IF(AC216="X",'Round Bonuses'!$E$4, 0)+IF(AD216="X", 'Round Bonuses'!$E$5, 0)+IF(AE216="X", 'Round Bonuses'!$E$6, 0)+IF(AF216="X", 'Round Bonuses'!$E$7, 0)+IF(AG216="X", 'Round Bonuses'!$E$8, 0)+_xludf.IFS(AL216="W", 'Round Bonuses'!$G$14, AL216="X", 'Round Bonuses'!$G$13, AK216="X", 'Round Bonuses'!$G$12, AJ216="X", 'Round Bonuses'!$G$11, AI216="X", 'Round Bonuses'!$G$10, AH216="X", 'Round Bonuses'!$G$9, TRUE, 0))+_xludf.IFS(N216="W", 'Round Bonuses'!$C$13, N216="X", 'Round Bonuses'!$C$12, M216="X", 'Round Bonuses'!$C$11, L216="X", 'Round Bonuses'!$C$10, K216="X", 'Round Bonuses'!$C$9, J216="X", 'Round Bonuses'!$C$8, I216="X", 'Round Bonuses'!$C$7, H216="X", 'Round Bonuses'!$C$6, G216="X", 'Round Bonuses'!$C$5, F216="X", 'Round Bonuses'!$C$4, E216="X", 'Round Bonuses'!$C$3, D216="X", 'Round Bonuses'!$C$3, TRUE, 0)</f>
        <v>#NAME?</v>
      </c>
      <c r="BA216" s="2">
        <f t="shared" ca="1" si="1"/>
        <v>0.20999999999999899</v>
      </c>
      <c r="BB216" s="10" t="e">
        <f t="shared" ca="1" si="2"/>
        <v>#NAME?</v>
      </c>
      <c r="BD216" s="11" t="str">
        <f t="shared" ca="1" si="3"/>
        <v>Tre Penne</v>
      </c>
      <c r="BE216" s="2" t="str">
        <f t="shared" ca="1" si="4"/>
        <v>San Marino</v>
      </c>
      <c r="BF216" s="2" t="e">
        <f t="shared" ca="1" si="5"/>
        <v>#NAME?</v>
      </c>
      <c r="BG216" s="2">
        <f t="shared" ca="1" si="6"/>
        <v>1</v>
      </c>
      <c r="BH216" s="2" t="s">
        <v>284</v>
      </c>
      <c r="BI216" s="2" t="s">
        <v>73</v>
      </c>
      <c r="BJ216" s="7">
        <v>0.68500000000000005</v>
      </c>
      <c r="BK216" s="2">
        <v>1</v>
      </c>
      <c r="BL216" s="2">
        <f t="shared" si="10"/>
        <v>214</v>
      </c>
      <c r="BM216" s="2" t="str">
        <f t="shared" si="7"/>
        <v>Puskás Akadémia</v>
      </c>
      <c r="BN216" s="7">
        <f t="shared" ref="BN216:BO216" si="223">BJ216</f>
        <v>0.68500000000000005</v>
      </c>
      <c r="BO216" s="2">
        <f t="shared" si="223"/>
        <v>1</v>
      </c>
      <c r="BS216" s="2" t="str">
        <f t="shared" si="9"/>
        <v>Hungary</v>
      </c>
    </row>
    <row r="217" spans="1:71" ht="13.8" x14ac:dyDescent="0.45">
      <c r="A217" s="2" t="str">
        <f ca="1">IFERROR(__xludf.DUMMYFUNCTION("""COMPUTED_VALUE"""),"TSC Bačka Topola")</f>
        <v>TSC Bačka Topola</v>
      </c>
      <c r="B217" s="2">
        <f ca="1">IFERROR(__xludf.DUMMYFUNCTION("""COMPUTED_VALUE"""),0.78)</f>
        <v>0.78</v>
      </c>
      <c r="C217" s="2" t="str">
        <f ca="1">IFERROR(__xludf.DUMMYFUNCTION("""COMPUTED_VALUE"""),"Serbia")</f>
        <v>Serbia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5">
        <f ca="1">IFERROR(__xludf.DUMMYFUNCTION("""COMPUTED_VALUE"""),0)</f>
        <v>0</v>
      </c>
      <c r="P217" s="2">
        <f ca="1">IFERROR(__xludf.DUMMYFUNCTION("""COMPUTED_VALUE"""),0)</f>
        <v>0</v>
      </c>
      <c r="Q217" s="2">
        <f ca="1">IFERROR(__xludf.DUMMYFUNCTION("""COMPUTED_VALUE"""),0)</f>
        <v>0</v>
      </c>
      <c r="R217" s="2">
        <f ca="1">IFERROR(__xludf.DUMMYFUNCTION("""COMPUTED_VALUE"""),0)</f>
        <v>0</v>
      </c>
      <c r="S217" s="2">
        <f ca="1">IFERROR(__xludf.DUMMYFUNCTION("""COMPUTED_VALUE"""),0)</f>
        <v>0</v>
      </c>
      <c r="T217" s="2">
        <f ca="1">IFERROR(__xludf.DUMMYFUNCTION("""COMPUTED_VALUE"""),0)</f>
        <v>0</v>
      </c>
      <c r="U217" s="2">
        <f ca="1">IFERROR(__xludf.DUMMYFUNCTION("""COMPUTED_VALUE"""),0)</f>
        <v>0</v>
      </c>
      <c r="V217" s="2">
        <f ca="1">IFERROR(__xludf.DUMMYFUNCTION("""COMPUTED_VALUE"""),0)</f>
        <v>0</v>
      </c>
      <c r="W217" s="2">
        <f ca="1">IFERROR(__xludf.DUMMYFUNCTION("""COMPUTED_VALUE"""),0)</f>
        <v>0</v>
      </c>
      <c r="X217" s="2">
        <f ca="1">IFERROR(__xludf.DUMMYFUNCTION("""COMPUTED_VALUE"""),0)</f>
        <v>0</v>
      </c>
      <c r="Y217" s="2">
        <f ca="1">IFERROR(__xludf.DUMMYFUNCTION("""COMPUTED_VALUE"""),0)</f>
        <v>0</v>
      </c>
      <c r="AB217" s="2"/>
      <c r="AC217" s="2" t="str">
        <f ca="1">IFERROR(__xludf.DUMMYFUNCTION("""COMPUTED_VALUE"""),"X")</f>
        <v>X</v>
      </c>
      <c r="AD217" s="2" t="str">
        <f ca="1">IFERROR(__xludf.DUMMYFUNCTION("""COMPUTED_VALUE"""),"X")</f>
        <v>X</v>
      </c>
      <c r="AE217" s="2"/>
      <c r="AF217" s="2"/>
      <c r="AG217" s="2"/>
      <c r="AH217" s="2"/>
      <c r="AI217" s="2"/>
      <c r="AJ217" s="2"/>
      <c r="AK217" s="2"/>
      <c r="AL217" s="2"/>
      <c r="AM217" s="2">
        <f ca="1">IFERROR(__xludf.DUMMYFUNCTION("""COMPUTED_VALUE"""),0)</f>
        <v>0</v>
      </c>
      <c r="AN217" s="2">
        <f ca="1">IFERROR(__xludf.DUMMYFUNCTION("""COMPUTED_VALUE"""),2.67749999999999)</f>
        <v>2.67749999999999</v>
      </c>
      <c r="AO217" s="2">
        <f ca="1">IFERROR(__xludf.DUMMYFUNCTION("""COMPUTED_VALUE"""),0.69)</f>
        <v>0.69</v>
      </c>
      <c r="AP217" s="2">
        <f ca="1">IFERROR(__xludf.DUMMYFUNCTION("""COMPUTED_VALUE"""),0)</f>
        <v>0</v>
      </c>
      <c r="AQ217" s="2">
        <f ca="1">IFERROR(__xludf.DUMMYFUNCTION("""COMPUTED_VALUE"""),0)</f>
        <v>0</v>
      </c>
      <c r="AR217" s="2">
        <f ca="1">IFERROR(__xludf.DUMMYFUNCTION("""COMPUTED_VALUE"""),0)</f>
        <v>0</v>
      </c>
      <c r="AS217" s="2">
        <f ca="1">IFERROR(__xludf.DUMMYFUNCTION("""COMPUTED_VALUE"""),0)</f>
        <v>0</v>
      </c>
      <c r="AT217" s="2">
        <f ca="1">IFERROR(__xludf.DUMMYFUNCTION("""COMPUTED_VALUE"""),0)</f>
        <v>0</v>
      </c>
      <c r="AU217" s="2">
        <f ca="1">IFERROR(__xludf.DUMMYFUNCTION("""COMPUTED_VALUE"""),0)</f>
        <v>0</v>
      </c>
      <c r="AV217" s="2">
        <f ca="1">IFERROR(__xludf.DUMMYFUNCTION("""COMPUTED_VALUE"""),0)</f>
        <v>0</v>
      </c>
      <c r="AW217" s="2">
        <f ca="1">IFERROR(__xludf.DUMMYFUNCTION("""COMPUTED_VALUE"""),0)</f>
        <v>0</v>
      </c>
      <c r="AY217" s="2">
        <f t="shared" ca="1" si="0"/>
        <v>2</v>
      </c>
      <c r="AZ217" s="2" t="e">
        <f ca="1">IF(NOT(COUNTA(D217:J217)), _xludf.IFS(AL217="W", 'Round Bonuses'!$F$14, AL217="X", 'Round Bonuses'!$F$13, AK217="X", 'Round Bonuses'!$F$12, AJ217="X", 'Round Bonuses'!$F$11, AI217="X", 'Round Bonuses'!$F$10, AH217="X", 'Round Bonuses'!$F$9, AG217="X", 'Round Bonuses'!$F$8, AF217="X", 'Round Bonuses'!$F$7, AE217="X", 'Round Bonuses'!$F$6, AD217="X", 'Round Bonuses'!$F$5, AC217="X", 'Round Bonuses'!$F$4, AB217="X", 'Round Bonuses'!$F$3, TRUE, 0), IF(AA217="X", _xludf.IFS(AD217="X", 'Round Bonuses'!$E$4, AF217="X",'Round Bonuses'!$E$6,TRUE, 'Round Bonuses'!$E$7), 0) +IF(AB217="X", 'Round Bonuses'!$E$3, 0)+IF(AC217="X",'Round Bonuses'!$E$4, 0)+IF(AD217="X", 'Round Bonuses'!$E$5, 0)+IF(AE217="X", 'Round Bonuses'!$E$6, 0)+IF(AF217="X", 'Round Bonuses'!$E$7, 0)+IF(AG217="X", 'Round Bonuses'!$E$8, 0)+_xludf.IFS(AL217="W", 'Round Bonuses'!$G$14, AL217="X", 'Round Bonuses'!$G$13, AK217="X", 'Round Bonuses'!$G$12, AJ217="X", 'Round Bonuses'!$G$11, AI217="X", 'Round Bonuses'!$G$10, AH217="X", 'Round Bonuses'!$G$9, TRUE, 0))+_xludf.IFS(N217="W", 'Round Bonuses'!$C$13, N217="X", 'Round Bonuses'!$C$12, M217="X", 'Round Bonuses'!$C$11, L217="X", 'Round Bonuses'!$C$10, K217="X", 'Round Bonuses'!$C$9, J217="X", 'Round Bonuses'!$C$8, I217="X", 'Round Bonuses'!$C$7, H217="X", 'Round Bonuses'!$C$6, G217="X", 'Round Bonuses'!$C$5, F217="X", 'Round Bonuses'!$C$4, E217="X", 'Round Bonuses'!$C$3, D217="X", 'Round Bonuses'!$C$3, TRUE, 0)</f>
        <v>#NAME?</v>
      </c>
      <c r="BA217" s="2">
        <f t="shared" ca="1" si="1"/>
        <v>3.3674999999999899</v>
      </c>
      <c r="BB217" s="10" t="e">
        <f t="shared" ca="1" si="2"/>
        <v>#NAME?</v>
      </c>
      <c r="BD217" s="11" t="str">
        <f t="shared" ca="1" si="3"/>
        <v>TSC Bačka Topola</v>
      </c>
      <c r="BE217" s="2" t="str">
        <f t="shared" ca="1" si="4"/>
        <v>Serbia</v>
      </c>
      <c r="BF217" s="2" t="e">
        <f t="shared" ca="1" si="5"/>
        <v>#NAME?</v>
      </c>
      <c r="BG217" s="2">
        <f t="shared" ca="1" si="6"/>
        <v>2</v>
      </c>
      <c r="BH217" s="2" t="s">
        <v>285</v>
      </c>
      <c r="BI217" s="2" t="s">
        <v>144</v>
      </c>
      <c r="BJ217" s="7">
        <v>0.67500000000000004</v>
      </c>
      <c r="BK217" s="2">
        <v>1</v>
      </c>
      <c r="BL217" s="2">
        <f t="shared" si="10"/>
        <v>215</v>
      </c>
      <c r="BM217" s="2" t="str">
        <f t="shared" si="7"/>
        <v>Noah</v>
      </c>
      <c r="BN217" s="7">
        <f t="shared" ref="BN217:BO217" si="224">BJ217</f>
        <v>0.67500000000000004</v>
      </c>
      <c r="BO217" s="2">
        <f t="shared" si="224"/>
        <v>1</v>
      </c>
      <c r="BS217" s="2" t="str">
        <f t="shared" si="9"/>
        <v>Armenia</v>
      </c>
    </row>
    <row r="218" spans="1:71" ht="13.8" x14ac:dyDescent="0.45">
      <c r="A218" s="2" t="str">
        <f ca="1">IFERROR(__xludf.DUMMYFUNCTION("""COMPUTED_VALUE"""),"Union Titus Pétange")</f>
        <v>Union Titus Pétange</v>
      </c>
      <c r="B218" s="2">
        <f ca="1">IFERROR(__xludf.DUMMYFUNCTION("""COMPUTED_VALUE"""),0.54)</f>
        <v>0.54</v>
      </c>
      <c r="C218" s="2" t="str">
        <f ca="1">IFERROR(__xludf.DUMMYFUNCTION("""COMPUTED_VALUE"""),"Luxembourg")</f>
        <v>Luxembourg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5">
        <f ca="1">IFERROR(__xludf.DUMMYFUNCTION("""COMPUTED_VALUE"""),0)</f>
        <v>0</v>
      </c>
      <c r="P218" s="2">
        <f ca="1">IFERROR(__xludf.DUMMYFUNCTION("""COMPUTED_VALUE"""),0)</f>
        <v>0</v>
      </c>
      <c r="Q218" s="2">
        <f ca="1">IFERROR(__xludf.DUMMYFUNCTION("""COMPUTED_VALUE"""),0)</f>
        <v>0</v>
      </c>
      <c r="R218" s="2">
        <f ca="1">IFERROR(__xludf.DUMMYFUNCTION("""COMPUTED_VALUE"""),0)</f>
        <v>0</v>
      </c>
      <c r="S218" s="2">
        <f ca="1">IFERROR(__xludf.DUMMYFUNCTION("""COMPUTED_VALUE"""),0)</f>
        <v>0</v>
      </c>
      <c r="T218" s="2">
        <f ca="1">IFERROR(__xludf.DUMMYFUNCTION("""COMPUTED_VALUE"""),0)</f>
        <v>0</v>
      </c>
      <c r="U218" s="2">
        <f ca="1">IFERROR(__xludf.DUMMYFUNCTION("""COMPUTED_VALUE"""),0)</f>
        <v>0</v>
      </c>
      <c r="V218" s="2">
        <f ca="1">IFERROR(__xludf.DUMMYFUNCTION("""COMPUTED_VALUE"""),0)</f>
        <v>0</v>
      </c>
      <c r="W218" s="2">
        <f ca="1">IFERROR(__xludf.DUMMYFUNCTION("""COMPUTED_VALUE"""),0)</f>
        <v>0</v>
      </c>
      <c r="X218" s="2">
        <f ca="1">IFERROR(__xludf.DUMMYFUNCTION("""COMPUTED_VALUE"""),0)</f>
        <v>0</v>
      </c>
      <c r="Y218" s="2">
        <f ca="1">IFERROR(__xludf.DUMMYFUNCTION("""COMPUTED_VALUE"""),0)</f>
        <v>0</v>
      </c>
      <c r="AB218" s="2"/>
      <c r="AC218" s="2" t="str">
        <f ca="1">IFERROR(__xludf.DUMMYFUNCTION("""COMPUTED_VALUE"""),"X")</f>
        <v>X</v>
      </c>
      <c r="AD218" s="2"/>
      <c r="AE218" s="2"/>
      <c r="AF218" s="2"/>
      <c r="AG218" s="2"/>
      <c r="AH218" s="2"/>
      <c r="AI218" s="2"/>
      <c r="AJ218" s="2"/>
      <c r="AK218" s="2"/>
      <c r="AL218" s="2"/>
      <c r="AM218" s="2">
        <f ca="1">IFERROR(__xludf.DUMMYFUNCTION("""COMPUTED_VALUE"""),0)</f>
        <v>0</v>
      </c>
      <c r="AN218" s="2">
        <f ca="1">IFERROR(__xludf.DUMMYFUNCTION("""COMPUTED_VALUE"""),0.219999999999999)</f>
        <v>0.219999999999999</v>
      </c>
      <c r="AO218" s="2">
        <f ca="1">IFERROR(__xludf.DUMMYFUNCTION("""COMPUTED_VALUE"""),0)</f>
        <v>0</v>
      </c>
      <c r="AP218" s="2">
        <f ca="1">IFERROR(__xludf.DUMMYFUNCTION("""COMPUTED_VALUE"""),0)</f>
        <v>0</v>
      </c>
      <c r="AQ218" s="2">
        <f ca="1">IFERROR(__xludf.DUMMYFUNCTION("""COMPUTED_VALUE"""),0)</f>
        <v>0</v>
      </c>
      <c r="AR218" s="2">
        <f ca="1">IFERROR(__xludf.DUMMYFUNCTION("""COMPUTED_VALUE"""),0)</f>
        <v>0</v>
      </c>
      <c r="AS218" s="2">
        <f ca="1">IFERROR(__xludf.DUMMYFUNCTION("""COMPUTED_VALUE"""),0)</f>
        <v>0</v>
      </c>
      <c r="AT218" s="2">
        <f ca="1">IFERROR(__xludf.DUMMYFUNCTION("""COMPUTED_VALUE"""),0)</f>
        <v>0</v>
      </c>
      <c r="AU218" s="2">
        <f ca="1">IFERROR(__xludf.DUMMYFUNCTION("""COMPUTED_VALUE"""),0)</f>
        <v>0</v>
      </c>
      <c r="AV218" s="2">
        <f ca="1">IFERROR(__xludf.DUMMYFUNCTION("""COMPUTED_VALUE"""),0)</f>
        <v>0</v>
      </c>
      <c r="AW218" s="2">
        <f ca="1">IFERROR(__xludf.DUMMYFUNCTION("""COMPUTED_VALUE"""),0)</f>
        <v>0</v>
      </c>
      <c r="AY218" s="2">
        <f t="shared" ca="1" si="0"/>
        <v>1</v>
      </c>
      <c r="AZ218" s="2" t="e">
        <f ca="1">IF(NOT(COUNTA(D218:J218)), _xludf.IFS(AL218="W", 'Round Bonuses'!$F$14, AL218="X", 'Round Bonuses'!$F$13, AK218="X", 'Round Bonuses'!$F$12, AJ218="X", 'Round Bonuses'!$F$11, AI218="X", 'Round Bonuses'!$F$10, AH218="X", 'Round Bonuses'!$F$9, AG218="X", 'Round Bonuses'!$F$8, AF218="X", 'Round Bonuses'!$F$7, AE218="X", 'Round Bonuses'!$F$6, AD218="X", 'Round Bonuses'!$F$5, AC218="X", 'Round Bonuses'!$F$4, AB218="X", 'Round Bonuses'!$F$3, TRUE, 0), IF(AA218="X", _xludf.IFS(AD218="X", 'Round Bonuses'!$E$4, AF218="X",'Round Bonuses'!$E$6,TRUE, 'Round Bonuses'!$E$7), 0) +IF(AB218="X", 'Round Bonuses'!$E$3, 0)+IF(AC218="X",'Round Bonuses'!$E$4, 0)+IF(AD218="X", 'Round Bonuses'!$E$5, 0)+IF(AE218="X", 'Round Bonuses'!$E$6, 0)+IF(AF218="X", 'Round Bonuses'!$E$7, 0)+IF(AG218="X", 'Round Bonuses'!$E$8, 0)+_xludf.IFS(AL218="W", 'Round Bonuses'!$G$14, AL218="X", 'Round Bonuses'!$G$13, AK218="X", 'Round Bonuses'!$G$12, AJ218="X", 'Round Bonuses'!$G$11, AI218="X", 'Round Bonuses'!$G$10, AH218="X", 'Round Bonuses'!$G$9, TRUE, 0))+_xludf.IFS(N218="W", 'Round Bonuses'!$C$13, N218="X", 'Round Bonuses'!$C$12, M218="X", 'Round Bonuses'!$C$11, L218="X", 'Round Bonuses'!$C$10, K218="X", 'Round Bonuses'!$C$9, J218="X", 'Round Bonuses'!$C$8, I218="X", 'Round Bonuses'!$C$7, H218="X", 'Round Bonuses'!$C$6, G218="X", 'Round Bonuses'!$C$5, F218="X", 'Round Bonuses'!$C$4, E218="X", 'Round Bonuses'!$C$3, D218="X", 'Round Bonuses'!$C$3, TRUE, 0)</f>
        <v>#NAME?</v>
      </c>
      <c r="BA218" s="2">
        <f t="shared" ca="1" si="1"/>
        <v>0.219999999999999</v>
      </c>
      <c r="BB218" s="10" t="e">
        <f t="shared" ca="1" si="2"/>
        <v>#NAME?</v>
      </c>
      <c r="BD218" s="11" t="str">
        <f t="shared" ca="1" si="3"/>
        <v>Union Titus Pétange</v>
      </c>
      <c r="BE218" s="2" t="str">
        <f t="shared" ca="1" si="4"/>
        <v>Luxembourg</v>
      </c>
      <c r="BF218" s="2" t="e">
        <f t="shared" ca="1" si="5"/>
        <v>#NAME?</v>
      </c>
      <c r="BG218" s="2">
        <f t="shared" ca="1" si="6"/>
        <v>1</v>
      </c>
      <c r="BH218" s="2" t="s">
        <v>286</v>
      </c>
      <c r="BI218" s="2" t="s">
        <v>104</v>
      </c>
      <c r="BJ218" s="7">
        <v>0.67500000000000004</v>
      </c>
      <c r="BK218" s="2">
        <v>1</v>
      </c>
      <c r="BL218" s="2">
        <f t="shared" si="10"/>
        <v>216</v>
      </c>
      <c r="BM218" s="2" t="str">
        <f t="shared" si="7"/>
        <v>Universitatea Craiova</v>
      </c>
      <c r="BN218" s="7">
        <f t="shared" ref="BN218:BO218" si="225">BJ218</f>
        <v>0.67500000000000004</v>
      </c>
      <c r="BO218" s="2">
        <f t="shared" si="225"/>
        <v>1</v>
      </c>
      <c r="BS218" s="2" t="str">
        <f t="shared" si="9"/>
        <v>Romania</v>
      </c>
    </row>
    <row r="219" spans="1:71" ht="13.8" x14ac:dyDescent="0.45">
      <c r="A219" s="2" t="str">
        <f ca="1">IFERROR(__xludf.DUMMYFUNCTION("""COMPUTED_VALUE"""),"Universitatea Craiova")</f>
        <v>Universitatea Craiova</v>
      </c>
      <c r="B219" s="2">
        <f ca="1">IFERROR(__xludf.DUMMYFUNCTION("""COMPUTED_VALUE"""),0.7)</f>
        <v>0.7</v>
      </c>
      <c r="C219" s="2" t="str">
        <f ca="1">IFERROR(__xludf.DUMMYFUNCTION("""COMPUTED_VALUE"""),"Romania")</f>
        <v>Romania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5">
        <f ca="1">IFERROR(__xludf.DUMMYFUNCTION("""COMPUTED_VALUE"""),0)</f>
        <v>0</v>
      </c>
      <c r="P219" s="2">
        <f ca="1">IFERROR(__xludf.DUMMYFUNCTION("""COMPUTED_VALUE"""),0)</f>
        <v>0</v>
      </c>
      <c r="Q219" s="2">
        <f ca="1">IFERROR(__xludf.DUMMYFUNCTION("""COMPUTED_VALUE"""),0)</f>
        <v>0</v>
      </c>
      <c r="R219" s="2">
        <f ca="1">IFERROR(__xludf.DUMMYFUNCTION("""COMPUTED_VALUE"""),0)</f>
        <v>0</v>
      </c>
      <c r="S219" s="2">
        <f ca="1">IFERROR(__xludf.DUMMYFUNCTION("""COMPUTED_VALUE"""),0)</f>
        <v>0</v>
      </c>
      <c r="T219" s="2">
        <f ca="1">IFERROR(__xludf.DUMMYFUNCTION("""COMPUTED_VALUE"""),0)</f>
        <v>0</v>
      </c>
      <c r="U219" s="2">
        <f ca="1">IFERROR(__xludf.DUMMYFUNCTION("""COMPUTED_VALUE"""),0)</f>
        <v>0</v>
      </c>
      <c r="V219" s="2">
        <f ca="1">IFERROR(__xludf.DUMMYFUNCTION("""COMPUTED_VALUE"""),0)</f>
        <v>0</v>
      </c>
      <c r="W219" s="2">
        <f ca="1">IFERROR(__xludf.DUMMYFUNCTION("""COMPUTED_VALUE"""),0)</f>
        <v>0</v>
      </c>
      <c r="X219" s="2">
        <f ca="1">IFERROR(__xludf.DUMMYFUNCTION("""COMPUTED_VALUE"""),0)</f>
        <v>0</v>
      </c>
      <c r="Y219" s="2">
        <f ca="1">IFERROR(__xludf.DUMMYFUNCTION("""COMPUTED_VALUE"""),0)</f>
        <v>0</v>
      </c>
      <c r="AB219" s="2"/>
      <c r="AC219" s="2" t="str">
        <f ca="1">IFERROR(__xludf.DUMMYFUNCTION("""COMPUTED_VALUE"""),"X")</f>
        <v>X</v>
      </c>
      <c r="AD219" s="2"/>
      <c r="AE219" s="2"/>
      <c r="AF219" s="2"/>
      <c r="AG219" s="2"/>
      <c r="AH219" s="2"/>
      <c r="AI219" s="2"/>
      <c r="AJ219" s="2"/>
      <c r="AK219" s="2"/>
      <c r="AL219" s="2"/>
      <c r="AM219" s="2">
        <f ca="1">IFERROR(__xludf.DUMMYFUNCTION("""COMPUTED_VALUE"""),0)</f>
        <v>0</v>
      </c>
      <c r="AN219" s="2">
        <f ca="1">IFERROR(__xludf.DUMMYFUNCTION("""COMPUTED_VALUE"""),0.375)</f>
        <v>0.375</v>
      </c>
      <c r="AO219" s="2">
        <f ca="1">IFERROR(__xludf.DUMMYFUNCTION("""COMPUTED_VALUE"""),0)</f>
        <v>0</v>
      </c>
      <c r="AP219" s="2">
        <f ca="1">IFERROR(__xludf.DUMMYFUNCTION("""COMPUTED_VALUE"""),0)</f>
        <v>0</v>
      </c>
      <c r="AQ219" s="2">
        <f ca="1">IFERROR(__xludf.DUMMYFUNCTION("""COMPUTED_VALUE"""),0)</f>
        <v>0</v>
      </c>
      <c r="AR219" s="2">
        <f ca="1">IFERROR(__xludf.DUMMYFUNCTION("""COMPUTED_VALUE"""),0)</f>
        <v>0</v>
      </c>
      <c r="AS219" s="2">
        <f ca="1">IFERROR(__xludf.DUMMYFUNCTION("""COMPUTED_VALUE"""),0)</f>
        <v>0</v>
      </c>
      <c r="AT219" s="2">
        <f ca="1">IFERROR(__xludf.DUMMYFUNCTION("""COMPUTED_VALUE"""),0)</f>
        <v>0</v>
      </c>
      <c r="AU219" s="2">
        <f ca="1">IFERROR(__xludf.DUMMYFUNCTION("""COMPUTED_VALUE"""),0)</f>
        <v>0</v>
      </c>
      <c r="AV219" s="2">
        <f ca="1">IFERROR(__xludf.DUMMYFUNCTION("""COMPUTED_VALUE"""),0)</f>
        <v>0</v>
      </c>
      <c r="AW219" s="2">
        <f ca="1">IFERROR(__xludf.DUMMYFUNCTION("""COMPUTED_VALUE"""),0)</f>
        <v>0</v>
      </c>
      <c r="AY219" s="2">
        <f t="shared" ca="1" si="0"/>
        <v>1</v>
      </c>
      <c r="AZ219" s="2" t="e">
        <f ca="1">IF(NOT(COUNTA(D219:J219)), _xludf.IFS(AL219="W", 'Round Bonuses'!$F$14, AL219="X", 'Round Bonuses'!$F$13, AK219="X", 'Round Bonuses'!$F$12, AJ219="X", 'Round Bonuses'!$F$11, AI219="X", 'Round Bonuses'!$F$10, AH219="X", 'Round Bonuses'!$F$9, AG219="X", 'Round Bonuses'!$F$8, AF219="X", 'Round Bonuses'!$F$7, AE219="X", 'Round Bonuses'!$F$6, AD219="X", 'Round Bonuses'!$F$5, AC219="X", 'Round Bonuses'!$F$4, AB219="X", 'Round Bonuses'!$F$3, TRUE, 0), IF(AA219="X", _xludf.IFS(AD219="X", 'Round Bonuses'!$E$4, AF219="X",'Round Bonuses'!$E$6,TRUE, 'Round Bonuses'!$E$7), 0) +IF(AB219="X", 'Round Bonuses'!$E$3, 0)+IF(AC219="X",'Round Bonuses'!$E$4, 0)+IF(AD219="X", 'Round Bonuses'!$E$5, 0)+IF(AE219="X", 'Round Bonuses'!$E$6, 0)+IF(AF219="X", 'Round Bonuses'!$E$7, 0)+IF(AG219="X", 'Round Bonuses'!$E$8, 0)+_xludf.IFS(AL219="W", 'Round Bonuses'!$G$14, AL219="X", 'Round Bonuses'!$G$13, AK219="X", 'Round Bonuses'!$G$12, AJ219="X", 'Round Bonuses'!$G$11, AI219="X", 'Round Bonuses'!$G$10, AH219="X", 'Round Bonuses'!$G$9, TRUE, 0))+_xludf.IFS(N219="W", 'Round Bonuses'!$C$13, N219="X", 'Round Bonuses'!$C$12, M219="X", 'Round Bonuses'!$C$11, L219="X", 'Round Bonuses'!$C$10, K219="X", 'Round Bonuses'!$C$9, J219="X", 'Round Bonuses'!$C$8, I219="X", 'Round Bonuses'!$C$7, H219="X", 'Round Bonuses'!$C$6, G219="X", 'Round Bonuses'!$C$5, F219="X", 'Round Bonuses'!$C$4, E219="X", 'Round Bonuses'!$C$3, D219="X", 'Round Bonuses'!$C$3, TRUE, 0)</f>
        <v>#NAME?</v>
      </c>
      <c r="BA219" s="2">
        <f t="shared" ca="1" si="1"/>
        <v>0.375</v>
      </c>
      <c r="BB219" s="10" t="e">
        <f t="shared" ca="1" si="2"/>
        <v>#NAME?</v>
      </c>
      <c r="BD219" s="11" t="str">
        <f t="shared" ca="1" si="3"/>
        <v>Universitatea Craiova</v>
      </c>
      <c r="BE219" s="2" t="str">
        <f t="shared" ca="1" si="4"/>
        <v>Romania</v>
      </c>
      <c r="BF219" s="2" t="e">
        <f t="shared" ca="1" si="5"/>
        <v>#NAME?</v>
      </c>
      <c r="BG219" s="2">
        <f t="shared" ca="1" si="6"/>
        <v>1</v>
      </c>
      <c r="BH219" s="2" t="s">
        <v>287</v>
      </c>
      <c r="BI219" s="2" t="s">
        <v>191</v>
      </c>
      <c r="BJ219" s="7">
        <v>0.67500000000000004</v>
      </c>
      <c r="BK219" s="2">
        <v>1</v>
      </c>
      <c r="BL219" s="2">
        <f t="shared" si="10"/>
        <v>217</v>
      </c>
      <c r="BM219" s="2" t="str">
        <f t="shared" si="7"/>
        <v>Valletta</v>
      </c>
      <c r="BN219" s="7">
        <f t="shared" ref="BN219:BO219" si="226">BJ219</f>
        <v>0.67500000000000004</v>
      </c>
      <c r="BO219" s="2">
        <f t="shared" si="226"/>
        <v>1</v>
      </c>
      <c r="BS219" s="2" t="str">
        <f t="shared" si="9"/>
        <v>Malta</v>
      </c>
    </row>
    <row r="220" spans="1:71" ht="13.8" x14ac:dyDescent="0.45">
      <c r="A220" s="2" t="str">
        <f ca="1">IFERROR(__xludf.DUMMYFUNCTION("""COMPUTED_VALUE"""),"Vaduz")</f>
        <v>Vaduz</v>
      </c>
      <c r="B220" s="2">
        <f ca="1">IFERROR(__xludf.DUMMYFUNCTION("""COMPUTED_VALUE"""),0.58)</f>
        <v>0.57999999999999996</v>
      </c>
      <c r="C220" s="2" t="str">
        <f ca="1">IFERROR(__xludf.DUMMYFUNCTION("""COMPUTED_VALUE"""),"Lichtenstein")</f>
        <v>Lichtenstein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5">
        <f ca="1">IFERROR(__xludf.DUMMYFUNCTION("""COMPUTED_VALUE"""),0)</f>
        <v>0</v>
      </c>
      <c r="P220" s="2">
        <f ca="1">IFERROR(__xludf.DUMMYFUNCTION("""COMPUTED_VALUE"""),0)</f>
        <v>0</v>
      </c>
      <c r="Q220" s="2">
        <f ca="1">IFERROR(__xludf.DUMMYFUNCTION("""COMPUTED_VALUE"""),0)</f>
        <v>0</v>
      </c>
      <c r="R220" s="2">
        <f ca="1">IFERROR(__xludf.DUMMYFUNCTION("""COMPUTED_VALUE"""),0)</f>
        <v>0</v>
      </c>
      <c r="S220" s="2">
        <f ca="1">IFERROR(__xludf.DUMMYFUNCTION("""COMPUTED_VALUE"""),0)</f>
        <v>0</v>
      </c>
      <c r="T220" s="2">
        <f ca="1">IFERROR(__xludf.DUMMYFUNCTION("""COMPUTED_VALUE"""),0)</f>
        <v>0</v>
      </c>
      <c r="U220" s="2">
        <f ca="1">IFERROR(__xludf.DUMMYFUNCTION("""COMPUTED_VALUE"""),0)</f>
        <v>0</v>
      </c>
      <c r="V220" s="2">
        <f ca="1">IFERROR(__xludf.DUMMYFUNCTION("""COMPUTED_VALUE"""),0)</f>
        <v>0</v>
      </c>
      <c r="W220" s="2">
        <f ca="1">IFERROR(__xludf.DUMMYFUNCTION("""COMPUTED_VALUE"""),0)</f>
        <v>0</v>
      </c>
      <c r="X220" s="2">
        <f ca="1">IFERROR(__xludf.DUMMYFUNCTION("""COMPUTED_VALUE"""),0)</f>
        <v>0</v>
      </c>
      <c r="Y220" s="2">
        <f ca="1">IFERROR(__xludf.DUMMYFUNCTION("""COMPUTED_VALUE"""),0)</f>
        <v>0</v>
      </c>
      <c r="AB220" s="2"/>
      <c r="AC220" s="2" t="str">
        <f ca="1">IFERROR(__xludf.DUMMYFUNCTION("""COMPUTED_VALUE"""),"X")</f>
        <v>X</v>
      </c>
      <c r="AD220" s="2"/>
      <c r="AE220" s="2"/>
      <c r="AF220" s="2"/>
      <c r="AG220" s="2"/>
      <c r="AH220" s="2"/>
      <c r="AI220" s="2"/>
      <c r="AJ220" s="2"/>
      <c r="AK220" s="2"/>
      <c r="AL220" s="2"/>
      <c r="AM220" s="2">
        <f ca="1">IFERROR(__xludf.DUMMYFUNCTION("""COMPUTED_VALUE"""),0)</f>
        <v>0</v>
      </c>
      <c r="AN220" s="2">
        <f ca="1">IFERROR(__xludf.DUMMYFUNCTION("""COMPUTED_VALUE"""),0.28)</f>
        <v>0.28000000000000003</v>
      </c>
      <c r="AO220" s="2">
        <f ca="1">IFERROR(__xludf.DUMMYFUNCTION("""COMPUTED_VALUE"""),0)</f>
        <v>0</v>
      </c>
      <c r="AP220" s="2">
        <f ca="1">IFERROR(__xludf.DUMMYFUNCTION("""COMPUTED_VALUE"""),0)</f>
        <v>0</v>
      </c>
      <c r="AQ220" s="2">
        <f ca="1">IFERROR(__xludf.DUMMYFUNCTION("""COMPUTED_VALUE"""),0)</f>
        <v>0</v>
      </c>
      <c r="AR220" s="2">
        <f ca="1">IFERROR(__xludf.DUMMYFUNCTION("""COMPUTED_VALUE"""),0)</f>
        <v>0</v>
      </c>
      <c r="AS220" s="2">
        <f ca="1">IFERROR(__xludf.DUMMYFUNCTION("""COMPUTED_VALUE"""),0)</f>
        <v>0</v>
      </c>
      <c r="AT220" s="2">
        <f ca="1">IFERROR(__xludf.DUMMYFUNCTION("""COMPUTED_VALUE"""),0)</f>
        <v>0</v>
      </c>
      <c r="AU220" s="2">
        <f ca="1">IFERROR(__xludf.DUMMYFUNCTION("""COMPUTED_VALUE"""),0)</f>
        <v>0</v>
      </c>
      <c r="AV220" s="2">
        <f ca="1">IFERROR(__xludf.DUMMYFUNCTION("""COMPUTED_VALUE"""),0)</f>
        <v>0</v>
      </c>
      <c r="AW220" s="2">
        <f ca="1">IFERROR(__xludf.DUMMYFUNCTION("""COMPUTED_VALUE"""),0)</f>
        <v>0</v>
      </c>
      <c r="AY220" s="2">
        <f t="shared" ca="1" si="0"/>
        <v>1</v>
      </c>
      <c r="AZ220" s="2" t="e">
        <f ca="1">IF(NOT(COUNTA(D220:J220)), _xludf.IFS(AL220="W", 'Round Bonuses'!$F$14, AL220="X", 'Round Bonuses'!$F$13, AK220="X", 'Round Bonuses'!$F$12, AJ220="X", 'Round Bonuses'!$F$11, AI220="X", 'Round Bonuses'!$F$10, AH220="X", 'Round Bonuses'!$F$9, AG220="X", 'Round Bonuses'!$F$8, AF220="X", 'Round Bonuses'!$F$7, AE220="X", 'Round Bonuses'!$F$6, AD220="X", 'Round Bonuses'!$F$5, AC220="X", 'Round Bonuses'!$F$4, AB220="X", 'Round Bonuses'!$F$3, TRUE, 0), IF(AA220="X", _xludf.IFS(AD220="X", 'Round Bonuses'!$E$4, AF220="X",'Round Bonuses'!$E$6,TRUE, 'Round Bonuses'!$E$7), 0) +IF(AB220="X", 'Round Bonuses'!$E$3, 0)+IF(AC220="X",'Round Bonuses'!$E$4, 0)+IF(AD220="X", 'Round Bonuses'!$E$5, 0)+IF(AE220="X", 'Round Bonuses'!$E$6, 0)+IF(AF220="X", 'Round Bonuses'!$E$7, 0)+IF(AG220="X", 'Round Bonuses'!$E$8, 0)+_xludf.IFS(AL220="W", 'Round Bonuses'!$G$14, AL220="X", 'Round Bonuses'!$G$13, AK220="X", 'Round Bonuses'!$G$12, AJ220="X", 'Round Bonuses'!$G$11, AI220="X", 'Round Bonuses'!$G$10, AH220="X", 'Round Bonuses'!$G$9, TRUE, 0))+_xludf.IFS(N220="W", 'Round Bonuses'!$C$13, N220="X", 'Round Bonuses'!$C$12, M220="X", 'Round Bonuses'!$C$11, L220="X", 'Round Bonuses'!$C$10, K220="X", 'Round Bonuses'!$C$9, J220="X", 'Round Bonuses'!$C$8, I220="X", 'Round Bonuses'!$C$7, H220="X", 'Round Bonuses'!$C$6, G220="X", 'Round Bonuses'!$C$5, F220="X", 'Round Bonuses'!$C$4, E220="X", 'Round Bonuses'!$C$3, D220="X", 'Round Bonuses'!$C$3, TRUE, 0)</f>
        <v>#NAME?</v>
      </c>
      <c r="BA220" s="2">
        <f t="shared" ca="1" si="1"/>
        <v>0.28000000000000003</v>
      </c>
      <c r="BB220" s="10" t="e">
        <f t="shared" ca="1" si="2"/>
        <v>#NAME?</v>
      </c>
      <c r="BD220" s="11" t="str">
        <f t="shared" ca="1" si="3"/>
        <v>Vaduz</v>
      </c>
      <c r="BE220" s="2" t="str">
        <f t="shared" ca="1" si="4"/>
        <v>Lichtenstein</v>
      </c>
      <c r="BF220" s="2" t="e">
        <f t="shared" ca="1" si="5"/>
        <v>#NAME?</v>
      </c>
      <c r="BG220" s="2">
        <f t="shared" ca="1" si="6"/>
        <v>1</v>
      </c>
      <c r="BH220" s="2" t="s">
        <v>288</v>
      </c>
      <c r="BI220" s="2" t="s">
        <v>68</v>
      </c>
      <c r="BJ220" s="7">
        <v>0.66999999999999993</v>
      </c>
      <c r="BK220" s="2">
        <v>1</v>
      </c>
      <c r="BL220" s="2">
        <f t="shared" si="10"/>
        <v>218</v>
      </c>
      <c r="BM220" s="2" t="str">
        <f t="shared" si="7"/>
        <v>Beitar Jerusalem</v>
      </c>
      <c r="BN220" s="7">
        <f t="shared" ref="BN220:BO220" si="227">BJ220</f>
        <v>0.66999999999999993</v>
      </c>
      <c r="BO220" s="2">
        <f t="shared" si="227"/>
        <v>1</v>
      </c>
      <c r="BS220" s="2" t="str">
        <f t="shared" si="9"/>
        <v>Israel</v>
      </c>
    </row>
    <row r="221" spans="1:71" ht="13.8" x14ac:dyDescent="0.45">
      <c r="A221" s="2" t="str">
        <f ca="1">IFERROR(__xludf.DUMMYFUNCTION("""COMPUTED_VALUE"""),"Valletta")</f>
        <v>Valletta</v>
      </c>
      <c r="B221" s="2">
        <f ca="1">IFERROR(__xludf.DUMMYFUNCTION("""COMPUTED_VALUE"""),0.54)</f>
        <v>0.54</v>
      </c>
      <c r="C221" s="2" t="str">
        <f ca="1">IFERROR(__xludf.DUMMYFUNCTION("""COMPUTED_VALUE"""),"Malta")</f>
        <v>Malta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5">
        <f ca="1">IFERROR(__xludf.DUMMYFUNCTION("""COMPUTED_VALUE"""),0)</f>
        <v>0</v>
      </c>
      <c r="P221" s="2">
        <f ca="1">IFERROR(__xludf.DUMMYFUNCTION("""COMPUTED_VALUE"""),0)</f>
        <v>0</v>
      </c>
      <c r="Q221" s="2">
        <f ca="1">IFERROR(__xludf.DUMMYFUNCTION("""COMPUTED_VALUE"""),0)</f>
        <v>0</v>
      </c>
      <c r="R221" s="2">
        <f ca="1">IFERROR(__xludf.DUMMYFUNCTION("""COMPUTED_VALUE"""),0)</f>
        <v>0</v>
      </c>
      <c r="S221" s="2">
        <f ca="1">IFERROR(__xludf.DUMMYFUNCTION("""COMPUTED_VALUE"""),0)</f>
        <v>0</v>
      </c>
      <c r="T221" s="2">
        <f ca="1">IFERROR(__xludf.DUMMYFUNCTION("""COMPUTED_VALUE"""),0)</f>
        <v>0</v>
      </c>
      <c r="U221" s="2">
        <f ca="1">IFERROR(__xludf.DUMMYFUNCTION("""COMPUTED_VALUE"""),0)</f>
        <v>0</v>
      </c>
      <c r="V221" s="2">
        <f ca="1">IFERROR(__xludf.DUMMYFUNCTION("""COMPUTED_VALUE"""),0)</f>
        <v>0</v>
      </c>
      <c r="W221" s="2">
        <f ca="1">IFERROR(__xludf.DUMMYFUNCTION("""COMPUTED_VALUE"""),0)</f>
        <v>0</v>
      </c>
      <c r="X221" s="2">
        <f ca="1">IFERROR(__xludf.DUMMYFUNCTION("""COMPUTED_VALUE"""),0)</f>
        <v>0</v>
      </c>
      <c r="Y221" s="2">
        <f ca="1">IFERROR(__xludf.DUMMYFUNCTION("""COMPUTED_VALUE"""),0)</f>
        <v>0</v>
      </c>
      <c r="AB221" s="2"/>
      <c r="AC221" s="2" t="str">
        <f ca="1">IFERROR(__xludf.DUMMYFUNCTION("""COMPUTED_VALUE"""),"X")</f>
        <v>X</v>
      </c>
      <c r="AD221" s="2"/>
      <c r="AE221" s="2"/>
      <c r="AF221" s="2"/>
      <c r="AG221" s="2"/>
      <c r="AH221" s="2"/>
      <c r="AI221" s="2"/>
      <c r="AJ221" s="2"/>
      <c r="AK221" s="2"/>
      <c r="AL221" s="2"/>
      <c r="AM221" s="2">
        <f ca="1">IFERROR(__xludf.DUMMYFUNCTION("""COMPUTED_VALUE"""),0)</f>
        <v>0</v>
      </c>
      <c r="AN221" s="2">
        <f ca="1">IFERROR(__xludf.DUMMYFUNCTION("""COMPUTED_VALUE"""),0.375)</f>
        <v>0.375</v>
      </c>
      <c r="AO221" s="2">
        <f ca="1">IFERROR(__xludf.DUMMYFUNCTION("""COMPUTED_VALUE"""),0)</f>
        <v>0</v>
      </c>
      <c r="AP221" s="2">
        <f ca="1">IFERROR(__xludf.DUMMYFUNCTION("""COMPUTED_VALUE"""),0)</f>
        <v>0</v>
      </c>
      <c r="AQ221" s="2">
        <f ca="1">IFERROR(__xludf.DUMMYFUNCTION("""COMPUTED_VALUE"""),0)</f>
        <v>0</v>
      </c>
      <c r="AR221" s="2">
        <f ca="1">IFERROR(__xludf.DUMMYFUNCTION("""COMPUTED_VALUE"""),0)</f>
        <v>0</v>
      </c>
      <c r="AS221" s="2">
        <f ca="1">IFERROR(__xludf.DUMMYFUNCTION("""COMPUTED_VALUE"""),0)</f>
        <v>0</v>
      </c>
      <c r="AT221" s="2">
        <f ca="1">IFERROR(__xludf.DUMMYFUNCTION("""COMPUTED_VALUE"""),0)</f>
        <v>0</v>
      </c>
      <c r="AU221" s="2">
        <f ca="1">IFERROR(__xludf.DUMMYFUNCTION("""COMPUTED_VALUE"""),0)</f>
        <v>0</v>
      </c>
      <c r="AV221" s="2">
        <f ca="1">IFERROR(__xludf.DUMMYFUNCTION("""COMPUTED_VALUE"""),0)</f>
        <v>0</v>
      </c>
      <c r="AW221" s="2">
        <f ca="1">IFERROR(__xludf.DUMMYFUNCTION("""COMPUTED_VALUE"""),0)</f>
        <v>0</v>
      </c>
      <c r="AY221" s="2">
        <f t="shared" ca="1" si="0"/>
        <v>1</v>
      </c>
      <c r="AZ221" s="2" t="e">
        <f ca="1">IF(NOT(COUNTA(D221:J221)), _xludf.IFS(AL221="W", 'Round Bonuses'!$F$14, AL221="X", 'Round Bonuses'!$F$13, AK221="X", 'Round Bonuses'!$F$12, AJ221="X", 'Round Bonuses'!$F$11, AI221="X", 'Round Bonuses'!$F$10, AH221="X", 'Round Bonuses'!$F$9, AG221="X", 'Round Bonuses'!$F$8, AF221="X", 'Round Bonuses'!$F$7, AE221="X", 'Round Bonuses'!$F$6, AD221="X", 'Round Bonuses'!$F$5, AC221="X", 'Round Bonuses'!$F$4, AB221="X", 'Round Bonuses'!$F$3, TRUE, 0), IF(AA221="X", _xludf.IFS(AD221="X", 'Round Bonuses'!$E$4, AF221="X",'Round Bonuses'!$E$6,TRUE, 'Round Bonuses'!$E$7), 0) +IF(AB221="X", 'Round Bonuses'!$E$3, 0)+IF(AC221="X",'Round Bonuses'!$E$4, 0)+IF(AD221="X", 'Round Bonuses'!$E$5, 0)+IF(AE221="X", 'Round Bonuses'!$E$6, 0)+IF(AF221="X", 'Round Bonuses'!$E$7, 0)+IF(AG221="X", 'Round Bonuses'!$E$8, 0)+_xludf.IFS(AL221="W", 'Round Bonuses'!$G$14, AL221="X", 'Round Bonuses'!$G$13, AK221="X", 'Round Bonuses'!$G$12, AJ221="X", 'Round Bonuses'!$G$11, AI221="X", 'Round Bonuses'!$G$10, AH221="X", 'Round Bonuses'!$G$9, TRUE, 0))+_xludf.IFS(N221="W", 'Round Bonuses'!$C$13, N221="X", 'Round Bonuses'!$C$12, M221="X", 'Round Bonuses'!$C$11, L221="X", 'Round Bonuses'!$C$10, K221="X", 'Round Bonuses'!$C$9, J221="X", 'Round Bonuses'!$C$8, I221="X", 'Round Bonuses'!$C$7, H221="X", 'Round Bonuses'!$C$6, G221="X", 'Round Bonuses'!$C$5, F221="X", 'Round Bonuses'!$C$4, E221="X", 'Round Bonuses'!$C$3, D221="X", 'Round Bonuses'!$C$3, TRUE, 0)</f>
        <v>#NAME?</v>
      </c>
      <c r="BA221" s="2">
        <f t="shared" ca="1" si="1"/>
        <v>0.375</v>
      </c>
      <c r="BB221" s="10" t="e">
        <f t="shared" ca="1" si="2"/>
        <v>#NAME?</v>
      </c>
      <c r="BD221" s="11" t="str">
        <f t="shared" ca="1" si="3"/>
        <v>Valletta</v>
      </c>
      <c r="BE221" s="2" t="str">
        <f t="shared" ca="1" si="4"/>
        <v>Malta</v>
      </c>
      <c r="BF221" s="2" t="e">
        <f t="shared" ca="1" si="5"/>
        <v>#NAME?</v>
      </c>
      <c r="BG221" s="2">
        <f t="shared" ca="1" si="6"/>
        <v>1</v>
      </c>
      <c r="BH221" s="2" t="s">
        <v>289</v>
      </c>
      <c r="BI221" s="2" t="s">
        <v>150</v>
      </c>
      <c r="BJ221" s="7">
        <v>0.66500000000000004</v>
      </c>
      <c r="BK221" s="2">
        <v>1</v>
      </c>
      <c r="BL221" s="2">
        <f t="shared" si="10"/>
        <v>219</v>
      </c>
      <c r="BM221" s="2" t="str">
        <f t="shared" si="7"/>
        <v>FCI Levadia</v>
      </c>
      <c r="BN221" s="7">
        <f t="shared" ref="BN221:BO221" si="228">BJ221</f>
        <v>0.66500000000000004</v>
      </c>
      <c r="BO221" s="2">
        <f t="shared" si="228"/>
        <v>1</v>
      </c>
      <c r="BS221" s="2" t="str">
        <f t="shared" si="9"/>
        <v>Estonia</v>
      </c>
    </row>
    <row r="222" spans="1:71" ht="13.8" x14ac:dyDescent="0.45">
      <c r="A222" s="2" t="str">
        <f ca="1">IFERROR(__xludf.DUMMYFUNCTION("""COMPUTED_VALUE"""),"Valmiera")</f>
        <v>Valmiera</v>
      </c>
      <c r="B222" s="2">
        <f ca="1">IFERROR(__xludf.DUMMYFUNCTION("""COMPUTED_VALUE"""),0.55)</f>
        <v>0.55000000000000004</v>
      </c>
      <c r="C222" s="2" t="str">
        <f ca="1">IFERROR(__xludf.DUMMYFUNCTION("""COMPUTED_VALUE"""),"Latvia")</f>
        <v>Latvia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5">
        <f ca="1">IFERROR(__xludf.DUMMYFUNCTION("""COMPUTED_VALUE"""),0)</f>
        <v>0</v>
      </c>
      <c r="P222" s="2">
        <f ca="1">IFERROR(__xludf.DUMMYFUNCTION("""COMPUTED_VALUE"""),0)</f>
        <v>0</v>
      </c>
      <c r="Q222" s="2">
        <f ca="1">IFERROR(__xludf.DUMMYFUNCTION("""COMPUTED_VALUE"""),0)</f>
        <v>0</v>
      </c>
      <c r="R222" s="2">
        <f ca="1">IFERROR(__xludf.DUMMYFUNCTION("""COMPUTED_VALUE"""),0)</f>
        <v>0</v>
      </c>
      <c r="S222" s="2">
        <f ca="1">IFERROR(__xludf.DUMMYFUNCTION("""COMPUTED_VALUE"""),0)</f>
        <v>0</v>
      </c>
      <c r="T222" s="2">
        <f ca="1">IFERROR(__xludf.DUMMYFUNCTION("""COMPUTED_VALUE"""),0)</f>
        <v>0</v>
      </c>
      <c r="U222" s="2">
        <f ca="1">IFERROR(__xludf.DUMMYFUNCTION("""COMPUTED_VALUE"""),0)</f>
        <v>0</v>
      </c>
      <c r="V222" s="2">
        <f ca="1">IFERROR(__xludf.DUMMYFUNCTION("""COMPUTED_VALUE"""),0)</f>
        <v>0</v>
      </c>
      <c r="W222" s="2">
        <f ca="1">IFERROR(__xludf.DUMMYFUNCTION("""COMPUTED_VALUE"""),0)</f>
        <v>0</v>
      </c>
      <c r="X222" s="2">
        <f ca="1">IFERROR(__xludf.DUMMYFUNCTION("""COMPUTED_VALUE"""),0)</f>
        <v>0</v>
      </c>
      <c r="Y222" s="2">
        <f ca="1">IFERROR(__xludf.DUMMYFUNCTION("""COMPUTED_VALUE"""),0)</f>
        <v>0</v>
      </c>
      <c r="AB222" s="2"/>
      <c r="AC222" s="2" t="str">
        <f ca="1">IFERROR(__xludf.DUMMYFUNCTION("""COMPUTED_VALUE"""),"X")</f>
        <v>X</v>
      </c>
      <c r="AD222" s="2"/>
      <c r="AE222" s="2"/>
      <c r="AF222" s="2"/>
      <c r="AG222" s="2"/>
      <c r="AH222" s="2"/>
      <c r="AI222" s="2"/>
      <c r="AJ222" s="2"/>
      <c r="AK222" s="2"/>
      <c r="AL222" s="2"/>
      <c r="AM222" s="2">
        <f ca="1">IFERROR(__xludf.DUMMYFUNCTION("""COMPUTED_VALUE"""),0)</f>
        <v>0</v>
      </c>
      <c r="AN222" s="2">
        <f ca="1">IFERROR(__xludf.DUMMYFUNCTION("""COMPUTED_VALUE"""),0.365)</f>
        <v>0.36499999999999999</v>
      </c>
      <c r="AO222" s="2">
        <f ca="1">IFERROR(__xludf.DUMMYFUNCTION("""COMPUTED_VALUE"""),0)</f>
        <v>0</v>
      </c>
      <c r="AP222" s="2">
        <f ca="1">IFERROR(__xludf.DUMMYFUNCTION("""COMPUTED_VALUE"""),0)</f>
        <v>0</v>
      </c>
      <c r="AQ222" s="2">
        <f ca="1">IFERROR(__xludf.DUMMYFUNCTION("""COMPUTED_VALUE"""),0)</f>
        <v>0</v>
      </c>
      <c r="AR222" s="2">
        <f ca="1">IFERROR(__xludf.DUMMYFUNCTION("""COMPUTED_VALUE"""),0)</f>
        <v>0</v>
      </c>
      <c r="AS222" s="2">
        <f ca="1">IFERROR(__xludf.DUMMYFUNCTION("""COMPUTED_VALUE"""),0)</f>
        <v>0</v>
      </c>
      <c r="AT222" s="2">
        <f ca="1">IFERROR(__xludf.DUMMYFUNCTION("""COMPUTED_VALUE"""),0)</f>
        <v>0</v>
      </c>
      <c r="AU222" s="2">
        <f ca="1">IFERROR(__xludf.DUMMYFUNCTION("""COMPUTED_VALUE"""),0)</f>
        <v>0</v>
      </c>
      <c r="AV222" s="2">
        <f ca="1">IFERROR(__xludf.DUMMYFUNCTION("""COMPUTED_VALUE"""),0)</f>
        <v>0</v>
      </c>
      <c r="AW222" s="2">
        <f ca="1">IFERROR(__xludf.DUMMYFUNCTION("""COMPUTED_VALUE"""),0)</f>
        <v>0</v>
      </c>
      <c r="AY222" s="2">
        <f t="shared" ca="1" si="0"/>
        <v>1</v>
      </c>
      <c r="AZ222" s="2" t="e">
        <f ca="1">IF(NOT(COUNTA(D222:J222)), _xludf.IFS(AL222="W", 'Round Bonuses'!$F$14, AL222="X", 'Round Bonuses'!$F$13, AK222="X", 'Round Bonuses'!$F$12, AJ222="X", 'Round Bonuses'!$F$11, AI222="X", 'Round Bonuses'!$F$10, AH222="X", 'Round Bonuses'!$F$9, AG222="X", 'Round Bonuses'!$F$8, AF222="X", 'Round Bonuses'!$F$7, AE222="X", 'Round Bonuses'!$F$6, AD222="X", 'Round Bonuses'!$F$5, AC222="X", 'Round Bonuses'!$F$4, AB222="X", 'Round Bonuses'!$F$3, TRUE, 0), IF(AA222="X", _xludf.IFS(AD222="X", 'Round Bonuses'!$E$4, AF222="X",'Round Bonuses'!$E$6,TRUE, 'Round Bonuses'!$E$7), 0) +IF(AB222="X", 'Round Bonuses'!$E$3, 0)+IF(AC222="X",'Round Bonuses'!$E$4, 0)+IF(AD222="X", 'Round Bonuses'!$E$5, 0)+IF(AE222="X", 'Round Bonuses'!$E$6, 0)+IF(AF222="X", 'Round Bonuses'!$E$7, 0)+IF(AG222="X", 'Round Bonuses'!$E$8, 0)+_xludf.IFS(AL222="W", 'Round Bonuses'!$G$14, AL222="X", 'Round Bonuses'!$G$13, AK222="X", 'Round Bonuses'!$G$12, AJ222="X", 'Round Bonuses'!$G$11, AI222="X", 'Round Bonuses'!$G$10, AH222="X", 'Round Bonuses'!$G$9, TRUE, 0))+_xludf.IFS(N222="W", 'Round Bonuses'!$C$13, N222="X", 'Round Bonuses'!$C$12, M222="X", 'Round Bonuses'!$C$11, L222="X", 'Round Bonuses'!$C$10, K222="X", 'Round Bonuses'!$C$9, J222="X", 'Round Bonuses'!$C$8, I222="X", 'Round Bonuses'!$C$7, H222="X", 'Round Bonuses'!$C$6, G222="X", 'Round Bonuses'!$C$5, F222="X", 'Round Bonuses'!$C$4, E222="X", 'Round Bonuses'!$C$3, D222="X", 'Round Bonuses'!$C$3, TRUE, 0)</f>
        <v>#NAME?</v>
      </c>
      <c r="BA222" s="2">
        <f t="shared" ca="1" si="1"/>
        <v>0.36499999999999999</v>
      </c>
      <c r="BB222" s="10" t="e">
        <f t="shared" ca="1" si="2"/>
        <v>#NAME?</v>
      </c>
      <c r="BD222" s="11" t="str">
        <f t="shared" ca="1" si="3"/>
        <v>Valmiera</v>
      </c>
      <c r="BE222" s="2" t="str">
        <f t="shared" ca="1" si="4"/>
        <v>Latvia</v>
      </c>
      <c r="BF222" s="2" t="e">
        <f t="shared" ca="1" si="5"/>
        <v>#NAME?</v>
      </c>
      <c r="BG222" s="2">
        <f t="shared" ca="1" si="6"/>
        <v>1</v>
      </c>
      <c r="BH222" s="2" t="s">
        <v>290</v>
      </c>
      <c r="BI222" s="2" t="s">
        <v>189</v>
      </c>
      <c r="BJ222" s="7">
        <v>0.66500000000000004</v>
      </c>
      <c r="BK222" s="2">
        <v>1</v>
      </c>
      <c r="BL222" s="2">
        <f t="shared" si="10"/>
        <v>220</v>
      </c>
      <c r="BM222" s="2" t="str">
        <f t="shared" si="7"/>
        <v>Valmiera</v>
      </c>
      <c r="BN222" s="7">
        <f t="shared" ref="BN222:BO222" si="229">BJ222</f>
        <v>0.66500000000000004</v>
      </c>
      <c r="BO222" s="2">
        <f t="shared" si="229"/>
        <v>1</v>
      </c>
      <c r="BS222" s="2" t="str">
        <f t="shared" si="9"/>
        <v>Latvia</v>
      </c>
    </row>
    <row r="223" spans="1:71" ht="13.8" x14ac:dyDescent="0.45">
      <c r="A223" s="2" t="str">
        <f ca="1">IFERROR(__xludf.DUMMYFUNCTION("""COMPUTED_VALUE"""),"Ventspils")</f>
        <v>Ventspils</v>
      </c>
      <c r="B223" s="2">
        <f ca="1">IFERROR(__xludf.DUMMYFUNCTION("""COMPUTED_VALUE"""),0.56)</f>
        <v>0.56000000000000005</v>
      </c>
      <c r="C223" s="2" t="str">
        <f ca="1">IFERROR(__xludf.DUMMYFUNCTION("""COMPUTED_VALUE"""),"Latvia")</f>
        <v>Latvia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5">
        <f ca="1">IFERROR(__xludf.DUMMYFUNCTION("""COMPUTED_VALUE"""),0)</f>
        <v>0</v>
      </c>
      <c r="P223" s="2">
        <f ca="1">IFERROR(__xludf.DUMMYFUNCTION("""COMPUTED_VALUE"""),0)</f>
        <v>0</v>
      </c>
      <c r="Q223" s="2">
        <f ca="1">IFERROR(__xludf.DUMMYFUNCTION("""COMPUTED_VALUE"""),0)</f>
        <v>0</v>
      </c>
      <c r="R223" s="2">
        <f ca="1">IFERROR(__xludf.DUMMYFUNCTION("""COMPUTED_VALUE"""),0)</f>
        <v>0</v>
      </c>
      <c r="S223" s="2">
        <f ca="1">IFERROR(__xludf.DUMMYFUNCTION("""COMPUTED_VALUE"""),0)</f>
        <v>0</v>
      </c>
      <c r="T223" s="2">
        <f ca="1">IFERROR(__xludf.DUMMYFUNCTION("""COMPUTED_VALUE"""),0)</f>
        <v>0</v>
      </c>
      <c r="U223" s="2">
        <f ca="1">IFERROR(__xludf.DUMMYFUNCTION("""COMPUTED_VALUE"""),0)</f>
        <v>0</v>
      </c>
      <c r="V223" s="2">
        <f ca="1">IFERROR(__xludf.DUMMYFUNCTION("""COMPUTED_VALUE"""),0)</f>
        <v>0</v>
      </c>
      <c r="W223" s="2">
        <f ca="1">IFERROR(__xludf.DUMMYFUNCTION("""COMPUTED_VALUE"""),0)</f>
        <v>0</v>
      </c>
      <c r="X223" s="2">
        <f ca="1">IFERROR(__xludf.DUMMYFUNCTION("""COMPUTED_VALUE"""),0)</f>
        <v>0</v>
      </c>
      <c r="Y223" s="2">
        <f ca="1">IFERROR(__xludf.DUMMYFUNCTION("""COMPUTED_VALUE"""),0)</f>
        <v>0</v>
      </c>
      <c r="AB223" s="2"/>
      <c r="AC223" s="2" t="str">
        <f ca="1">IFERROR(__xludf.DUMMYFUNCTION("""COMPUTED_VALUE"""),"X")</f>
        <v>X</v>
      </c>
      <c r="AD223" s="2" t="str">
        <f ca="1">IFERROR(__xludf.DUMMYFUNCTION("""COMPUTED_VALUE"""),"X")</f>
        <v>X</v>
      </c>
      <c r="AE223" s="2"/>
      <c r="AF223" s="2"/>
      <c r="AG223" s="2"/>
      <c r="AH223" s="2"/>
      <c r="AI223" s="2"/>
      <c r="AJ223" s="2"/>
      <c r="AK223" s="2"/>
      <c r="AL223" s="2"/>
      <c r="AM223" s="2">
        <f ca="1">IFERROR(__xludf.DUMMYFUNCTION("""COMPUTED_VALUE"""),0)</f>
        <v>0</v>
      </c>
      <c r="AN223" s="2">
        <f ca="1">IFERROR(__xludf.DUMMYFUNCTION("""COMPUTED_VALUE"""),2.55749999999999)</f>
        <v>2.5574999999999899</v>
      </c>
      <c r="AO223" s="2">
        <f ca="1">IFERROR(__xludf.DUMMYFUNCTION("""COMPUTED_VALUE"""),0.25)</f>
        <v>0.25</v>
      </c>
      <c r="AP223" s="2">
        <f ca="1">IFERROR(__xludf.DUMMYFUNCTION("""COMPUTED_VALUE"""),0)</f>
        <v>0</v>
      </c>
      <c r="AQ223" s="2">
        <f ca="1">IFERROR(__xludf.DUMMYFUNCTION("""COMPUTED_VALUE"""),0)</f>
        <v>0</v>
      </c>
      <c r="AR223" s="2">
        <f ca="1">IFERROR(__xludf.DUMMYFUNCTION("""COMPUTED_VALUE"""),0)</f>
        <v>0</v>
      </c>
      <c r="AS223" s="2">
        <f ca="1">IFERROR(__xludf.DUMMYFUNCTION("""COMPUTED_VALUE"""),0)</f>
        <v>0</v>
      </c>
      <c r="AT223" s="2">
        <f ca="1">IFERROR(__xludf.DUMMYFUNCTION("""COMPUTED_VALUE"""),0)</f>
        <v>0</v>
      </c>
      <c r="AU223" s="2">
        <f ca="1">IFERROR(__xludf.DUMMYFUNCTION("""COMPUTED_VALUE"""),0)</f>
        <v>0</v>
      </c>
      <c r="AV223" s="2">
        <f ca="1">IFERROR(__xludf.DUMMYFUNCTION("""COMPUTED_VALUE"""),0)</f>
        <v>0</v>
      </c>
      <c r="AW223" s="2">
        <f ca="1">IFERROR(__xludf.DUMMYFUNCTION("""COMPUTED_VALUE"""),0)</f>
        <v>0</v>
      </c>
      <c r="AY223" s="2">
        <f t="shared" ca="1" si="0"/>
        <v>2</v>
      </c>
      <c r="AZ223" s="2" t="e">
        <f ca="1">IF(NOT(COUNTA(D223:J223)), _xludf.IFS(AL223="W", 'Round Bonuses'!$F$14, AL223="X", 'Round Bonuses'!$F$13, AK223="X", 'Round Bonuses'!$F$12, AJ223="X", 'Round Bonuses'!$F$11, AI223="X", 'Round Bonuses'!$F$10, AH223="X", 'Round Bonuses'!$F$9, AG223="X", 'Round Bonuses'!$F$8, AF223="X", 'Round Bonuses'!$F$7, AE223="X", 'Round Bonuses'!$F$6, AD223="X", 'Round Bonuses'!$F$5, AC223="X", 'Round Bonuses'!$F$4, AB223="X", 'Round Bonuses'!$F$3, TRUE, 0), IF(AA223="X", _xludf.IFS(AD223="X", 'Round Bonuses'!$E$4, AF223="X",'Round Bonuses'!$E$6,TRUE, 'Round Bonuses'!$E$7), 0) +IF(AB223="X", 'Round Bonuses'!$E$3, 0)+IF(AC223="X",'Round Bonuses'!$E$4, 0)+IF(AD223="X", 'Round Bonuses'!$E$5, 0)+IF(AE223="X", 'Round Bonuses'!$E$6, 0)+IF(AF223="X", 'Round Bonuses'!$E$7, 0)+IF(AG223="X", 'Round Bonuses'!$E$8, 0)+_xludf.IFS(AL223="W", 'Round Bonuses'!$G$14, AL223="X", 'Round Bonuses'!$G$13, AK223="X", 'Round Bonuses'!$G$12, AJ223="X", 'Round Bonuses'!$G$11, AI223="X", 'Round Bonuses'!$G$10, AH223="X", 'Round Bonuses'!$G$9, TRUE, 0))+_xludf.IFS(N223="W", 'Round Bonuses'!$C$13, N223="X", 'Round Bonuses'!$C$12, M223="X", 'Round Bonuses'!$C$11, L223="X", 'Round Bonuses'!$C$10, K223="X", 'Round Bonuses'!$C$9, J223="X", 'Round Bonuses'!$C$8, I223="X", 'Round Bonuses'!$C$7, H223="X", 'Round Bonuses'!$C$6, G223="X", 'Round Bonuses'!$C$5, F223="X", 'Round Bonuses'!$C$4, E223="X", 'Round Bonuses'!$C$3, D223="X", 'Round Bonuses'!$C$3, TRUE, 0)</f>
        <v>#NAME?</v>
      </c>
      <c r="BA223" s="2">
        <f t="shared" ca="1" si="1"/>
        <v>2.8074999999999899</v>
      </c>
      <c r="BB223" s="10" t="e">
        <f t="shared" ca="1" si="2"/>
        <v>#NAME?</v>
      </c>
      <c r="BD223" s="11" t="str">
        <f t="shared" ca="1" si="3"/>
        <v>Ventspils</v>
      </c>
      <c r="BE223" s="2" t="str">
        <f t="shared" ca="1" si="4"/>
        <v>Latvia</v>
      </c>
      <c r="BF223" s="2" t="e">
        <f t="shared" ca="1" si="5"/>
        <v>#NAME?</v>
      </c>
      <c r="BG223" s="2">
        <f t="shared" ca="1" si="6"/>
        <v>2</v>
      </c>
      <c r="BH223" s="2" t="s">
        <v>291</v>
      </c>
      <c r="BI223" s="2" t="s">
        <v>247</v>
      </c>
      <c r="BJ223" s="7">
        <v>0.64</v>
      </c>
      <c r="BK223" s="2">
        <v>1</v>
      </c>
      <c r="BL223" s="2">
        <f t="shared" si="10"/>
        <v>221</v>
      </c>
      <c r="BM223" s="2" t="str">
        <f t="shared" si="7"/>
        <v>FC Santa Coloma</v>
      </c>
      <c r="BN223" s="7">
        <f t="shared" ref="BN223:BO223" si="230">BJ223</f>
        <v>0.64</v>
      </c>
      <c r="BO223" s="2">
        <f t="shared" si="230"/>
        <v>1</v>
      </c>
      <c r="BS223" s="2" t="str">
        <f t="shared" si="9"/>
        <v>Andorra</v>
      </c>
    </row>
    <row r="224" spans="1:71" ht="13.8" x14ac:dyDescent="0.45">
      <c r="A224" s="2" t="str">
        <f ca="1">IFERROR(__xludf.DUMMYFUNCTION("""COMPUTED_VALUE"""),"VfL Wolfsburg")</f>
        <v>VfL Wolfsburg</v>
      </c>
      <c r="B224" s="2">
        <f ca="1">IFERROR(__xludf.DUMMYFUNCTION("""COMPUTED_VALUE"""),0.899999999999999)</f>
        <v>0.89999999999999902</v>
      </c>
      <c r="C224" s="2" t="str">
        <f ca="1">IFERROR(__xludf.DUMMYFUNCTION("""COMPUTED_VALUE"""),"Germany")</f>
        <v>Germany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5">
        <f ca="1">IFERROR(__xludf.DUMMYFUNCTION("""COMPUTED_VALUE"""),0)</f>
        <v>0</v>
      </c>
      <c r="P224" s="2">
        <f ca="1">IFERROR(__xludf.DUMMYFUNCTION("""COMPUTED_VALUE"""),0)</f>
        <v>0</v>
      </c>
      <c r="Q224" s="2">
        <f ca="1">IFERROR(__xludf.DUMMYFUNCTION("""COMPUTED_VALUE"""),0)</f>
        <v>0</v>
      </c>
      <c r="R224" s="2">
        <f ca="1">IFERROR(__xludf.DUMMYFUNCTION("""COMPUTED_VALUE"""),0)</f>
        <v>0</v>
      </c>
      <c r="S224" s="2">
        <f ca="1">IFERROR(__xludf.DUMMYFUNCTION("""COMPUTED_VALUE"""),0)</f>
        <v>0</v>
      </c>
      <c r="T224" s="2">
        <f ca="1">IFERROR(__xludf.DUMMYFUNCTION("""COMPUTED_VALUE"""),0)</f>
        <v>0</v>
      </c>
      <c r="U224" s="2">
        <f ca="1">IFERROR(__xludf.DUMMYFUNCTION("""COMPUTED_VALUE"""),0)</f>
        <v>0</v>
      </c>
      <c r="V224" s="2">
        <f ca="1">IFERROR(__xludf.DUMMYFUNCTION("""COMPUTED_VALUE"""),0)</f>
        <v>0</v>
      </c>
      <c r="W224" s="2">
        <f ca="1">IFERROR(__xludf.DUMMYFUNCTION("""COMPUTED_VALUE"""),0)</f>
        <v>0</v>
      </c>
      <c r="X224" s="2">
        <f ca="1">IFERROR(__xludf.DUMMYFUNCTION("""COMPUTED_VALUE"""),0)</f>
        <v>0</v>
      </c>
      <c r="Y224" s="2">
        <f ca="1">IFERROR(__xludf.DUMMYFUNCTION("""COMPUTED_VALUE"""),0)</f>
        <v>0</v>
      </c>
      <c r="AB224" s="2"/>
      <c r="AC224" s="2"/>
      <c r="AD224" s="2" t="str">
        <f ca="1">IFERROR(__xludf.DUMMYFUNCTION("""COMPUTED_VALUE"""),"X")</f>
        <v>X</v>
      </c>
      <c r="AE224" s="2" t="str">
        <f ca="1">IFERROR(__xludf.DUMMYFUNCTION("""COMPUTED_VALUE"""),"X")</f>
        <v>X</v>
      </c>
      <c r="AF224" s="2" t="str">
        <f ca="1">IFERROR(__xludf.DUMMYFUNCTION("""COMPUTED_VALUE"""),"X")</f>
        <v>X</v>
      </c>
      <c r="AG224" s="2"/>
      <c r="AH224" s="2"/>
      <c r="AI224" s="2"/>
      <c r="AJ224" s="2"/>
      <c r="AK224" s="2"/>
      <c r="AL224" s="2"/>
      <c r="AM224" s="2">
        <f ca="1">IFERROR(__xludf.DUMMYFUNCTION("""COMPUTED_VALUE"""),0)</f>
        <v>0</v>
      </c>
      <c r="AN224" s="2">
        <f ca="1">IFERROR(__xludf.DUMMYFUNCTION("""COMPUTED_VALUE"""),0)</f>
        <v>0</v>
      </c>
      <c r="AO224" s="2">
        <f ca="1">IFERROR(__xludf.DUMMYFUNCTION("""COMPUTED_VALUE"""),2.835)</f>
        <v>2.835</v>
      </c>
      <c r="AP224" s="2">
        <f ca="1">IFERROR(__xludf.DUMMYFUNCTION("""COMPUTED_VALUE"""),3.73999999999999)</f>
        <v>3.73999999999999</v>
      </c>
      <c r="AQ224" s="2">
        <f ca="1">IFERROR(__xludf.DUMMYFUNCTION("""COMPUTED_VALUE"""),0.715)</f>
        <v>0.71499999999999997</v>
      </c>
      <c r="AR224" s="2">
        <f ca="1">IFERROR(__xludf.DUMMYFUNCTION("""COMPUTED_VALUE"""),0)</f>
        <v>0</v>
      </c>
      <c r="AS224" s="2">
        <f ca="1">IFERROR(__xludf.DUMMYFUNCTION("""COMPUTED_VALUE"""),0)</f>
        <v>0</v>
      </c>
      <c r="AT224" s="2">
        <f ca="1">IFERROR(__xludf.DUMMYFUNCTION("""COMPUTED_VALUE"""),0)</f>
        <v>0</v>
      </c>
      <c r="AU224" s="2">
        <f ca="1">IFERROR(__xludf.DUMMYFUNCTION("""COMPUTED_VALUE"""),0)</f>
        <v>0</v>
      </c>
      <c r="AV224" s="2">
        <f ca="1">IFERROR(__xludf.DUMMYFUNCTION("""COMPUTED_VALUE"""),0)</f>
        <v>0</v>
      </c>
      <c r="AW224" s="2">
        <f ca="1">IFERROR(__xludf.DUMMYFUNCTION("""COMPUTED_VALUE"""),0)</f>
        <v>0</v>
      </c>
      <c r="AY224" s="2">
        <f t="shared" ca="1" si="0"/>
        <v>3</v>
      </c>
      <c r="AZ224" s="2" t="e">
        <f ca="1">IF(NOT(COUNTA(D224:J224)), _xludf.IFS(AL224="W", 'Round Bonuses'!$F$14, AL224="X", 'Round Bonuses'!$F$13, AK224="X", 'Round Bonuses'!$F$12, AJ224="X", 'Round Bonuses'!$F$11, AI224="X", 'Round Bonuses'!$F$10, AH224="X", 'Round Bonuses'!$F$9, AG224="X", 'Round Bonuses'!$F$8, AF224="X", 'Round Bonuses'!$F$7, AE224="X", 'Round Bonuses'!$F$6, AD224="X", 'Round Bonuses'!$F$5, AC224="X", 'Round Bonuses'!$F$4, AB224="X", 'Round Bonuses'!$F$3, TRUE, 0), IF(AA224="X", _xludf.IFS(AD224="X", 'Round Bonuses'!$E$4, AF224="X",'Round Bonuses'!$E$6,TRUE, 'Round Bonuses'!$E$7), 0) +IF(AB224="X", 'Round Bonuses'!$E$3, 0)+IF(AC224="X",'Round Bonuses'!$E$4, 0)+IF(AD224="X", 'Round Bonuses'!$E$5, 0)+IF(AE224="X", 'Round Bonuses'!$E$6, 0)+IF(AF224="X", 'Round Bonuses'!$E$7, 0)+IF(AG224="X", 'Round Bonuses'!$E$8, 0)+_xludf.IFS(AL224="W", 'Round Bonuses'!$G$14, AL224="X", 'Round Bonuses'!$G$13, AK224="X", 'Round Bonuses'!$G$12, AJ224="X", 'Round Bonuses'!$G$11, AI224="X", 'Round Bonuses'!$G$10, AH224="X", 'Round Bonuses'!$G$9, TRUE, 0))+_xludf.IFS(N224="W", 'Round Bonuses'!$C$13, N224="X", 'Round Bonuses'!$C$12, M224="X", 'Round Bonuses'!$C$11, L224="X", 'Round Bonuses'!$C$10, K224="X", 'Round Bonuses'!$C$9, J224="X", 'Round Bonuses'!$C$8, I224="X", 'Round Bonuses'!$C$7, H224="X", 'Round Bonuses'!$C$6, G224="X", 'Round Bonuses'!$C$5, F224="X", 'Round Bonuses'!$C$4, E224="X", 'Round Bonuses'!$C$3, D224="X", 'Round Bonuses'!$C$3, TRUE, 0)</f>
        <v>#NAME?</v>
      </c>
      <c r="BA224" s="2">
        <f t="shared" ca="1" si="1"/>
        <v>7.2899999999999903</v>
      </c>
      <c r="BB224" s="10" t="e">
        <f t="shared" ca="1" si="2"/>
        <v>#NAME?</v>
      </c>
      <c r="BD224" s="11" t="str">
        <f t="shared" ca="1" si="3"/>
        <v>VfL Wolfsburg</v>
      </c>
      <c r="BE224" s="2" t="str">
        <f t="shared" ca="1" si="4"/>
        <v>Germany</v>
      </c>
      <c r="BF224" s="2" t="e">
        <f t="shared" ca="1" si="5"/>
        <v>#NAME?</v>
      </c>
      <c r="BG224" s="2">
        <f t="shared" ca="1" si="6"/>
        <v>3</v>
      </c>
      <c r="BH224" s="2" t="s">
        <v>292</v>
      </c>
      <c r="BI224" s="2" t="s">
        <v>154</v>
      </c>
      <c r="BJ224" s="7">
        <v>0.63500000000000001</v>
      </c>
      <c r="BK224" s="2">
        <v>1</v>
      </c>
      <c r="BL224" s="2">
        <f t="shared" si="10"/>
        <v>222</v>
      </c>
      <c r="BM224" s="2" t="str">
        <f t="shared" si="7"/>
        <v>Dinamo Batumi</v>
      </c>
      <c r="BN224" s="7">
        <f t="shared" ref="BN224:BO224" si="231">BJ224</f>
        <v>0.63500000000000001</v>
      </c>
      <c r="BO224" s="2">
        <f t="shared" si="231"/>
        <v>1</v>
      </c>
      <c r="BS224" s="2" t="str">
        <f t="shared" si="9"/>
        <v>Georgia</v>
      </c>
    </row>
    <row r="225" spans="1:71" ht="13.8" x14ac:dyDescent="0.45">
      <c r="A225" s="2" t="str">
        <f ca="1">IFERROR(__xludf.DUMMYFUNCTION("""COMPUTED_VALUE"""),"Viking")</f>
        <v>Viking</v>
      </c>
      <c r="B225" s="2">
        <f ca="1">IFERROR(__xludf.DUMMYFUNCTION("""COMPUTED_VALUE"""),0.75)</f>
        <v>0.75</v>
      </c>
      <c r="C225" s="2" t="str">
        <f ca="1">IFERROR(__xludf.DUMMYFUNCTION("""COMPUTED_VALUE"""),"Norway")</f>
        <v>Norway</v>
      </c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5">
        <f ca="1">IFERROR(__xludf.DUMMYFUNCTION("""COMPUTED_VALUE"""),0)</f>
        <v>0</v>
      </c>
      <c r="P225" s="2">
        <f ca="1">IFERROR(__xludf.DUMMYFUNCTION("""COMPUTED_VALUE"""),0)</f>
        <v>0</v>
      </c>
      <c r="Q225" s="2">
        <f ca="1">IFERROR(__xludf.DUMMYFUNCTION("""COMPUTED_VALUE"""),0)</f>
        <v>0</v>
      </c>
      <c r="R225" s="2">
        <f ca="1">IFERROR(__xludf.DUMMYFUNCTION("""COMPUTED_VALUE"""),0)</f>
        <v>0</v>
      </c>
      <c r="S225" s="2">
        <f ca="1">IFERROR(__xludf.DUMMYFUNCTION("""COMPUTED_VALUE"""),0)</f>
        <v>0</v>
      </c>
      <c r="T225" s="2">
        <f ca="1">IFERROR(__xludf.DUMMYFUNCTION("""COMPUTED_VALUE"""),0)</f>
        <v>0</v>
      </c>
      <c r="U225" s="2">
        <f ca="1">IFERROR(__xludf.DUMMYFUNCTION("""COMPUTED_VALUE"""),0)</f>
        <v>0</v>
      </c>
      <c r="V225" s="2">
        <f ca="1">IFERROR(__xludf.DUMMYFUNCTION("""COMPUTED_VALUE"""),0)</f>
        <v>0</v>
      </c>
      <c r="W225" s="2">
        <f ca="1">IFERROR(__xludf.DUMMYFUNCTION("""COMPUTED_VALUE"""),0)</f>
        <v>0</v>
      </c>
      <c r="X225" s="2">
        <f ca="1">IFERROR(__xludf.DUMMYFUNCTION("""COMPUTED_VALUE"""),0)</f>
        <v>0</v>
      </c>
      <c r="Y225" s="2">
        <f ca="1">IFERROR(__xludf.DUMMYFUNCTION("""COMPUTED_VALUE"""),0)</f>
        <v>0</v>
      </c>
      <c r="AB225" s="2"/>
      <c r="AC225" s="2"/>
      <c r="AD225" s="2" t="str">
        <f ca="1">IFERROR(__xludf.DUMMYFUNCTION("""COMPUTED_VALUE"""),"X")</f>
        <v>X</v>
      </c>
      <c r="AE225" s="2"/>
      <c r="AF225" s="2"/>
      <c r="AG225" s="2"/>
      <c r="AH225" s="2"/>
      <c r="AI225" s="2"/>
      <c r="AJ225" s="2"/>
      <c r="AK225" s="2"/>
      <c r="AL225" s="2"/>
      <c r="AM225" s="2">
        <f ca="1">IFERROR(__xludf.DUMMYFUNCTION("""COMPUTED_VALUE"""),0)</f>
        <v>0</v>
      </c>
      <c r="AN225" s="2">
        <f ca="1">IFERROR(__xludf.DUMMYFUNCTION("""COMPUTED_VALUE"""),0)</f>
        <v>0</v>
      </c>
      <c r="AO225" s="2">
        <f ca="1">IFERROR(__xludf.DUMMYFUNCTION("""COMPUTED_VALUE"""),0.52)</f>
        <v>0.52</v>
      </c>
      <c r="AP225" s="2">
        <f ca="1">IFERROR(__xludf.DUMMYFUNCTION("""COMPUTED_VALUE"""),0)</f>
        <v>0</v>
      </c>
      <c r="AQ225" s="2">
        <f ca="1">IFERROR(__xludf.DUMMYFUNCTION("""COMPUTED_VALUE"""),0)</f>
        <v>0</v>
      </c>
      <c r="AR225" s="2">
        <f ca="1">IFERROR(__xludf.DUMMYFUNCTION("""COMPUTED_VALUE"""),0)</f>
        <v>0</v>
      </c>
      <c r="AS225" s="2">
        <f ca="1">IFERROR(__xludf.DUMMYFUNCTION("""COMPUTED_VALUE"""),0)</f>
        <v>0</v>
      </c>
      <c r="AT225" s="2">
        <f ca="1">IFERROR(__xludf.DUMMYFUNCTION("""COMPUTED_VALUE"""),0)</f>
        <v>0</v>
      </c>
      <c r="AU225" s="2">
        <f ca="1">IFERROR(__xludf.DUMMYFUNCTION("""COMPUTED_VALUE"""),0)</f>
        <v>0</v>
      </c>
      <c r="AV225" s="2">
        <f ca="1">IFERROR(__xludf.DUMMYFUNCTION("""COMPUTED_VALUE"""),0)</f>
        <v>0</v>
      </c>
      <c r="AW225" s="2">
        <f ca="1">IFERROR(__xludf.DUMMYFUNCTION("""COMPUTED_VALUE"""),0)</f>
        <v>0</v>
      </c>
      <c r="AY225" s="2">
        <f t="shared" ca="1" si="0"/>
        <v>1</v>
      </c>
      <c r="AZ225" s="2" t="e">
        <f ca="1">IF(NOT(COUNTA(D225:J225)), _xludf.IFS(AL225="W", 'Round Bonuses'!$F$14, AL225="X", 'Round Bonuses'!$F$13, AK225="X", 'Round Bonuses'!$F$12, AJ225="X", 'Round Bonuses'!$F$11, AI225="X", 'Round Bonuses'!$F$10, AH225="X", 'Round Bonuses'!$F$9, AG225="X", 'Round Bonuses'!$F$8, AF225="X", 'Round Bonuses'!$F$7, AE225="X", 'Round Bonuses'!$F$6, AD225="X", 'Round Bonuses'!$F$5, AC225="X", 'Round Bonuses'!$F$4, AB225="X", 'Round Bonuses'!$F$3, TRUE, 0), IF(AA225="X", _xludf.IFS(AD225="X", 'Round Bonuses'!$E$4, AF225="X",'Round Bonuses'!$E$6,TRUE, 'Round Bonuses'!$E$7), 0) +IF(AB225="X", 'Round Bonuses'!$E$3, 0)+IF(AC225="X",'Round Bonuses'!$E$4, 0)+IF(AD225="X", 'Round Bonuses'!$E$5, 0)+IF(AE225="X", 'Round Bonuses'!$E$6, 0)+IF(AF225="X", 'Round Bonuses'!$E$7, 0)+IF(AG225="X", 'Round Bonuses'!$E$8, 0)+_xludf.IFS(AL225="W", 'Round Bonuses'!$G$14, AL225="X", 'Round Bonuses'!$G$13, AK225="X", 'Round Bonuses'!$G$12, AJ225="X", 'Round Bonuses'!$G$11, AI225="X", 'Round Bonuses'!$G$10, AH225="X", 'Round Bonuses'!$G$9, TRUE, 0))+_xludf.IFS(N225="W", 'Round Bonuses'!$C$13, N225="X", 'Round Bonuses'!$C$12, M225="X", 'Round Bonuses'!$C$11, L225="X", 'Round Bonuses'!$C$10, K225="X", 'Round Bonuses'!$C$9, J225="X", 'Round Bonuses'!$C$8, I225="X", 'Round Bonuses'!$C$7, H225="X", 'Round Bonuses'!$C$6, G225="X", 'Round Bonuses'!$C$5, F225="X", 'Round Bonuses'!$C$4, E225="X", 'Round Bonuses'!$C$3, D225="X", 'Round Bonuses'!$C$3, TRUE, 0)</f>
        <v>#NAME?</v>
      </c>
      <c r="BA225" s="2">
        <f t="shared" ca="1" si="1"/>
        <v>0.52</v>
      </c>
      <c r="BB225" s="10" t="e">
        <f t="shared" ca="1" si="2"/>
        <v>#NAME?</v>
      </c>
      <c r="BD225" s="11" t="str">
        <f t="shared" ca="1" si="3"/>
        <v>Viking</v>
      </c>
      <c r="BE225" s="2" t="str">
        <f t="shared" ca="1" si="4"/>
        <v>Norway</v>
      </c>
      <c r="BF225" s="2" t="e">
        <f t="shared" ca="1" si="5"/>
        <v>#NAME?</v>
      </c>
      <c r="BG225" s="2">
        <f t="shared" ca="1" si="6"/>
        <v>1</v>
      </c>
      <c r="BH225" s="2" t="s">
        <v>293</v>
      </c>
      <c r="BI225" s="2" t="s">
        <v>150</v>
      </c>
      <c r="BJ225" s="7">
        <v>0.62999999999999989</v>
      </c>
      <c r="BK225" s="2">
        <v>1</v>
      </c>
      <c r="BL225" s="2">
        <f t="shared" si="10"/>
        <v>223</v>
      </c>
      <c r="BM225" s="2" t="str">
        <f t="shared" si="7"/>
        <v>Paide Linnameeskond</v>
      </c>
      <c r="BN225" s="7">
        <f t="shared" ref="BN225:BO225" si="232">BJ225</f>
        <v>0.62999999999999989</v>
      </c>
      <c r="BO225" s="2">
        <f t="shared" si="232"/>
        <v>1</v>
      </c>
      <c r="BS225" s="2" t="str">
        <f t="shared" si="9"/>
        <v>Estonia</v>
      </c>
    </row>
    <row r="226" spans="1:71" ht="13.8" x14ac:dyDescent="0.45">
      <c r="A226" s="2" t="str">
        <f ca="1">IFERROR(__xludf.DUMMYFUNCTION("""COMPUTED_VALUE"""),"Víkingur Reykjavík")</f>
        <v>Víkingur Reykjavík</v>
      </c>
      <c r="B226" s="2">
        <f ca="1">IFERROR(__xludf.DUMMYFUNCTION("""COMPUTED_VALUE"""),0.59)</f>
        <v>0.59</v>
      </c>
      <c r="C226" s="2" t="str">
        <f ca="1">IFERROR(__xludf.DUMMYFUNCTION("""COMPUTED_VALUE"""),"Iceland")</f>
        <v>Iceland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5">
        <f ca="1">IFERROR(__xludf.DUMMYFUNCTION("""COMPUTED_VALUE"""),0)</f>
        <v>0</v>
      </c>
      <c r="P226" s="2">
        <f ca="1">IFERROR(__xludf.DUMMYFUNCTION("""COMPUTED_VALUE"""),0)</f>
        <v>0</v>
      </c>
      <c r="Q226" s="2">
        <f ca="1">IFERROR(__xludf.DUMMYFUNCTION("""COMPUTED_VALUE"""),0)</f>
        <v>0</v>
      </c>
      <c r="R226" s="2">
        <f ca="1">IFERROR(__xludf.DUMMYFUNCTION("""COMPUTED_VALUE"""),0)</f>
        <v>0</v>
      </c>
      <c r="S226" s="2">
        <f ca="1">IFERROR(__xludf.DUMMYFUNCTION("""COMPUTED_VALUE"""),0)</f>
        <v>0</v>
      </c>
      <c r="T226" s="2">
        <f ca="1">IFERROR(__xludf.DUMMYFUNCTION("""COMPUTED_VALUE"""),0)</f>
        <v>0</v>
      </c>
      <c r="U226" s="2">
        <f ca="1">IFERROR(__xludf.DUMMYFUNCTION("""COMPUTED_VALUE"""),0)</f>
        <v>0</v>
      </c>
      <c r="V226" s="2">
        <f ca="1">IFERROR(__xludf.DUMMYFUNCTION("""COMPUTED_VALUE"""),0)</f>
        <v>0</v>
      </c>
      <c r="W226" s="2">
        <f ca="1">IFERROR(__xludf.DUMMYFUNCTION("""COMPUTED_VALUE"""),0)</f>
        <v>0</v>
      </c>
      <c r="X226" s="2">
        <f ca="1">IFERROR(__xludf.DUMMYFUNCTION("""COMPUTED_VALUE"""),0)</f>
        <v>0</v>
      </c>
      <c r="Y226" s="2">
        <f ca="1">IFERROR(__xludf.DUMMYFUNCTION("""COMPUTED_VALUE"""),0)</f>
        <v>0</v>
      </c>
      <c r="AB226" s="2"/>
      <c r="AC226" s="2" t="str">
        <f ca="1">IFERROR(__xludf.DUMMYFUNCTION("""COMPUTED_VALUE"""),"X")</f>
        <v>X</v>
      </c>
      <c r="AD226" s="2"/>
      <c r="AE226" s="2"/>
      <c r="AF226" s="2"/>
      <c r="AG226" s="2"/>
      <c r="AH226" s="2"/>
      <c r="AI226" s="2"/>
      <c r="AJ226" s="2"/>
      <c r="AK226" s="2"/>
      <c r="AL226" s="2"/>
      <c r="AM226" s="2">
        <f ca="1">IFERROR(__xludf.DUMMYFUNCTION("""COMPUTED_VALUE"""),0)</f>
        <v>0</v>
      </c>
      <c r="AN226" s="2">
        <f ca="1">IFERROR(__xludf.DUMMYFUNCTION("""COMPUTED_VALUE"""),0.544999999999999)</f>
        <v>0.54499999999999904</v>
      </c>
      <c r="AO226" s="2">
        <f ca="1">IFERROR(__xludf.DUMMYFUNCTION("""COMPUTED_VALUE"""),0)</f>
        <v>0</v>
      </c>
      <c r="AP226" s="2">
        <f ca="1">IFERROR(__xludf.DUMMYFUNCTION("""COMPUTED_VALUE"""),0)</f>
        <v>0</v>
      </c>
      <c r="AQ226" s="2">
        <f ca="1">IFERROR(__xludf.DUMMYFUNCTION("""COMPUTED_VALUE"""),0)</f>
        <v>0</v>
      </c>
      <c r="AR226" s="2">
        <f ca="1">IFERROR(__xludf.DUMMYFUNCTION("""COMPUTED_VALUE"""),0)</f>
        <v>0</v>
      </c>
      <c r="AS226" s="2">
        <f ca="1">IFERROR(__xludf.DUMMYFUNCTION("""COMPUTED_VALUE"""),0)</f>
        <v>0</v>
      </c>
      <c r="AT226" s="2">
        <f ca="1">IFERROR(__xludf.DUMMYFUNCTION("""COMPUTED_VALUE"""),0)</f>
        <v>0</v>
      </c>
      <c r="AU226" s="2">
        <f ca="1">IFERROR(__xludf.DUMMYFUNCTION("""COMPUTED_VALUE"""),0)</f>
        <v>0</v>
      </c>
      <c r="AV226" s="2">
        <f ca="1">IFERROR(__xludf.DUMMYFUNCTION("""COMPUTED_VALUE"""),0)</f>
        <v>0</v>
      </c>
      <c r="AW226" s="2">
        <f ca="1">IFERROR(__xludf.DUMMYFUNCTION("""COMPUTED_VALUE"""),0)</f>
        <v>0</v>
      </c>
      <c r="AY226" s="2">
        <f t="shared" ca="1" si="0"/>
        <v>1</v>
      </c>
      <c r="AZ226" s="2" t="e">
        <f ca="1">IF(NOT(COUNTA(D226:J226)), _xludf.IFS(AL226="W", 'Round Bonuses'!$F$14, AL226="X", 'Round Bonuses'!$F$13, AK226="X", 'Round Bonuses'!$F$12, AJ226="X", 'Round Bonuses'!$F$11, AI226="X", 'Round Bonuses'!$F$10, AH226="X", 'Round Bonuses'!$F$9, AG226="X", 'Round Bonuses'!$F$8, AF226="X", 'Round Bonuses'!$F$7, AE226="X", 'Round Bonuses'!$F$6, AD226="X", 'Round Bonuses'!$F$5, AC226="X", 'Round Bonuses'!$F$4, AB226="X", 'Round Bonuses'!$F$3, TRUE, 0), IF(AA226="X", _xludf.IFS(AD226="X", 'Round Bonuses'!$E$4, AF226="X",'Round Bonuses'!$E$6,TRUE, 'Round Bonuses'!$E$7), 0) +IF(AB226="X", 'Round Bonuses'!$E$3, 0)+IF(AC226="X",'Round Bonuses'!$E$4, 0)+IF(AD226="X", 'Round Bonuses'!$E$5, 0)+IF(AE226="X", 'Round Bonuses'!$E$6, 0)+IF(AF226="X", 'Round Bonuses'!$E$7, 0)+IF(AG226="X", 'Round Bonuses'!$E$8, 0)+_xludf.IFS(AL226="W", 'Round Bonuses'!$G$14, AL226="X", 'Round Bonuses'!$G$13, AK226="X", 'Round Bonuses'!$G$12, AJ226="X", 'Round Bonuses'!$G$11, AI226="X", 'Round Bonuses'!$G$10, AH226="X", 'Round Bonuses'!$G$9, TRUE, 0))+_xludf.IFS(N226="W", 'Round Bonuses'!$C$13, N226="X", 'Round Bonuses'!$C$12, M226="X", 'Round Bonuses'!$C$11, L226="X", 'Round Bonuses'!$C$10, K226="X", 'Round Bonuses'!$C$9, J226="X", 'Round Bonuses'!$C$8, I226="X", 'Round Bonuses'!$C$7, H226="X", 'Round Bonuses'!$C$6, G226="X", 'Round Bonuses'!$C$5, F226="X", 'Round Bonuses'!$C$4, E226="X", 'Round Bonuses'!$C$3, D226="X", 'Round Bonuses'!$C$3, TRUE, 0)</f>
        <v>#NAME?</v>
      </c>
      <c r="BA226" s="2">
        <f t="shared" ca="1" si="1"/>
        <v>0.54499999999999904</v>
      </c>
      <c r="BB226" s="10" t="e">
        <f t="shared" ca="1" si="2"/>
        <v>#NAME?</v>
      </c>
      <c r="BD226" s="11" t="str">
        <f t="shared" ca="1" si="3"/>
        <v>Víkingur Reykjavík</v>
      </c>
      <c r="BE226" s="2" t="str">
        <f t="shared" ca="1" si="4"/>
        <v>Iceland</v>
      </c>
      <c r="BF226" s="2" t="e">
        <f t="shared" ca="1" si="5"/>
        <v>#NAME?</v>
      </c>
      <c r="BG226" s="2">
        <f t="shared" ca="1" si="6"/>
        <v>1</v>
      </c>
      <c r="BH226" s="2" t="s">
        <v>294</v>
      </c>
      <c r="BI226" s="2" t="s">
        <v>144</v>
      </c>
      <c r="BJ226" s="7">
        <v>0.61499999999999999</v>
      </c>
      <c r="BK226" s="2">
        <v>1</v>
      </c>
      <c r="BL226" s="2">
        <f t="shared" si="10"/>
        <v>224</v>
      </c>
      <c r="BM226" s="2" t="str">
        <f t="shared" si="7"/>
        <v>Shirak</v>
      </c>
      <c r="BN226" s="7">
        <f t="shared" ref="BN226:BO226" si="233">BJ226</f>
        <v>0.61499999999999999</v>
      </c>
      <c r="BO226" s="2">
        <f t="shared" si="233"/>
        <v>1</v>
      </c>
      <c r="BS226" s="2" t="str">
        <f t="shared" si="9"/>
        <v>Armenia</v>
      </c>
    </row>
    <row r="227" spans="1:71" ht="13.8" x14ac:dyDescent="0.45">
      <c r="A227" s="2" t="str">
        <f ca="1">IFERROR(__xludf.DUMMYFUNCTION("""COMPUTED_VALUE"""),"Viktoria Plzeň")</f>
        <v>Viktoria Plzeň</v>
      </c>
      <c r="B227" s="2">
        <f ca="1">IFERROR(__xludf.DUMMYFUNCTION("""COMPUTED_VALUE"""),0.86)</f>
        <v>0.86</v>
      </c>
      <c r="C227" s="2" t="str">
        <f ca="1">IFERROR(__xludf.DUMMYFUNCTION("""COMPUTED_VALUE"""),"Czech Republic")</f>
        <v>Czech Republic</v>
      </c>
      <c r="D227" s="2"/>
      <c r="E227" s="2"/>
      <c r="F227" s="2"/>
      <c r="G227" s="2" t="str">
        <f ca="1">IFERROR(__xludf.DUMMYFUNCTION("""COMPUTED_VALUE"""),"X")</f>
        <v>X</v>
      </c>
      <c r="H227" s="2"/>
      <c r="I227" s="2"/>
      <c r="J227" s="2"/>
      <c r="K227" s="2"/>
      <c r="L227" s="2"/>
      <c r="M227" s="2"/>
      <c r="N227" s="2"/>
      <c r="O227" s="5">
        <f ca="1">IFERROR(__xludf.DUMMYFUNCTION("""COMPUTED_VALUE"""),0)</f>
        <v>0</v>
      </c>
      <c r="P227" s="2">
        <f ca="1">IFERROR(__xludf.DUMMYFUNCTION("""COMPUTED_VALUE"""),0)</f>
        <v>0</v>
      </c>
      <c r="Q227" s="2">
        <f ca="1">IFERROR(__xludf.DUMMYFUNCTION("""COMPUTED_VALUE"""),0)</f>
        <v>0</v>
      </c>
      <c r="R227" s="2">
        <f ca="1">IFERROR(__xludf.DUMMYFUNCTION("""COMPUTED_VALUE"""),0.63)</f>
        <v>0.63</v>
      </c>
      <c r="S227" s="2">
        <f ca="1">IFERROR(__xludf.DUMMYFUNCTION("""COMPUTED_VALUE"""),0)</f>
        <v>0</v>
      </c>
      <c r="T227" s="2">
        <f ca="1">IFERROR(__xludf.DUMMYFUNCTION("""COMPUTED_VALUE"""),0)</f>
        <v>0</v>
      </c>
      <c r="U227" s="2">
        <f ca="1">IFERROR(__xludf.DUMMYFUNCTION("""COMPUTED_VALUE"""),0)</f>
        <v>0</v>
      </c>
      <c r="V227" s="2">
        <f ca="1">IFERROR(__xludf.DUMMYFUNCTION("""COMPUTED_VALUE"""),0)</f>
        <v>0</v>
      </c>
      <c r="W227" s="2">
        <f ca="1">IFERROR(__xludf.DUMMYFUNCTION("""COMPUTED_VALUE"""),0)</f>
        <v>0</v>
      </c>
      <c r="X227" s="2">
        <f ca="1">IFERROR(__xludf.DUMMYFUNCTION("""COMPUTED_VALUE"""),0)</f>
        <v>0</v>
      </c>
      <c r="Y227" s="2">
        <f ca="1">IFERROR(__xludf.DUMMYFUNCTION("""COMPUTED_VALUE"""),0)</f>
        <v>0</v>
      </c>
      <c r="AB227" s="2"/>
      <c r="AC227" s="2"/>
      <c r="AD227" s="2"/>
      <c r="AE227" s="2" t="str">
        <f ca="1">IFERROR(__xludf.DUMMYFUNCTION("""COMPUTED_VALUE"""),"X")</f>
        <v>X</v>
      </c>
      <c r="AF227" s="2" t="str">
        <f ca="1">IFERROR(__xludf.DUMMYFUNCTION("""COMPUTED_VALUE"""),"X")</f>
        <v>X</v>
      </c>
      <c r="AG227" s="2"/>
      <c r="AH227" s="2"/>
      <c r="AI227" s="2"/>
      <c r="AJ227" s="2"/>
      <c r="AK227" s="2"/>
      <c r="AL227" s="2"/>
      <c r="AM227" s="2">
        <f ca="1">IFERROR(__xludf.DUMMYFUNCTION("""COMPUTED_VALUE"""),0)</f>
        <v>0</v>
      </c>
      <c r="AN227" s="2">
        <f ca="1">IFERROR(__xludf.DUMMYFUNCTION("""COMPUTED_VALUE"""),0)</f>
        <v>0</v>
      </c>
      <c r="AO227" s="2">
        <f ca="1">IFERROR(__xludf.DUMMYFUNCTION("""COMPUTED_VALUE"""),0)</f>
        <v>0</v>
      </c>
      <c r="AP227" s="2">
        <f ca="1">IFERROR(__xludf.DUMMYFUNCTION("""COMPUTED_VALUE"""),3.58749999999999)</f>
        <v>3.5874999999999901</v>
      </c>
      <c r="AQ227" s="2">
        <f ca="1">IFERROR(__xludf.DUMMYFUNCTION("""COMPUTED_VALUE"""),0.585)</f>
        <v>0.58499999999999996</v>
      </c>
      <c r="AR227" s="2">
        <f ca="1">IFERROR(__xludf.DUMMYFUNCTION("""COMPUTED_VALUE"""),0)</f>
        <v>0</v>
      </c>
      <c r="AS227" s="2">
        <f ca="1">IFERROR(__xludf.DUMMYFUNCTION("""COMPUTED_VALUE"""),0)</f>
        <v>0</v>
      </c>
      <c r="AT227" s="2">
        <f ca="1">IFERROR(__xludf.DUMMYFUNCTION("""COMPUTED_VALUE"""),0)</f>
        <v>0</v>
      </c>
      <c r="AU227" s="2">
        <f ca="1">IFERROR(__xludf.DUMMYFUNCTION("""COMPUTED_VALUE"""),0)</f>
        <v>0</v>
      </c>
      <c r="AV227" s="2">
        <f ca="1">IFERROR(__xludf.DUMMYFUNCTION("""COMPUTED_VALUE"""),0)</f>
        <v>0</v>
      </c>
      <c r="AW227" s="2">
        <f ca="1">IFERROR(__xludf.DUMMYFUNCTION("""COMPUTED_VALUE"""),0)</f>
        <v>0</v>
      </c>
      <c r="AY227" s="2">
        <f t="shared" ca="1" si="0"/>
        <v>3</v>
      </c>
      <c r="AZ227" s="2" t="e">
        <f ca="1">IF(NOT(COUNTA(D227:J227)), _xludf.IFS(AL227="W", 'Round Bonuses'!$F$14, AL227="X", 'Round Bonuses'!$F$13, AK227="X", 'Round Bonuses'!$F$12, AJ227="X", 'Round Bonuses'!$F$11, AI227="X", 'Round Bonuses'!$F$10, AH227="X", 'Round Bonuses'!$F$9, AG227="X", 'Round Bonuses'!$F$8, AF227="X", 'Round Bonuses'!$F$7, AE227="X", 'Round Bonuses'!$F$6, AD227="X", 'Round Bonuses'!$F$5, AC227="X", 'Round Bonuses'!$F$4, AB227="X", 'Round Bonuses'!$F$3, TRUE, 0), IF(AA227="X", _xludf.IFS(AD227="X", 'Round Bonuses'!$E$4, AF227="X",'Round Bonuses'!$E$6,TRUE, 'Round Bonuses'!$E$7), 0) +IF(AB227="X", 'Round Bonuses'!$E$3, 0)+IF(AC227="X",'Round Bonuses'!$E$4, 0)+IF(AD227="X", 'Round Bonuses'!$E$5, 0)+IF(AE227="X", 'Round Bonuses'!$E$6, 0)+IF(AF227="X", 'Round Bonuses'!$E$7, 0)+IF(AG227="X", 'Round Bonuses'!$E$8, 0)+_xludf.IFS(AL227="W", 'Round Bonuses'!$G$14, AL227="X", 'Round Bonuses'!$G$13, AK227="X", 'Round Bonuses'!$G$12, AJ227="X", 'Round Bonuses'!$G$11, AI227="X", 'Round Bonuses'!$G$10, AH227="X", 'Round Bonuses'!$G$9, TRUE, 0))+_xludf.IFS(N227="W", 'Round Bonuses'!$C$13, N227="X", 'Round Bonuses'!$C$12, M227="X", 'Round Bonuses'!$C$11, L227="X", 'Round Bonuses'!$C$10, K227="X", 'Round Bonuses'!$C$9, J227="X", 'Round Bonuses'!$C$8, I227="X", 'Round Bonuses'!$C$7, H227="X", 'Round Bonuses'!$C$6, G227="X", 'Round Bonuses'!$C$5, F227="X", 'Round Bonuses'!$C$4, E227="X", 'Round Bonuses'!$C$3, D227="X", 'Round Bonuses'!$C$3, TRUE, 0)</f>
        <v>#NAME?</v>
      </c>
      <c r="BA227" s="2">
        <f t="shared" ca="1" si="1"/>
        <v>4.8024999999999904</v>
      </c>
      <c r="BB227" s="10" t="e">
        <f t="shared" ca="1" si="2"/>
        <v>#NAME?</v>
      </c>
      <c r="BD227" s="11" t="str">
        <f t="shared" ca="1" si="3"/>
        <v>Viktoria Plzeň</v>
      </c>
      <c r="BE227" s="2" t="str">
        <f t="shared" ca="1" si="4"/>
        <v>Czech Republic</v>
      </c>
      <c r="BF227" s="2" t="e">
        <f t="shared" ca="1" si="5"/>
        <v>#NAME?</v>
      </c>
      <c r="BG227" s="2">
        <f t="shared" ca="1" si="6"/>
        <v>3</v>
      </c>
      <c r="BH227" s="2" t="s">
        <v>295</v>
      </c>
      <c r="BI227" s="2" t="s">
        <v>154</v>
      </c>
      <c r="BJ227" s="7">
        <v>0.59000000000000008</v>
      </c>
      <c r="BK227" s="2">
        <v>1</v>
      </c>
      <c r="BL227" s="2">
        <f t="shared" si="10"/>
        <v>225</v>
      </c>
      <c r="BM227" s="2" t="str">
        <f t="shared" si="7"/>
        <v>Saburtalo Tbilisi</v>
      </c>
      <c r="BN227" s="7">
        <f t="shared" ref="BN227:BO227" si="234">BJ227</f>
        <v>0.59000000000000008</v>
      </c>
      <c r="BO227" s="2">
        <f t="shared" si="234"/>
        <v>1</v>
      </c>
      <c r="BS227" s="2" t="str">
        <f t="shared" si="9"/>
        <v>Georgia</v>
      </c>
    </row>
    <row r="228" spans="1:71" ht="13.8" x14ac:dyDescent="0.45">
      <c r="A228" s="2" t="str">
        <f ca="1">IFERROR(__xludf.DUMMYFUNCTION("""COMPUTED_VALUE"""),"Villarreal")</f>
        <v>Villarreal</v>
      </c>
      <c r="B228" s="2">
        <f ca="1">IFERROR(__xludf.DUMMYFUNCTION("""COMPUTED_VALUE"""),0.95)</f>
        <v>0.95</v>
      </c>
      <c r="C228" s="2" t="str">
        <f ca="1">IFERROR(__xludf.DUMMYFUNCTION("""COMPUTED_VALUE"""),"Spain")</f>
        <v>Spain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5">
        <f ca="1">IFERROR(__xludf.DUMMYFUNCTION("""COMPUTED_VALUE"""),0)</f>
        <v>0</v>
      </c>
      <c r="P228" s="2">
        <f ca="1">IFERROR(__xludf.DUMMYFUNCTION("""COMPUTED_VALUE"""),0)</f>
        <v>0</v>
      </c>
      <c r="Q228" s="2">
        <f ca="1">IFERROR(__xludf.DUMMYFUNCTION("""COMPUTED_VALUE"""),0)</f>
        <v>0</v>
      </c>
      <c r="R228" s="2">
        <f ca="1">IFERROR(__xludf.DUMMYFUNCTION("""COMPUTED_VALUE"""),0)</f>
        <v>0</v>
      </c>
      <c r="S228" s="2">
        <f ca="1">IFERROR(__xludf.DUMMYFUNCTION("""COMPUTED_VALUE"""),0)</f>
        <v>0</v>
      </c>
      <c r="T228" s="2">
        <f ca="1">IFERROR(__xludf.DUMMYFUNCTION("""COMPUTED_VALUE"""),0)</f>
        <v>0</v>
      </c>
      <c r="U228" s="2">
        <f ca="1">IFERROR(__xludf.DUMMYFUNCTION("""COMPUTED_VALUE"""),0)</f>
        <v>0</v>
      </c>
      <c r="V228" s="2">
        <f ca="1">IFERROR(__xludf.DUMMYFUNCTION("""COMPUTED_VALUE"""),0)</f>
        <v>0</v>
      </c>
      <c r="W228" s="2">
        <f ca="1">IFERROR(__xludf.DUMMYFUNCTION("""COMPUTED_VALUE"""),0)</f>
        <v>0</v>
      </c>
      <c r="X228" s="2">
        <f ca="1">IFERROR(__xludf.DUMMYFUNCTION("""COMPUTED_VALUE"""),0)</f>
        <v>0</v>
      </c>
      <c r="Y228" s="2">
        <f ca="1">IFERROR(__xludf.DUMMYFUNCTION("""COMPUTED_VALUE"""),0)</f>
        <v>0</v>
      </c>
      <c r="AB228" s="2"/>
      <c r="AC228" s="2"/>
      <c r="AD228" s="2"/>
      <c r="AE228" s="2"/>
      <c r="AF228" s="2"/>
      <c r="AG228" s="2" t="str">
        <f ca="1">IFERROR(__xludf.DUMMYFUNCTION("""COMPUTED_VALUE"""),"X")</f>
        <v>X</v>
      </c>
      <c r="AH228" s="2" t="str">
        <f ca="1">IFERROR(__xludf.DUMMYFUNCTION("""COMPUTED_VALUE"""),"X")</f>
        <v>X</v>
      </c>
      <c r="AI228" s="2" t="str">
        <f ca="1">IFERROR(__xludf.DUMMYFUNCTION("""COMPUTED_VALUE"""),"X")</f>
        <v>X</v>
      </c>
      <c r="AJ228" s="2" t="str">
        <f ca="1">IFERROR(__xludf.DUMMYFUNCTION("""COMPUTED_VALUE"""),"X")</f>
        <v>X</v>
      </c>
      <c r="AK228" s="2" t="str">
        <f ca="1">IFERROR(__xludf.DUMMYFUNCTION("""COMPUTED_VALUE"""),"X")</f>
        <v>X</v>
      </c>
      <c r="AL228" s="2" t="str">
        <f ca="1">IFERROR(__xludf.DUMMYFUNCTION("""COMPUTED_VALUE"""),"W")</f>
        <v>W</v>
      </c>
      <c r="AM228" s="2">
        <f ca="1">IFERROR(__xludf.DUMMYFUNCTION("""COMPUTED_VALUE"""),0)</f>
        <v>0</v>
      </c>
      <c r="AN228" s="2">
        <f ca="1">IFERROR(__xludf.DUMMYFUNCTION("""COMPUTED_VALUE"""),0)</f>
        <v>0</v>
      </c>
      <c r="AO228" s="2">
        <f ca="1">IFERROR(__xludf.DUMMYFUNCTION("""COMPUTED_VALUE"""),0)</f>
        <v>0</v>
      </c>
      <c r="AP228" s="2">
        <f ca="1">IFERROR(__xludf.DUMMYFUNCTION("""COMPUTED_VALUE"""),0)</f>
        <v>0</v>
      </c>
      <c r="AQ228" s="2">
        <f ca="1">IFERROR(__xludf.DUMMYFUNCTION("""COMPUTED_VALUE"""),0)</f>
        <v>0</v>
      </c>
      <c r="AR228" s="2">
        <f ca="1">IFERROR(__xludf.DUMMYFUNCTION("""COMPUTED_VALUE"""),18.41375)</f>
        <v>18.41375</v>
      </c>
      <c r="AS228" s="2">
        <f ca="1">IFERROR(__xludf.DUMMYFUNCTION("""COMPUTED_VALUE"""),7.36999999999999)</f>
        <v>7.3699999999999903</v>
      </c>
      <c r="AT228" s="2">
        <f ca="1">IFERROR(__xludf.DUMMYFUNCTION("""COMPUTED_VALUE"""),7.65)</f>
        <v>7.65</v>
      </c>
      <c r="AU228" s="2">
        <f ca="1">IFERROR(__xludf.DUMMYFUNCTION("""COMPUTED_VALUE"""),7.0125)</f>
        <v>7.0125000000000002</v>
      </c>
      <c r="AV228" s="2">
        <f ca="1">IFERROR(__xludf.DUMMYFUNCTION("""COMPUTED_VALUE"""),5.69624999999999)</f>
        <v>5.6962499999999903</v>
      </c>
      <c r="AW228" s="2">
        <f ca="1">IFERROR(__xludf.DUMMYFUNCTION("""COMPUTED_VALUE"""),2.88)</f>
        <v>2.88</v>
      </c>
      <c r="AY228" s="2">
        <f t="shared" ca="1" si="0"/>
        <v>15</v>
      </c>
      <c r="AZ228" s="2" t="e">
        <f ca="1">IF(NOT(COUNTA(D228:J228)), _xludf.IFS(AL228="W", 'Round Bonuses'!$F$14, AL228="X", 'Round Bonuses'!$F$13, AK228="X", 'Round Bonuses'!$F$12, AJ228="X", 'Round Bonuses'!$F$11, AI228="X", 'Round Bonuses'!$F$10, AH228="X", 'Round Bonuses'!$F$9, AG228="X", 'Round Bonuses'!$F$8, AF228="X", 'Round Bonuses'!$F$7, AE228="X", 'Round Bonuses'!$F$6, AD228="X", 'Round Bonuses'!$F$5, AC228="X", 'Round Bonuses'!$F$4, AB228="X", 'Round Bonuses'!$F$3, TRUE, 0), IF(AA228="X", _xludf.IFS(AD228="X", 'Round Bonuses'!$E$4, AF228="X",'Round Bonuses'!$E$6,TRUE, 'Round Bonuses'!$E$7), 0) +IF(AB228="X", 'Round Bonuses'!$E$3, 0)+IF(AC228="X",'Round Bonuses'!$E$4, 0)+IF(AD228="X", 'Round Bonuses'!$E$5, 0)+IF(AE228="X", 'Round Bonuses'!$E$6, 0)+IF(AF228="X", 'Round Bonuses'!$E$7, 0)+IF(AG228="X", 'Round Bonuses'!$E$8, 0)+_xludf.IFS(AL228="W", 'Round Bonuses'!$G$14, AL228="X", 'Round Bonuses'!$G$13, AK228="X", 'Round Bonuses'!$G$12, AJ228="X", 'Round Bonuses'!$G$11, AI228="X", 'Round Bonuses'!$G$10, AH228="X", 'Round Bonuses'!$G$9, TRUE, 0))+_xludf.IFS(N228="W", 'Round Bonuses'!$C$13, N228="X", 'Round Bonuses'!$C$12, M228="X", 'Round Bonuses'!$C$11, L228="X", 'Round Bonuses'!$C$10, K228="X", 'Round Bonuses'!$C$9, J228="X", 'Round Bonuses'!$C$8, I228="X", 'Round Bonuses'!$C$7, H228="X", 'Round Bonuses'!$C$6, G228="X", 'Round Bonuses'!$C$5, F228="X", 'Round Bonuses'!$C$4, E228="X", 'Round Bonuses'!$C$3, D228="X", 'Round Bonuses'!$C$3, TRUE, 0)</f>
        <v>#NAME?</v>
      </c>
      <c r="BA228" s="2">
        <f t="shared" ca="1" si="1"/>
        <v>49.022499999999987</v>
      </c>
      <c r="BB228" s="10" t="e">
        <f t="shared" ca="1" si="2"/>
        <v>#NAME?</v>
      </c>
      <c r="BD228" s="11" t="str">
        <f t="shared" ca="1" si="3"/>
        <v>Villarreal</v>
      </c>
      <c r="BE228" s="2" t="str">
        <f t="shared" ca="1" si="4"/>
        <v>Spain</v>
      </c>
      <c r="BF228" s="2" t="e">
        <f t="shared" ca="1" si="5"/>
        <v>#NAME?</v>
      </c>
      <c r="BG228" s="2">
        <f t="shared" ca="1" si="6"/>
        <v>15</v>
      </c>
      <c r="BH228" s="2" t="s">
        <v>296</v>
      </c>
      <c r="BI228" s="2" t="s">
        <v>297</v>
      </c>
      <c r="BJ228" s="7">
        <v>0.58000000000000007</v>
      </c>
      <c r="BK228" s="2">
        <v>1</v>
      </c>
      <c r="BL228" s="2">
        <f t="shared" si="10"/>
        <v>226</v>
      </c>
      <c r="BM228" s="2" t="str">
        <f t="shared" si="7"/>
        <v>Vaduz</v>
      </c>
      <c r="BN228" s="7">
        <f t="shared" ref="BN228:BO228" si="235">BJ228</f>
        <v>0.58000000000000007</v>
      </c>
      <c r="BO228" s="2">
        <f t="shared" si="235"/>
        <v>1</v>
      </c>
      <c r="BS228" s="2" t="str">
        <f t="shared" si="9"/>
        <v>Lichtenstein</v>
      </c>
    </row>
    <row r="229" spans="1:71" ht="13.8" x14ac:dyDescent="0.45">
      <c r="A229" s="2" t="str">
        <f ca="1">IFERROR(__xludf.DUMMYFUNCTION("""COMPUTED_VALUE"""),"Vojvodina")</f>
        <v>Vojvodina</v>
      </c>
      <c r="B229" s="2">
        <f ca="1">IFERROR(__xludf.DUMMYFUNCTION("""COMPUTED_VALUE"""),0.79)</f>
        <v>0.79</v>
      </c>
      <c r="C229" s="2" t="str">
        <f ca="1">IFERROR(__xludf.DUMMYFUNCTION("""COMPUTED_VALUE"""),"Serbia")</f>
        <v>Serbia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5">
        <f ca="1">IFERROR(__xludf.DUMMYFUNCTION("""COMPUTED_VALUE"""),0)</f>
        <v>0</v>
      </c>
      <c r="P229" s="2">
        <f ca="1">IFERROR(__xludf.DUMMYFUNCTION("""COMPUTED_VALUE"""),0)</f>
        <v>0</v>
      </c>
      <c r="Q229" s="2">
        <f ca="1">IFERROR(__xludf.DUMMYFUNCTION("""COMPUTED_VALUE"""),0)</f>
        <v>0</v>
      </c>
      <c r="R229" s="2">
        <f ca="1">IFERROR(__xludf.DUMMYFUNCTION("""COMPUTED_VALUE"""),0)</f>
        <v>0</v>
      </c>
      <c r="S229" s="2">
        <f ca="1">IFERROR(__xludf.DUMMYFUNCTION("""COMPUTED_VALUE"""),0)</f>
        <v>0</v>
      </c>
      <c r="T229" s="2">
        <f ca="1">IFERROR(__xludf.DUMMYFUNCTION("""COMPUTED_VALUE"""),0)</f>
        <v>0</v>
      </c>
      <c r="U229" s="2">
        <f ca="1">IFERROR(__xludf.DUMMYFUNCTION("""COMPUTED_VALUE"""),0)</f>
        <v>0</v>
      </c>
      <c r="V229" s="2">
        <f ca="1">IFERROR(__xludf.DUMMYFUNCTION("""COMPUTED_VALUE"""),0)</f>
        <v>0</v>
      </c>
      <c r="W229" s="2">
        <f ca="1">IFERROR(__xludf.DUMMYFUNCTION("""COMPUTED_VALUE"""),0)</f>
        <v>0</v>
      </c>
      <c r="X229" s="2">
        <f ca="1">IFERROR(__xludf.DUMMYFUNCTION("""COMPUTED_VALUE"""),0)</f>
        <v>0</v>
      </c>
      <c r="Y229" s="2">
        <f ca="1">IFERROR(__xludf.DUMMYFUNCTION("""COMPUTED_VALUE"""),0)</f>
        <v>0</v>
      </c>
      <c r="AB229" s="2"/>
      <c r="AC229" s="2"/>
      <c r="AD229" s="2"/>
      <c r="AE229" s="2" t="str">
        <f ca="1">IFERROR(__xludf.DUMMYFUNCTION("""COMPUTED_VALUE"""),"X")</f>
        <v>X</v>
      </c>
      <c r="AF229" s="2"/>
      <c r="AG229" s="2"/>
      <c r="AH229" s="2"/>
      <c r="AI229" s="2"/>
      <c r="AJ229" s="2"/>
      <c r="AK229" s="2"/>
      <c r="AL229" s="2"/>
      <c r="AM229" s="2">
        <f ca="1">IFERROR(__xludf.DUMMYFUNCTION("""COMPUTED_VALUE"""),0)</f>
        <v>0</v>
      </c>
      <c r="AN229" s="2">
        <f ca="1">IFERROR(__xludf.DUMMYFUNCTION("""COMPUTED_VALUE"""),0)</f>
        <v>0</v>
      </c>
      <c r="AO229" s="2">
        <f ca="1">IFERROR(__xludf.DUMMYFUNCTION("""COMPUTED_VALUE"""),0)</f>
        <v>0</v>
      </c>
      <c r="AP229" s="2">
        <f ca="1">IFERROR(__xludf.DUMMYFUNCTION("""COMPUTED_VALUE"""),0.755)</f>
        <v>0.755</v>
      </c>
      <c r="AQ229" s="2">
        <f ca="1">IFERROR(__xludf.DUMMYFUNCTION("""COMPUTED_VALUE"""),0)</f>
        <v>0</v>
      </c>
      <c r="AR229" s="2">
        <f ca="1">IFERROR(__xludf.DUMMYFUNCTION("""COMPUTED_VALUE"""),0)</f>
        <v>0</v>
      </c>
      <c r="AS229" s="2">
        <f ca="1">IFERROR(__xludf.DUMMYFUNCTION("""COMPUTED_VALUE"""),0)</f>
        <v>0</v>
      </c>
      <c r="AT229" s="2">
        <f ca="1">IFERROR(__xludf.DUMMYFUNCTION("""COMPUTED_VALUE"""),0)</f>
        <v>0</v>
      </c>
      <c r="AU229" s="2">
        <f ca="1">IFERROR(__xludf.DUMMYFUNCTION("""COMPUTED_VALUE"""),0)</f>
        <v>0</v>
      </c>
      <c r="AV229" s="2">
        <f ca="1">IFERROR(__xludf.DUMMYFUNCTION("""COMPUTED_VALUE"""),0)</f>
        <v>0</v>
      </c>
      <c r="AW229" s="2">
        <f ca="1">IFERROR(__xludf.DUMMYFUNCTION("""COMPUTED_VALUE"""),0)</f>
        <v>0</v>
      </c>
      <c r="AY229" s="2">
        <f t="shared" ca="1" si="0"/>
        <v>1</v>
      </c>
      <c r="AZ229" s="2" t="e">
        <f ca="1">IF(NOT(COUNTA(D229:J229)), _xludf.IFS(AL229="W", 'Round Bonuses'!$F$14, AL229="X", 'Round Bonuses'!$F$13, AK229="X", 'Round Bonuses'!$F$12, AJ229="X", 'Round Bonuses'!$F$11, AI229="X", 'Round Bonuses'!$F$10, AH229="X", 'Round Bonuses'!$F$9, AG229="X", 'Round Bonuses'!$F$8, AF229="X", 'Round Bonuses'!$F$7, AE229="X", 'Round Bonuses'!$F$6, AD229="X", 'Round Bonuses'!$F$5, AC229="X", 'Round Bonuses'!$F$4, AB229="X", 'Round Bonuses'!$F$3, TRUE, 0), IF(AA229="X", _xludf.IFS(AD229="X", 'Round Bonuses'!$E$4, AF229="X",'Round Bonuses'!$E$6,TRUE, 'Round Bonuses'!$E$7), 0) +IF(AB229="X", 'Round Bonuses'!$E$3, 0)+IF(AC229="X",'Round Bonuses'!$E$4, 0)+IF(AD229="X", 'Round Bonuses'!$E$5, 0)+IF(AE229="X", 'Round Bonuses'!$E$6, 0)+IF(AF229="X", 'Round Bonuses'!$E$7, 0)+IF(AG229="X", 'Round Bonuses'!$E$8, 0)+_xludf.IFS(AL229="W", 'Round Bonuses'!$G$14, AL229="X", 'Round Bonuses'!$G$13, AK229="X", 'Round Bonuses'!$G$12, AJ229="X", 'Round Bonuses'!$G$11, AI229="X", 'Round Bonuses'!$G$10, AH229="X", 'Round Bonuses'!$G$9, TRUE, 0))+_xludf.IFS(N229="W", 'Round Bonuses'!$C$13, N229="X", 'Round Bonuses'!$C$12, M229="X", 'Round Bonuses'!$C$11, L229="X", 'Round Bonuses'!$C$10, K229="X", 'Round Bonuses'!$C$9, J229="X", 'Round Bonuses'!$C$8, I229="X", 'Round Bonuses'!$C$7, H229="X", 'Round Bonuses'!$C$6, G229="X", 'Round Bonuses'!$C$5, F229="X", 'Round Bonuses'!$C$4, E229="X", 'Round Bonuses'!$C$3, D229="X", 'Round Bonuses'!$C$3, TRUE, 0)</f>
        <v>#NAME?</v>
      </c>
      <c r="BA229" s="2">
        <f t="shared" ca="1" si="1"/>
        <v>0.755</v>
      </c>
      <c r="BB229" s="10" t="e">
        <f t="shared" ca="1" si="2"/>
        <v>#NAME?</v>
      </c>
      <c r="BD229" s="11" t="str">
        <f t="shared" ca="1" si="3"/>
        <v>Vojvodina</v>
      </c>
      <c r="BE229" s="2" t="str">
        <f t="shared" ca="1" si="4"/>
        <v>Serbia</v>
      </c>
      <c r="BF229" s="2" t="e">
        <f t="shared" ca="1" si="5"/>
        <v>#NAME?</v>
      </c>
      <c r="BG229" s="2">
        <f t="shared" ca="1" si="6"/>
        <v>1</v>
      </c>
      <c r="BH229" s="2" t="s">
        <v>298</v>
      </c>
      <c r="BI229" s="2" t="s">
        <v>162</v>
      </c>
      <c r="BJ229" s="7">
        <v>0.56000000000000005</v>
      </c>
      <c r="BK229" s="2">
        <v>1</v>
      </c>
      <c r="BL229" s="2">
        <f t="shared" si="10"/>
        <v>227</v>
      </c>
      <c r="BM229" s="2" t="str">
        <f t="shared" si="7"/>
        <v>Žilina</v>
      </c>
      <c r="BN229" s="7">
        <f t="shared" ref="BN229:BO229" si="236">BJ229</f>
        <v>0.56000000000000005</v>
      </c>
      <c r="BO229" s="2">
        <f t="shared" si="236"/>
        <v>1</v>
      </c>
      <c r="BS229" s="2" t="str">
        <f t="shared" si="9"/>
        <v>Slovakia</v>
      </c>
    </row>
    <row r="230" spans="1:71" ht="13.8" x14ac:dyDescent="0.45">
      <c r="A230" s="2" t="str">
        <f ca="1">IFERROR(__xludf.DUMMYFUNCTION("""COMPUTED_VALUE"""),"Willem II")</f>
        <v>Willem II</v>
      </c>
      <c r="B230" s="2">
        <f ca="1">IFERROR(__xludf.DUMMYFUNCTION("""COMPUTED_VALUE"""),0.85)</f>
        <v>0.85</v>
      </c>
      <c r="C230" s="2" t="str">
        <f ca="1">IFERROR(__xludf.DUMMYFUNCTION("""COMPUTED_VALUE"""),"Netherlands")</f>
        <v>Netherlands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5">
        <f ca="1">IFERROR(__xludf.DUMMYFUNCTION("""COMPUTED_VALUE"""),0)</f>
        <v>0</v>
      </c>
      <c r="P230" s="2">
        <f ca="1">IFERROR(__xludf.DUMMYFUNCTION("""COMPUTED_VALUE"""),0)</f>
        <v>0</v>
      </c>
      <c r="Q230" s="2">
        <f ca="1">IFERROR(__xludf.DUMMYFUNCTION("""COMPUTED_VALUE"""),0)</f>
        <v>0</v>
      </c>
      <c r="R230" s="2">
        <f ca="1">IFERROR(__xludf.DUMMYFUNCTION("""COMPUTED_VALUE"""),0)</f>
        <v>0</v>
      </c>
      <c r="S230" s="2">
        <f ca="1">IFERROR(__xludf.DUMMYFUNCTION("""COMPUTED_VALUE"""),0)</f>
        <v>0</v>
      </c>
      <c r="T230" s="2">
        <f ca="1">IFERROR(__xludf.DUMMYFUNCTION("""COMPUTED_VALUE"""),0)</f>
        <v>0</v>
      </c>
      <c r="U230" s="2">
        <f ca="1">IFERROR(__xludf.DUMMYFUNCTION("""COMPUTED_VALUE"""),0)</f>
        <v>0</v>
      </c>
      <c r="V230" s="2">
        <f ca="1">IFERROR(__xludf.DUMMYFUNCTION("""COMPUTED_VALUE"""),0)</f>
        <v>0</v>
      </c>
      <c r="W230" s="2">
        <f ca="1">IFERROR(__xludf.DUMMYFUNCTION("""COMPUTED_VALUE"""),0)</f>
        <v>0</v>
      </c>
      <c r="X230" s="2">
        <f ca="1">IFERROR(__xludf.DUMMYFUNCTION("""COMPUTED_VALUE"""),0)</f>
        <v>0</v>
      </c>
      <c r="Y230" s="2">
        <f ca="1">IFERROR(__xludf.DUMMYFUNCTION("""COMPUTED_VALUE"""),0)</f>
        <v>0</v>
      </c>
      <c r="AB230" s="2"/>
      <c r="AC230" s="2"/>
      <c r="AD230" s="2" t="str">
        <f ca="1">IFERROR(__xludf.DUMMYFUNCTION("""COMPUTED_VALUE"""),"X")</f>
        <v>X</v>
      </c>
      <c r="AE230" s="2" t="str">
        <f ca="1">IFERROR(__xludf.DUMMYFUNCTION("""COMPUTED_VALUE"""),"X")</f>
        <v>X</v>
      </c>
      <c r="AF230" s="2"/>
      <c r="AG230" s="2"/>
      <c r="AH230" s="2"/>
      <c r="AI230" s="2"/>
      <c r="AJ230" s="2"/>
      <c r="AK230" s="2"/>
      <c r="AL230" s="2"/>
      <c r="AM230" s="2">
        <f ca="1">IFERROR(__xludf.DUMMYFUNCTION("""COMPUTED_VALUE"""),0)</f>
        <v>0</v>
      </c>
      <c r="AN230" s="2">
        <f ca="1">IFERROR(__xludf.DUMMYFUNCTION("""COMPUTED_VALUE"""),0)</f>
        <v>0</v>
      </c>
      <c r="AO230" s="2">
        <f ca="1">IFERROR(__xludf.DUMMYFUNCTION("""COMPUTED_VALUE"""),2.59)</f>
        <v>2.59</v>
      </c>
      <c r="AP230" s="2">
        <f ca="1">IFERROR(__xludf.DUMMYFUNCTION("""COMPUTED_VALUE"""),0.29)</f>
        <v>0.28999999999999998</v>
      </c>
      <c r="AQ230" s="2">
        <f ca="1">IFERROR(__xludf.DUMMYFUNCTION("""COMPUTED_VALUE"""),0)</f>
        <v>0</v>
      </c>
      <c r="AR230" s="2">
        <f ca="1">IFERROR(__xludf.DUMMYFUNCTION("""COMPUTED_VALUE"""),0)</f>
        <v>0</v>
      </c>
      <c r="AS230" s="2">
        <f ca="1">IFERROR(__xludf.DUMMYFUNCTION("""COMPUTED_VALUE"""),0)</f>
        <v>0</v>
      </c>
      <c r="AT230" s="2">
        <f ca="1">IFERROR(__xludf.DUMMYFUNCTION("""COMPUTED_VALUE"""),0)</f>
        <v>0</v>
      </c>
      <c r="AU230" s="2">
        <f ca="1">IFERROR(__xludf.DUMMYFUNCTION("""COMPUTED_VALUE"""),0)</f>
        <v>0</v>
      </c>
      <c r="AV230" s="2">
        <f ca="1">IFERROR(__xludf.DUMMYFUNCTION("""COMPUTED_VALUE"""),0)</f>
        <v>0</v>
      </c>
      <c r="AW230" s="2">
        <f ca="1">IFERROR(__xludf.DUMMYFUNCTION("""COMPUTED_VALUE"""),0)</f>
        <v>0</v>
      </c>
      <c r="AY230" s="2">
        <f t="shared" ca="1" si="0"/>
        <v>2</v>
      </c>
      <c r="AZ230" s="2" t="e">
        <f ca="1">IF(NOT(COUNTA(D230:J230)), _xludf.IFS(AL230="W", 'Round Bonuses'!$F$14, AL230="X", 'Round Bonuses'!$F$13, AK230="X", 'Round Bonuses'!$F$12, AJ230="X", 'Round Bonuses'!$F$11, AI230="X", 'Round Bonuses'!$F$10, AH230="X", 'Round Bonuses'!$F$9, AG230="X", 'Round Bonuses'!$F$8, AF230="X", 'Round Bonuses'!$F$7, AE230="X", 'Round Bonuses'!$F$6, AD230="X", 'Round Bonuses'!$F$5, AC230="X", 'Round Bonuses'!$F$4, AB230="X", 'Round Bonuses'!$F$3, TRUE, 0), IF(AA230="X", _xludf.IFS(AD230="X", 'Round Bonuses'!$E$4, AF230="X",'Round Bonuses'!$E$6,TRUE, 'Round Bonuses'!$E$7), 0) +IF(AB230="X", 'Round Bonuses'!$E$3, 0)+IF(AC230="X",'Round Bonuses'!$E$4, 0)+IF(AD230="X", 'Round Bonuses'!$E$5, 0)+IF(AE230="X", 'Round Bonuses'!$E$6, 0)+IF(AF230="X", 'Round Bonuses'!$E$7, 0)+IF(AG230="X", 'Round Bonuses'!$E$8, 0)+_xludf.IFS(AL230="W", 'Round Bonuses'!$G$14, AL230="X", 'Round Bonuses'!$G$13, AK230="X", 'Round Bonuses'!$G$12, AJ230="X", 'Round Bonuses'!$G$11, AI230="X", 'Round Bonuses'!$G$10, AH230="X", 'Round Bonuses'!$G$9, TRUE, 0))+_xludf.IFS(N230="W", 'Round Bonuses'!$C$13, N230="X", 'Round Bonuses'!$C$12, M230="X", 'Round Bonuses'!$C$11, L230="X", 'Round Bonuses'!$C$10, K230="X", 'Round Bonuses'!$C$9, J230="X", 'Round Bonuses'!$C$8, I230="X", 'Round Bonuses'!$C$7, H230="X", 'Round Bonuses'!$C$6, G230="X", 'Round Bonuses'!$C$5, F230="X", 'Round Bonuses'!$C$4, E230="X", 'Round Bonuses'!$C$3, D230="X", 'Round Bonuses'!$C$3, TRUE, 0)</f>
        <v>#NAME?</v>
      </c>
      <c r="BA230" s="2">
        <f t="shared" ca="1" si="1"/>
        <v>2.88</v>
      </c>
      <c r="BB230" s="10" t="e">
        <f t="shared" ca="1" si="2"/>
        <v>#NAME?</v>
      </c>
      <c r="BD230" s="11" t="str">
        <f t="shared" ca="1" si="3"/>
        <v>Willem II</v>
      </c>
      <c r="BE230" s="2" t="str">
        <f t="shared" ca="1" si="4"/>
        <v>Netherlands</v>
      </c>
      <c r="BF230" s="2" t="e">
        <f t="shared" ca="1" si="5"/>
        <v>#NAME?</v>
      </c>
      <c r="BG230" s="2">
        <f t="shared" ca="1" si="6"/>
        <v>2</v>
      </c>
      <c r="BH230" s="2" t="s">
        <v>299</v>
      </c>
      <c r="BI230" s="2" t="s">
        <v>225</v>
      </c>
      <c r="BJ230" s="7">
        <v>0.52</v>
      </c>
      <c r="BK230" s="2">
        <v>1</v>
      </c>
      <c r="BL230" s="2">
        <f t="shared" si="10"/>
        <v>228</v>
      </c>
      <c r="BM230" s="2" t="str">
        <f t="shared" si="7"/>
        <v>Union Titus Pétange</v>
      </c>
      <c r="BN230" s="7">
        <f t="shared" ref="BN230:BO230" si="237">BJ230</f>
        <v>0.52</v>
      </c>
      <c r="BO230" s="2">
        <f t="shared" si="237"/>
        <v>1</v>
      </c>
      <c r="BS230" s="2" t="str">
        <f t="shared" si="9"/>
        <v>Luxembourg</v>
      </c>
    </row>
    <row r="231" spans="1:71" ht="13.8" x14ac:dyDescent="0.45">
      <c r="A231" s="2" t="str">
        <f ca="1">IFERROR(__xludf.DUMMYFUNCTION("""COMPUTED_VALUE"""),"Wolfsberger AC")</f>
        <v>Wolfsberger AC</v>
      </c>
      <c r="B231" s="2">
        <f ca="1">IFERROR(__xludf.DUMMYFUNCTION("""COMPUTED_VALUE"""),0.86)</f>
        <v>0.86</v>
      </c>
      <c r="C231" s="2" t="str">
        <f ca="1">IFERROR(__xludf.DUMMYFUNCTION("""COMPUTED_VALUE"""),"Austria")</f>
        <v>Austria</v>
      </c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5">
        <f ca="1">IFERROR(__xludf.DUMMYFUNCTION("""COMPUTED_VALUE"""),0)</f>
        <v>0</v>
      </c>
      <c r="P231" s="2">
        <f ca="1">IFERROR(__xludf.DUMMYFUNCTION("""COMPUTED_VALUE"""),0)</f>
        <v>0</v>
      </c>
      <c r="Q231" s="2">
        <f ca="1">IFERROR(__xludf.DUMMYFUNCTION("""COMPUTED_VALUE"""),0)</f>
        <v>0</v>
      </c>
      <c r="R231" s="2">
        <f ca="1">IFERROR(__xludf.DUMMYFUNCTION("""COMPUTED_VALUE"""),0)</f>
        <v>0</v>
      </c>
      <c r="S231" s="2">
        <f ca="1">IFERROR(__xludf.DUMMYFUNCTION("""COMPUTED_VALUE"""),0)</f>
        <v>0</v>
      </c>
      <c r="T231" s="2">
        <f ca="1">IFERROR(__xludf.DUMMYFUNCTION("""COMPUTED_VALUE"""),0)</f>
        <v>0</v>
      </c>
      <c r="U231" s="2">
        <f ca="1">IFERROR(__xludf.DUMMYFUNCTION("""COMPUTED_VALUE"""),0)</f>
        <v>0</v>
      </c>
      <c r="V231" s="2">
        <f ca="1">IFERROR(__xludf.DUMMYFUNCTION("""COMPUTED_VALUE"""),0)</f>
        <v>0</v>
      </c>
      <c r="W231" s="2">
        <f ca="1">IFERROR(__xludf.DUMMYFUNCTION("""COMPUTED_VALUE"""),0)</f>
        <v>0</v>
      </c>
      <c r="X231" s="2">
        <f ca="1">IFERROR(__xludf.DUMMYFUNCTION("""COMPUTED_VALUE"""),0)</f>
        <v>0</v>
      </c>
      <c r="Y231" s="2">
        <f ca="1">IFERROR(__xludf.DUMMYFUNCTION("""COMPUTED_VALUE"""),0)</f>
        <v>0</v>
      </c>
      <c r="AB231" s="2"/>
      <c r="AC231" s="2"/>
      <c r="AD231" s="2"/>
      <c r="AE231" s="2"/>
      <c r="AF231" s="2"/>
      <c r="AG231" s="2" t="str">
        <f ca="1">IFERROR(__xludf.DUMMYFUNCTION("""COMPUTED_VALUE"""),"X")</f>
        <v>X</v>
      </c>
      <c r="AH231" s="2" t="str">
        <f ca="1">IFERROR(__xludf.DUMMYFUNCTION("""COMPUTED_VALUE"""),"X")</f>
        <v>X</v>
      </c>
      <c r="AI231" s="2"/>
      <c r="AJ231" s="2"/>
      <c r="AK231" s="2"/>
      <c r="AL231" s="2"/>
      <c r="AM231" s="2">
        <f ca="1">IFERROR(__xludf.DUMMYFUNCTION("""COMPUTED_VALUE"""),0)</f>
        <v>0</v>
      </c>
      <c r="AN231" s="2">
        <f ca="1">IFERROR(__xludf.DUMMYFUNCTION("""COMPUTED_VALUE"""),0)</f>
        <v>0</v>
      </c>
      <c r="AO231" s="2">
        <f ca="1">IFERROR(__xludf.DUMMYFUNCTION("""COMPUTED_VALUE"""),0)</f>
        <v>0</v>
      </c>
      <c r="AP231" s="2">
        <f ca="1">IFERROR(__xludf.DUMMYFUNCTION("""COMPUTED_VALUE"""),0)</f>
        <v>0</v>
      </c>
      <c r="AQ231" s="2">
        <f ca="1">IFERROR(__xludf.DUMMYFUNCTION("""COMPUTED_VALUE"""),0)</f>
        <v>0</v>
      </c>
      <c r="AR231" s="2">
        <f ca="1">IFERROR(__xludf.DUMMYFUNCTION("""COMPUTED_VALUE"""),14.16875)</f>
        <v>14.168749999999999</v>
      </c>
      <c r="AS231" s="2">
        <f ca="1">IFERROR(__xludf.DUMMYFUNCTION("""COMPUTED_VALUE"""),0.984999999999999)</f>
        <v>0.98499999999999899</v>
      </c>
      <c r="AT231" s="2">
        <f ca="1">IFERROR(__xludf.DUMMYFUNCTION("""COMPUTED_VALUE"""),0)</f>
        <v>0</v>
      </c>
      <c r="AU231" s="2">
        <f ca="1">IFERROR(__xludf.DUMMYFUNCTION("""COMPUTED_VALUE"""),0)</f>
        <v>0</v>
      </c>
      <c r="AV231" s="2">
        <f ca="1">IFERROR(__xludf.DUMMYFUNCTION("""COMPUTED_VALUE"""),0)</f>
        <v>0</v>
      </c>
      <c r="AW231" s="2">
        <f ca="1">IFERROR(__xludf.DUMMYFUNCTION("""COMPUTED_VALUE"""),0)</f>
        <v>0</v>
      </c>
      <c r="AY231" s="2">
        <f t="shared" ca="1" si="0"/>
        <v>8</v>
      </c>
      <c r="AZ231" s="2" t="e">
        <f ca="1">IF(NOT(COUNTA(D231:J231)), _xludf.IFS(AL231="W", 'Round Bonuses'!$F$14, AL231="X", 'Round Bonuses'!$F$13, AK231="X", 'Round Bonuses'!$F$12, AJ231="X", 'Round Bonuses'!$F$11, AI231="X", 'Round Bonuses'!$F$10, AH231="X", 'Round Bonuses'!$F$9, AG231="X", 'Round Bonuses'!$F$8, AF231="X", 'Round Bonuses'!$F$7, AE231="X", 'Round Bonuses'!$F$6, AD231="X", 'Round Bonuses'!$F$5, AC231="X", 'Round Bonuses'!$F$4, AB231="X", 'Round Bonuses'!$F$3, TRUE, 0), IF(AA231="X", _xludf.IFS(AD231="X", 'Round Bonuses'!$E$4, AF231="X",'Round Bonuses'!$E$6,TRUE, 'Round Bonuses'!$E$7), 0) +IF(AB231="X", 'Round Bonuses'!$E$3, 0)+IF(AC231="X",'Round Bonuses'!$E$4, 0)+IF(AD231="X", 'Round Bonuses'!$E$5, 0)+IF(AE231="X", 'Round Bonuses'!$E$6, 0)+IF(AF231="X", 'Round Bonuses'!$E$7, 0)+IF(AG231="X", 'Round Bonuses'!$E$8, 0)+_xludf.IFS(AL231="W", 'Round Bonuses'!$G$14, AL231="X", 'Round Bonuses'!$G$13, AK231="X", 'Round Bonuses'!$G$12, AJ231="X", 'Round Bonuses'!$G$11, AI231="X", 'Round Bonuses'!$G$10, AH231="X", 'Round Bonuses'!$G$9, TRUE, 0))+_xludf.IFS(N231="W", 'Round Bonuses'!$C$13, N231="X", 'Round Bonuses'!$C$12, M231="X", 'Round Bonuses'!$C$11, L231="X", 'Round Bonuses'!$C$10, K231="X", 'Round Bonuses'!$C$9, J231="X", 'Round Bonuses'!$C$8, I231="X", 'Round Bonuses'!$C$7, H231="X", 'Round Bonuses'!$C$6, G231="X", 'Round Bonuses'!$C$5, F231="X", 'Round Bonuses'!$C$4, E231="X", 'Round Bonuses'!$C$3, D231="X", 'Round Bonuses'!$C$3, TRUE, 0)</f>
        <v>#NAME?</v>
      </c>
      <c r="BA231" s="2">
        <f t="shared" ca="1" si="1"/>
        <v>15.153749999999999</v>
      </c>
      <c r="BB231" s="10" t="e">
        <f t="shared" ca="1" si="2"/>
        <v>#NAME?</v>
      </c>
      <c r="BD231" s="11" t="str">
        <f t="shared" ca="1" si="3"/>
        <v>Wolfsberger AC</v>
      </c>
      <c r="BE231" s="2" t="str">
        <f t="shared" ca="1" si="4"/>
        <v>Austria</v>
      </c>
      <c r="BF231" s="2" t="e">
        <f t="shared" ca="1" si="5"/>
        <v>#NAME?</v>
      </c>
      <c r="BG231" s="2">
        <f t="shared" ca="1" si="6"/>
        <v>8</v>
      </c>
      <c r="BH231" s="2" t="s">
        <v>300</v>
      </c>
      <c r="BI231" s="2" t="s">
        <v>210</v>
      </c>
      <c r="BJ231" s="7">
        <v>0.51500000000000001</v>
      </c>
      <c r="BK231" s="2">
        <v>1</v>
      </c>
      <c r="BL231" s="2">
        <f t="shared" si="10"/>
        <v>229</v>
      </c>
      <c r="BM231" s="2" t="str">
        <f t="shared" si="7"/>
        <v>St Joseph's</v>
      </c>
      <c r="BN231" s="7">
        <f t="shared" ref="BN231:BO231" si="238">BJ231</f>
        <v>0.51500000000000001</v>
      </c>
      <c r="BO231" s="2">
        <f t="shared" si="238"/>
        <v>1</v>
      </c>
      <c r="BS231" s="2" t="str">
        <f t="shared" si="9"/>
        <v>Gibraltar</v>
      </c>
    </row>
    <row r="232" spans="1:71" ht="13.8" x14ac:dyDescent="0.45">
      <c r="A232" s="2" t="str">
        <f ca="1">IFERROR(__xludf.DUMMYFUNCTION("""COMPUTED_VALUE"""),"Young Boys")</f>
        <v>Young Boys</v>
      </c>
      <c r="B232" s="2">
        <f ca="1">IFERROR(__xludf.DUMMYFUNCTION("""COMPUTED_VALUE"""),0.83)</f>
        <v>0.83</v>
      </c>
      <c r="C232" s="2" t="str">
        <f ca="1">IFERROR(__xludf.DUMMYFUNCTION("""COMPUTED_VALUE"""),"Switzerland")</f>
        <v>Switzerland</v>
      </c>
      <c r="D232" s="2"/>
      <c r="E232" s="2"/>
      <c r="F232" s="2"/>
      <c r="G232" s="2" t="str">
        <f ca="1">IFERROR(__xludf.DUMMYFUNCTION("""COMPUTED_VALUE"""),"X")</f>
        <v>X</v>
      </c>
      <c r="H232" s="2" t="str">
        <f ca="1">IFERROR(__xludf.DUMMYFUNCTION("""COMPUTED_VALUE"""),"X")</f>
        <v>X</v>
      </c>
      <c r="I232" s="2"/>
      <c r="J232" s="2"/>
      <c r="K232" s="2"/>
      <c r="L232" s="2"/>
      <c r="M232" s="2"/>
      <c r="N232" s="2"/>
      <c r="O232" s="5">
        <f ca="1">IFERROR(__xludf.DUMMYFUNCTION("""COMPUTED_VALUE"""),0)</f>
        <v>0</v>
      </c>
      <c r="P232" s="2">
        <f ca="1">IFERROR(__xludf.DUMMYFUNCTION("""COMPUTED_VALUE"""),0)</f>
        <v>0</v>
      </c>
      <c r="Q232" s="2">
        <f ca="1">IFERROR(__xludf.DUMMYFUNCTION("""COMPUTED_VALUE"""),0)</f>
        <v>0</v>
      </c>
      <c r="R232" s="2">
        <f ca="1">IFERROR(__xludf.DUMMYFUNCTION("""COMPUTED_VALUE"""),2.125)</f>
        <v>2.125</v>
      </c>
      <c r="S232" s="2">
        <f ca="1">IFERROR(__xludf.DUMMYFUNCTION("""COMPUTED_VALUE"""),0.464999999999999)</f>
        <v>0.46499999999999903</v>
      </c>
      <c r="T232" s="2">
        <f ca="1">IFERROR(__xludf.DUMMYFUNCTION("""COMPUTED_VALUE"""),0)</f>
        <v>0</v>
      </c>
      <c r="U232" s="2">
        <f ca="1">IFERROR(__xludf.DUMMYFUNCTION("""COMPUTED_VALUE"""),0)</f>
        <v>0</v>
      </c>
      <c r="V232" s="2">
        <f ca="1">IFERROR(__xludf.DUMMYFUNCTION("""COMPUTED_VALUE"""),0)</f>
        <v>0</v>
      </c>
      <c r="W232" s="2">
        <f ca="1">IFERROR(__xludf.DUMMYFUNCTION("""COMPUTED_VALUE"""),0)</f>
        <v>0</v>
      </c>
      <c r="X232" s="2">
        <f ca="1">IFERROR(__xludf.DUMMYFUNCTION("""COMPUTED_VALUE"""),0)</f>
        <v>0</v>
      </c>
      <c r="Y232" s="2">
        <f ca="1">IFERROR(__xludf.DUMMYFUNCTION("""COMPUTED_VALUE"""),0)</f>
        <v>0</v>
      </c>
      <c r="AB232" s="2"/>
      <c r="AC232" s="2"/>
      <c r="AD232" s="2"/>
      <c r="AE232" s="2"/>
      <c r="AF232" s="2" t="str">
        <f ca="1">IFERROR(__xludf.DUMMYFUNCTION("""COMPUTED_VALUE"""),"X")</f>
        <v>X</v>
      </c>
      <c r="AG232" s="2" t="str">
        <f ca="1">IFERROR(__xludf.DUMMYFUNCTION("""COMPUTED_VALUE"""),"X")</f>
        <v>X</v>
      </c>
      <c r="AH232" s="2" t="str">
        <f ca="1">IFERROR(__xludf.DUMMYFUNCTION("""COMPUTED_VALUE"""),"X")</f>
        <v>X</v>
      </c>
      <c r="AI232" s="2" t="str">
        <f ca="1">IFERROR(__xludf.DUMMYFUNCTION("""COMPUTED_VALUE"""),"X")</f>
        <v>X</v>
      </c>
      <c r="AJ232" s="2"/>
      <c r="AK232" s="2"/>
      <c r="AL232" s="2"/>
      <c r="AM232" s="2">
        <f ca="1">IFERROR(__xludf.DUMMYFUNCTION("""COMPUTED_VALUE"""),0)</f>
        <v>0</v>
      </c>
      <c r="AN232" s="2">
        <f ca="1">IFERROR(__xludf.DUMMYFUNCTION("""COMPUTED_VALUE"""),0)</f>
        <v>0</v>
      </c>
      <c r="AO232" s="2">
        <f ca="1">IFERROR(__xludf.DUMMYFUNCTION("""COMPUTED_VALUE"""),0)</f>
        <v>0</v>
      </c>
      <c r="AP232" s="2">
        <f ca="1">IFERROR(__xludf.DUMMYFUNCTION("""COMPUTED_VALUE"""),0)</f>
        <v>0</v>
      </c>
      <c r="AQ232" s="2">
        <f ca="1">IFERROR(__xludf.DUMMYFUNCTION("""COMPUTED_VALUE"""),2.8)</f>
        <v>2.8</v>
      </c>
      <c r="AR232" s="2">
        <f ca="1">IFERROR(__xludf.DUMMYFUNCTION("""COMPUTED_VALUE"""),11.8687499999999)</f>
        <v>11.868749999999901</v>
      </c>
      <c r="AS232" s="2">
        <f ca="1">IFERROR(__xludf.DUMMYFUNCTION("""COMPUTED_VALUE"""),7.705)</f>
        <v>7.7050000000000001</v>
      </c>
      <c r="AT232" s="2">
        <f ca="1">IFERROR(__xludf.DUMMYFUNCTION("""COMPUTED_VALUE"""),1.155)</f>
        <v>1.155</v>
      </c>
      <c r="AU232" s="2">
        <f ca="1">IFERROR(__xludf.DUMMYFUNCTION("""COMPUTED_VALUE"""),0)</f>
        <v>0</v>
      </c>
      <c r="AV232" s="2">
        <f ca="1">IFERROR(__xludf.DUMMYFUNCTION("""COMPUTED_VALUE"""),0)</f>
        <v>0</v>
      </c>
      <c r="AW232" s="2">
        <f ca="1">IFERROR(__xludf.DUMMYFUNCTION("""COMPUTED_VALUE"""),0)</f>
        <v>0</v>
      </c>
      <c r="AY232" s="2">
        <f t="shared" ca="1" si="0"/>
        <v>13</v>
      </c>
      <c r="AZ232" s="2" t="e">
        <f ca="1">IF(NOT(COUNTA(D232:J232)), _xludf.IFS(AL232="W", 'Round Bonuses'!$F$14, AL232="X", 'Round Bonuses'!$F$13, AK232="X", 'Round Bonuses'!$F$12, AJ232="X", 'Round Bonuses'!$F$11, AI232="X", 'Round Bonuses'!$F$10, AH232="X", 'Round Bonuses'!$F$9, AG232="X", 'Round Bonuses'!$F$8, AF232="X", 'Round Bonuses'!$F$7, AE232="X", 'Round Bonuses'!$F$6, AD232="X", 'Round Bonuses'!$F$5, AC232="X", 'Round Bonuses'!$F$4, AB232="X", 'Round Bonuses'!$F$3, TRUE, 0), IF(AA232="X", _xludf.IFS(AD232="X", 'Round Bonuses'!$E$4, AF232="X",'Round Bonuses'!$E$6,TRUE, 'Round Bonuses'!$E$7), 0) +IF(AB232="X", 'Round Bonuses'!$E$3, 0)+IF(AC232="X",'Round Bonuses'!$E$4, 0)+IF(AD232="X", 'Round Bonuses'!$E$5, 0)+IF(AE232="X", 'Round Bonuses'!$E$6, 0)+IF(AF232="X", 'Round Bonuses'!$E$7, 0)+IF(AG232="X", 'Round Bonuses'!$E$8, 0)+_xludf.IFS(AL232="W", 'Round Bonuses'!$G$14, AL232="X", 'Round Bonuses'!$G$13, AK232="X", 'Round Bonuses'!$G$12, AJ232="X", 'Round Bonuses'!$G$11, AI232="X", 'Round Bonuses'!$G$10, AH232="X", 'Round Bonuses'!$G$9, TRUE, 0))+_xludf.IFS(N232="W", 'Round Bonuses'!$C$13, N232="X", 'Round Bonuses'!$C$12, M232="X", 'Round Bonuses'!$C$11, L232="X", 'Round Bonuses'!$C$10, K232="X", 'Round Bonuses'!$C$9, J232="X", 'Round Bonuses'!$C$8, I232="X", 'Round Bonuses'!$C$7, H232="X", 'Round Bonuses'!$C$6, G232="X", 'Round Bonuses'!$C$5, F232="X", 'Round Bonuses'!$C$4, E232="X", 'Round Bonuses'!$C$3, D232="X", 'Round Bonuses'!$C$3, TRUE, 0)</f>
        <v>#NAME?</v>
      </c>
      <c r="BA232" s="2">
        <f t="shared" ca="1" si="1"/>
        <v>26.118749999999903</v>
      </c>
      <c r="BB232" s="10" t="e">
        <f t="shared" ca="1" si="2"/>
        <v>#NAME?</v>
      </c>
      <c r="BD232" s="11" t="str">
        <f t="shared" ca="1" si="3"/>
        <v>Young Boys</v>
      </c>
      <c r="BE232" s="2" t="str">
        <f t="shared" ca="1" si="4"/>
        <v>Switzerland</v>
      </c>
      <c r="BF232" s="2" t="e">
        <f t="shared" ca="1" si="5"/>
        <v>#NAME?</v>
      </c>
      <c r="BG232" s="2">
        <f t="shared" ca="1" si="6"/>
        <v>13</v>
      </c>
      <c r="BH232" s="2" t="s">
        <v>301</v>
      </c>
      <c r="BI232" s="2" t="s">
        <v>135</v>
      </c>
      <c r="BJ232" s="7">
        <v>0.495</v>
      </c>
      <c r="BK232" s="2">
        <v>1</v>
      </c>
      <c r="BL232" s="2">
        <f t="shared" si="10"/>
        <v>230</v>
      </c>
      <c r="BM232" s="2" t="str">
        <f t="shared" si="7"/>
        <v>HB Tórshavn</v>
      </c>
      <c r="BN232" s="7">
        <f t="shared" ref="BN232:BO232" si="239">BJ232</f>
        <v>0.495</v>
      </c>
      <c r="BO232" s="2">
        <f t="shared" si="239"/>
        <v>1</v>
      </c>
      <c r="BS232" s="2" t="str">
        <f t="shared" si="9"/>
        <v>Faroe Islands</v>
      </c>
    </row>
    <row r="233" spans="1:71" ht="13.8" x14ac:dyDescent="0.45">
      <c r="A233" s="2" t="str">
        <f ca="1">IFERROR(__xludf.DUMMYFUNCTION("""COMPUTED_VALUE"""),"Žalgiris")</f>
        <v>Žalgiris</v>
      </c>
      <c r="B233" s="2">
        <f ca="1">IFERROR(__xludf.DUMMYFUNCTION("""COMPUTED_VALUE"""),0.58)</f>
        <v>0.57999999999999996</v>
      </c>
      <c r="C233" s="2" t="str">
        <f ca="1">IFERROR(__xludf.DUMMYFUNCTION("""COMPUTED_VALUE"""),"Lithuania")</f>
        <v>Lithuania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5">
        <f ca="1">IFERROR(__xludf.DUMMYFUNCTION("""COMPUTED_VALUE"""),0)</f>
        <v>0</v>
      </c>
      <c r="P233" s="2">
        <f ca="1">IFERROR(__xludf.DUMMYFUNCTION("""COMPUTED_VALUE"""),0)</f>
        <v>0</v>
      </c>
      <c r="Q233" s="2">
        <f ca="1">IFERROR(__xludf.DUMMYFUNCTION("""COMPUTED_VALUE"""),0)</f>
        <v>0</v>
      </c>
      <c r="R233" s="2">
        <f ca="1">IFERROR(__xludf.DUMMYFUNCTION("""COMPUTED_VALUE"""),0)</f>
        <v>0</v>
      </c>
      <c r="S233" s="2">
        <f ca="1">IFERROR(__xludf.DUMMYFUNCTION("""COMPUTED_VALUE"""),0)</f>
        <v>0</v>
      </c>
      <c r="T233" s="2">
        <f ca="1">IFERROR(__xludf.DUMMYFUNCTION("""COMPUTED_VALUE"""),0)</f>
        <v>0</v>
      </c>
      <c r="U233" s="2">
        <f ca="1">IFERROR(__xludf.DUMMYFUNCTION("""COMPUTED_VALUE"""),0)</f>
        <v>0</v>
      </c>
      <c r="V233" s="2">
        <f ca="1">IFERROR(__xludf.DUMMYFUNCTION("""COMPUTED_VALUE"""),0)</f>
        <v>0</v>
      </c>
      <c r="W233" s="2">
        <f ca="1">IFERROR(__xludf.DUMMYFUNCTION("""COMPUTED_VALUE"""),0)</f>
        <v>0</v>
      </c>
      <c r="X233" s="2">
        <f ca="1">IFERROR(__xludf.DUMMYFUNCTION("""COMPUTED_VALUE"""),0)</f>
        <v>0</v>
      </c>
      <c r="Y233" s="2">
        <f ca="1">IFERROR(__xludf.DUMMYFUNCTION("""COMPUTED_VALUE"""),0)</f>
        <v>0</v>
      </c>
      <c r="AB233" s="2"/>
      <c r="AC233" s="2" t="str">
        <f ca="1">IFERROR(__xludf.DUMMYFUNCTION("""COMPUTED_VALUE"""),"X")</f>
        <v>X</v>
      </c>
      <c r="AD233" s="2" t="str">
        <f ca="1">IFERROR(__xludf.DUMMYFUNCTION("""COMPUTED_VALUE"""),"X")</f>
        <v>X</v>
      </c>
      <c r="AE233" s="2"/>
      <c r="AF233" s="2"/>
      <c r="AG233" s="2"/>
      <c r="AH233" s="2"/>
      <c r="AI233" s="2"/>
      <c r="AJ233" s="2"/>
      <c r="AK233" s="2"/>
      <c r="AL233" s="2"/>
      <c r="AM233" s="2">
        <f ca="1">IFERROR(__xludf.DUMMYFUNCTION("""COMPUTED_VALUE"""),0)</f>
        <v>0</v>
      </c>
      <c r="AN233" s="2">
        <f ca="1">IFERROR(__xludf.DUMMYFUNCTION("""COMPUTED_VALUE"""),2.1675)</f>
        <v>2.1675</v>
      </c>
      <c r="AO233" s="2">
        <f ca="1">IFERROR(__xludf.DUMMYFUNCTION("""COMPUTED_VALUE"""),0.51)</f>
        <v>0.51</v>
      </c>
      <c r="AP233" s="2">
        <f ca="1">IFERROR(__xludf.DUMMYFUNCTION("""COMPUTED_VALUE"""),0)</f>
        <v>0</v>
      </c>
      <c r="AQ233" s="2">
        <f ca="1">IFERROR(__xludf.DUMMYFUNCTION("""COMPUTED_VALUE"""),0)</f>
        <v>0</v>
      </c>
      <c r="AR233" s="2">
        <f ca="1">IFERROR(__xludf.DUMMYFUNCTION("""COMPUTED_VALUE"""),0)</f>
        <v>0</v>
      </c>
      <c r="AS233" s="2">
        <f ca="1">IFERROR(__xludf.DUMMYFUNCTION("""COMPUTED_VALUE"""),0)</f>
        <v>0</v>
      </c>
      <c r="AT233" s="2">
        <f ca="1">IFERROR(__xludf.DUMMYFUNCTION("""COMPUTED_VALUE"""),0)</f>
        <v>0</v>
      </c>
      <c r="AU233" s="2">
        <f ca="1">IFERROR(__xludf.DUMMYFUNCTION("""COMPUTED_VALUE"""),0)</f>
        <v>0</v>
      </c>
      <c r="AV233" s="2">
        <f ca="1">IFERROR(__xludf.DUMMYFUNCTION("""COMPUTED_VALUE"""),0)</f>
        <v>0</v>
      </c>
      <c r="AW233" s="2">
        <f ca="1">IFERROR(__xludf.DUMMYFUNCTION("""COMPUTED_VALUE"""),0)</f>
        <v>0</v>
      </c>
      <c r="AY233" s="2">
        <f t="shared" ca="1" si="0"/>
        <v>2</v>
      </c>
      <c r="AZ233" s="2" t="e">
        <f ca="1">IF(NOT(COUNTA(D233:J233)), _xludf.IFS(AL233="W", 'Round Bonuses'!$F$14, AL233="X", 'Round Bonuses'!$F$13, AK233="X", 'Round Bonuses'!$F$12, AJ233="X", 'Round Bonuses'!$F$11, AI233="X", 'Round Bonuses'!$F$10, AH233="X", 'Round Bonuses'!$F$9, AG233="X", 'Round Bonuses'!$F$8, AF233="X", 'Round Bonuses'!$F$7, AE233="X", 'Round Bonuses'!$F$6, AD233="X", 'Round Bonuses'!$F$5, AC233="X", 'Round Bonuses'!$F$4, AB233="X", 'Round Bonuses'!$F$3, TRUE, 0), IF(AA233="X", _xludf.IFS(AD233="X", 'Round Bonuses'!$E$4, AF233="X",'Round Bonuses'!$E$6,TRUE, 'Round Bonuses'!$E$7), 0) +IF(AB233="X", 'Round Bonuses'!$E$3, 0)+IF(AC233="X",'Round Bonuses'!$E$4, 0)+IF(AD233="X", 'Round Bonuses'!$E$5, 0)+IF(AE233="X", 'Round Bonuses'!$E$6, 0)+IF(AF233="X", 'Round Bonuses'!$E$7, 0)+IF(AG233="X", 'Round Bonuses'!$E$8, 0)+_xludf.IFS(AL233="W", 'Round Bonuses'!$G$14, AL233="X", 'Round Bonuses'!$G$13, AK233="X", 'Round Bonuses'!$G$12, AJ233="X", 'Round Bonuses'!$G$11, AI233="X", 'Round Bonuses'!$G$10, AH233="X", 'Round Bonuses'!$G$9, TRUE, 0))+_xludf.IFS(N233="W", 'Round Bonuses'!$C$13, N233="X", 'Round Bonuses'!$C$12, M233="X", 'Round Bonuses'!$C$11, L233="X", 'Round Bonuses'!$C$10, K233="X", 'Round Bonuses'!$C$9, J233="X", 'Round Bonuses'!$C$8, I233="X", 'Round Bonuses'!$C$7, H233="X", 'Round Bonuses'!$C$6, G233="X", 'Round Bonuses'!$C$5, F233="X", 'Round Bonuses'!$C$4, E233="X", 'Round Bonuses'!$C$3, D233="X", 'Round Bonuses'!$C$3, TRUE, 0)</f>
        <v>#NAME?</v>
      </c>
      <c r="BA233" s="2">
        <f t="shared" ca="1" si="1"/>
        <v>2.6775000000000002</v>
      </c>
      <c r="BB233" s="10" t="e">
        <f t="shared" ca="1" si="2"/>
        <v>#NAME?</v>
      </c>
      <c r="BD233" s="11" t="str">
        <f t="shared" ca="1" si="3"/>
        <v>Žalgiris</v>
      </c>
      <c r="BE233" s="2" t="str">
        <f t="shared" ca="1" si="4"/>
        <v>Lithuania</v>
      </c>
      <c r="BF233" s="2" t="e">
        <f t="shared" ca="1" si="5"/>
        <v>#NAME?</v>
      </c>
      <c r="BG233" s="2">
        <f t="shared" ca="1" si="6"/>
        <v>2</v>
      </c>
      <c r="BH233" s="2" t="s">
        <v>302</v>
      </c>
      <c r="BI233" s="2" t="s">
        <v>253</v>
      </c>
      <c r="BJ233" s="7">
        <v>0.495</v>
      </c>
      <c r="BK233" s="2">
        <v>1</v>
      </c>
      <c r="BL233" s="2">
        <f t="shared" si="10"/>
        <v>231</v>
      </c>
      <c r="BM233" s="2" t="str">
        <f t="shared" si="7"/>
        <v>La Fiorita</v>
      </c>
      <c r="BN233" s="7">
        <f t="shared" ref="BN233:BO233" si="240">BJ233</f>
        <v>0.495</v>
      </c>
      <c r="BO233" s="2">
        <f t="shared" si="240"/>
        <v>1</v>
      </c>
      <c r="BS233" s="2" t="str">
        <f t="shared" si="9"/>
        <v>San Marino</v>
      </c>
    </row>
    <row r="234" spans="1:71" ht="13.8" x14ac:dyDescent="0.45">
      <c r="A234" s="2" t="str">
        <f ca="1">IFERROR(__xludf.DUMMYFUNCTION("""COMPUTED_VALUE"""),"Željezničar")</f>
        <v>Željezničar</v>
      </c>
      <c r="B234" s="2">
        <f ca="1">IFERROR(__xludf.DUMMYFUNCTION("""COMPUTED_VALUE"""),0.59)</f>
        <v>0.59</v>
      </c>
      <c r="C234" s="2" t="str">
        <f ca="1">IFERROR(__xludf.DUMMYFUNCTION("""COMPUTED_VALUE"""),"Bosnia and Herzegovina")</f>
        <v>Bosnia and Herzegovina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5">
        <f ca="1">IFERROR(__xludf.DUMMYFUNCTION("""COMPUTED_VALUE"""),0)</f>
        <v>0</v>
      </c>
      <c r="P234" s="2">
        <f ca="1">IFERROR(__xludf.DUMMYFUNCTION("""COMPUTED_VALUE"""),0)</f>
        <v>0</v>
      </c>
      <c r="Q234" s="2">
        <f ca="1">IFERROR(__xludf.DUMMYFUNCTION("""COMPUTED_VALUE"""),0)</f>
        <v>0</v>
      </c>
      <c r="R234" s="2">
        <f ca="1">IFERROR(__xludf.DUMMYFUNCTION("""COMPUTED_VALUE"""),0)</f>
        <v>0</v>
      </c>
      <c r="S234" s="2">
        <f ca="1">IFERROR(__xludf.DUMMYFUNCTION("""COMPUTED_VALUE"""),0)</f>
        <v>0</v>
      </c>
      <c r="T234" s="2">
        <f ca="1">IFERROR(__xludf.DUMMYFUNCTION("""COMPUTED_VALUE"""),0)</f>
        <v>0</v>
      </c>
      <c r="U234" s="2">
        <f ca="1">IFERROR(__xludf.DUMMYFUNCTION("""COMPUTED_VALUE"""),0)</f>
        <v>0</v>
      </c>
      <c r="V234" s="2">
        <f ca="1">IFERROR(__xludf.DUMMYFUNCTION("""COMPUTED_VALUE"""),0)</f>
        <v>0</v>
      </c>
      <c r="W234" s="2">
        <f ca="1">IFERROR(__xludf.DUMMYFUNCTION("""COMPUTED_VALUE"""),0)</f>
        <v>0</v>
      </c>
      <c r="X234" s="2">
        <f ca="1">IFERROR(__xludf.DUMMYFUNCTION("""COMPUTED_VALUE"""),0)</f>
        <v>0</v>
      </c>
      <c r="Y234" s="2">
        <f ca="1">IFERROR(__xludf.DUMMYFUNCTION("""COMPUTED_VALUE"""),0)</f>
        <v>0</v>
      </c>
      <c r="AB234" s="2"/>
      <c r="AC234" s="2" t="str">
        <f ca="1">IFERROR(__xludf.DUMMYFUNCTION("""COMPUTED_VALUE"""),"X")</f>
        <v>X</v>
      </c>
      <c r="AD234" s="2"/>
      <c r="AE234" s="2"/>
      <c r="AF234" s="2"/>
      <c r="AG234" s="2"/>
      <c r="AH234" s="2"/>
      <c r="AI234" s="2"/>
      <c r="AJ234" s="2"/>
      <c r="AK234" s="2"/>
      <c r="AL234" s="2"/>
      <c r="AM234" s="2">
        <f ca="1">IFERROR(__xludf.DUMMYFUNCTION("""COMPUTED_VALUE"""),0)</f>
        <v>0</v>
      </c>
      <c r="AN234" s="2">
        <f ca="1">IFERROR(__xludf.DUMMYFUNCTION("""COMPUTED_VALUE"""),0.47)</f>
        <v>0.47</v>
      </c>
      <c r="AO234" s="2">
        <f ca="1">IFERROR(__xludf.DUMMYFUNCTION("""COMPUTED_VALUE"""),0)</f>
        <v>0</v>
      </c>
      <c r="AP234" s="2">
        <f ca="1">IFERROR(__xludf.DUMMYFUNCTION("""COMPUTED_VALUE"""),0)</f>
        <v>0</v>
      </c>
      <c r="AQ234" s="2">
        <f ca="1">IFERROR(__xludf.DUMMYFUNCTION("""COMPUTED_VALUE"""),0)</f>
        <v>0</v>
      </c>
      <c r="AR234" s="2">
        <f ca="1">IFERROR(__xludf.DUMMYFUNCTION("""COMPUTED_VALUE"""),0)</f>
        <v>0</v>
      </c>
      <c r="AS234" s="2">
        <f ca="1">IFERROR(__xludf.DUMMYFUNCTION("""COMPUTED_VALUE"""),0)</f>
        <v>0</v>
      </c>
      <c r="AT234" s="2">
        <f ca="1">IFERROR(__xludf.DUMMYFUNCTION("""COMPUTED_VALUE"""),0)</f>
        <v>0</v>
      </c>
      <c r="AU234" s="2">
        <f ca="1">IFERROR(__xludf.DUMMYFUNCTION("""COMPUTED_VALUE"""),0)</f>
        <v>0</v>
      </c>
      <c r="AV234" s="2">
        <f ca="1">IFERROR(__xludf.DUMMYFUNCTION("""COMPUTED_VALUE"""),0)</f>
        <v>0</v>
      </c>
      <c r="AW234" s="2">
        <f ca="1">IFERROR(__xludf.DUMMYFUNCTION("""COMPUTED_VALUE"""),0)</f>
        <v>0</v>
      </c>
      <c r="AY234" s="2">
        <f t="shared" ca="1" si="0"/>
        <v>1</v>
      </c>
      <c r="AZ234" s="2" t="e">
        <f ca="1">IF(NOT(COUNTA(D234:J234)), _xludf.IFS(AL234="W", 'Round Bonuses'!$F$14, AL234="X", 'Round Bonuses'!$F$13, AK234="X", 'Round Bonuses'!$F$12, AJ234="X", 'Round Bonuses'!$F$11, AI234="X", 'Round Bonuses'!$F$10, AH234="X", 'Round Bonuses'!$F$9, AG234="X", 'Round Bonuses'!$F$8, AF234="X", 'Round Bonuses'!$F$7, AE234="X", 'Round Bonuses'!$F$6, AD234="X", 'Round Bonuses'!$F$5, AC234="X", 'Round Bonuses'!$F$4, AB234="X", 'Round Bonuses'!$F$3, TRUE, 0), IF(AA234="X", _xludf.IFS(AD234="X", 'Round Bonuses'!$E$4, AF234="X",'Round Bonuses'!$E$6,TRUE, 'Round Bonuses'!$E$7), 0) +IF(AB234="X", 'Round Bonuses'!$E$3, 0)+IF(AC234="X",'Round Bonuses'!$E$4, 0)+IF(AD234="X", 'Round Bonuses'!$E$5, 0)+IF(AE234="X", 'Round Bonuses'!$E$6, 0)+IF(AF234="X", 'Round Bonuses'!$E$7, 0)+IF(AG234="X", 'Round Bonuses'!$E$8, 0)+_xludf.IFS(AL234="W", 'Round Bonuses'!$G$14, AL234="X", 'Round Bonuses'!$G$13, AK234="X", 'Round Bonuses'!$G$12, AJ234="X", 'Round Bonuses'!$G$11, AI234="X", 'Round Bonuses'!$G$10, AH234="X", 'Round Bonuses'!$G$9, TRUE, 0))+_xludf.IFS(N234="W", 'Round Bonuses'!$C$13, N234="X", 'Round Bonuses'!$C$12, M234="X", 'Round Bonuses'!$C$11, L234="X", 'Round Bonuses'!$C$10, K234="X", 'Round Bonuses'!$C$9, J234="X", 'Round Bonuses'!$C$8, I234="X", 'Round Bonuses'!$C$7, H234="X", 'Round Bonuses'!$C$6, G234="X", 'Round Bonuses'!$C$5, F234="X", 'Round Bonuses'!$C$4, E234="X", 'Round Bonuses'!$C$3, D234="X", 'Round Bonuses'!$C$3, TRUE, 0)</f>
        <v>#NAME?</v>
      </c>
      <c r="BA234" s="2">
        <f t="shared" ca="1" si="1"/>
        <v>0.47</v>
      </c>
      <c r="BB234" s="10" t="e">
        <f t="shared" ca="1" si="2"/>
        <v>#NAME?</v>
      </c>
      <c r="BD234" s="11" t="str">
        <f t="shared" ca="1" si="3"/>
        <v>Željezničar</v>
      </c>
      <c r="BE234" s="2" t="str">
        <f t="shared" ca="1" si="4"/>
        <v>Bosnia and Herzegovina</v>
      </c>
      <c r="BF234" s="2" t="e">
        <f t="shared" ca="1" si="5"/>
        <v>#NAME?</v>
      </c>
      <c r="BG234" s="2">
        <f t="shared" ca="1" si="6"/>
        <v>1</v>
      </c>
      <c r="BH234" s="2" t="s">
        <v>303</v>
      </c>
      <c r="BI234" s="2" t="s">
        <v>150</v>
      </c>
      <c r="BJ234" s="7">
        <v>0.46999999999999992</v>
      </c>
      <c r="BK234" s="2">
        <v>1</v>
      </c>
      <c r="BL234" s="2">
        <f t="shared" si="10"/>
        <v>232</v>
      </c>
      <c r="BM234" s="2" t="str">
        <f t="shared" si="7"/>
        <v>Nõmme Kalju</v>
      </c>
      <c r="BN234" s="7">
        <f t="shared" ref="BN234:BO234" si="241">BJ234</f>
        <v>0.46999999999999992</v>
      </c>
      <c r="BO234" s="2">
        <f t="shared" si="241"/>
        <v>1</v>
      </c>
      <c r="BS234" s="2" t="str">
        <f t="shared" si="9"/>
        <v>Estonia</v>
      </c>
    </row>
    <row r="235" spans="1:71" ht="13.8" x14ac:dyDescent="0.45">
      <c r="A235" s="2" t="str">
        <f ca="1">IFERROR(__xludf.DUMMYFUNCTION("""COMPUTED_VALUE"""),"Zenit Saint Petersburg")</f>
        <v>Zenit Saint Petersburg</v>
      </c>
      <c r="B235" s="2">
        <f ca="1">IFERROR(__xludf.DUMMYFUNCTION("""COMPUTED_VALUE"""),0.94)</f>
        <v>0.94</v>
      </c>
      <c r="C235" s="2" t="str">
        <f ca="1">IFERROR(__xludf.DUMMYFUNCTION("""COMPUTED_VALUE"""),"Russia")</f>
        <v>Russia</v>
      </c>
      <c r="D235" s="2"/>
      <c r="E235" s="2"/>
      <c r="F235" s="2"/>
      <c r="G235" s="2"/>
      <c r="H235" s="2"/>
      <c r="I235" s="2"/>
      <c r="J235" s="2" t="str">
        <f ca="1">IFERROR(__xludf.DUMMYFUNCTION("""COMPUTED_VALUE"""),"X")</f>
        <v>X</v>
      </c>
      <c r="K235" s="2"/>
      <c r="L235" s="2"/>
      <c r="M235" s="2"/>
      <c r="N235" s="2"/>
      <c r="O235" s="5">
        <f ca="1">IFERROR(__xludf.DUMMYFUNCTION("""COMPUTED_VALUE"""),0)</f>
        <v>0</v>
      </c>
      <c r="P235" s="2">
        <f ca="1">IFERROR(__xludf.DUMMYFUNCTION("""COMPUTED_VALUE"""),0)</f>
        <v>0</v>
      </c>
      <c r="Q235" s="2">
        <f ca="1">IFERROR(__xludf.DUMMYFUNCTION("""COMPUTED_VALUE"""),0)</f>
        <v>0</v>
      </c>
      <c r="R235" s="2">
        <f ca="1">IFERROR(__xludf.DUMMYFUNCTION("""COMPUTED_VALUE"""),0)</f>
        <v>0</v>
      </c>
      <c r="S235" s="2">
        <f ca="1">IFERROR(__xludf.DUMMYFUNCTION("""COMPUTED_VALUE"""),0)</f>
        <v>0</v>
      </c>
      <c r="T235" s="2">
        <f ca="1">IFERROR(__xludf.DUMMYFUNCTION("""COMPUTED_VALUE"""),0)</f>
        <v>0</v>
      </c>
      <c r="U235" s="2">
        <f ca="1">IFERROR(__xludf.DUMMYFUNCTION("""COMPUTED_VALUE"""),5.435)</f>
        <v>5.4349999999999996</v>
      </c>
      <c r="V235" s="2">
        <f ca="1">IFERROR(__xludf.DUMMYFUNCTION("""COMPUTED_VALUE"""),0)</f>
        <v>0</v>
      </c>
      <c r="W235" s="2">
        <f ca="1">IFERROR(__xludf.DUMMYFUNCTION("""COMPUTED_VALUE"""),0)</f>
        <v>0</v>
      </c>
      <c r="X235" s="2">
        <f ca="1">IFERROR(__xludf.DUMMYFUNCTION("""COMPUTED_VALUE"""),0)</f>
        <v>0</v>
      </c>
      <c r="Y235" s="2">
        <f ca="1">IFERROR(__xludf.DUMMYFUNCTION("""COMPUTED_VALUE"""),0)</f>
        <v>0</v>
      </c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>
        <f ca="1">IFERROR(__xludf.DUMMYFUNCTION("""COMPUTED_VALUE"""),0)</f>
        <v>0</v>
      </c>
      <c r="AN235" s="2">
        <f ca="1">IFERROR(__xludf.DUMMYFUNCTION("""COMPUTED_VALUE"""),0)</f>
        <v>0</v>
      </c>
      <c r="AO235" s="2">
        <f ca="1">IFERROR(__xludf.DUMMYFUNCTION("""COMPUTED_VALUE"""),0)</f>
        <v>0</v>
      </c>
      <c r="AP235" s="2">
        <f ca="1">IFERROR(__xludf.DUMMYFUNCTION("""COMPUTED_VALUE"""),0)</f>
        <v>0</v>
      </c>
      <c r="AQ235" s="2">
        <f ca="1">IFERROR(__xludf.DUMMYFUNCTION("""COMPUTED_VALUE"""),0)</f>
        <v>0</v>
      </c>
      <c r="AR235" s="2">
        <f ca="1">IFERROR(__xludf.DUMMYFUNCTION("""COMPUTED_VALUE"""),0)</f>
        <v>0</v>
      </c>
      <c r="AS235" s="2">
        <f ca="1">IFERROR(__xludf.DUMMYFUNCTION("""COMPUTED_VALUE"""),0)</f>
        <v>0</v>
      </c>
      <c r="AT235" s="2">
        <f ca="1">IFERROR(__xludf.DUMMYFUNCTION("""COMPUTED_VALUE"""),0)</f>
        <v>0</v>
      </c>
      <c r="AU235" s="2">
        <f ca="1">IFERROR(__xludf.DUMMYFUNCTION("""COMPUTED_VALUE"""),0)</f>
        <v>0</v>
      </c>
      <c r="AV235" s="2">
        <f ca="1">IFERROR(__xludf.DUMMYFUNCTION("""COMPUTED_VALUE"""),0)</f>
        <v>0</v>
      </c>
      <c r="AW235" s="2">
        <f ca="1">IFERROR(__xludf.DUMMYFUNCTION("""COMPUTED_VALUE"""),0)</f>
        <v>0</v>
      </c>
      <c r="AY235" s="2">
        <f t="shared" ca="1" si="0"/>
        <v>6</v>
      </c>
      <c r="AZ235" s="2" t="e">
        <f ca="1">IF(NOT(COUNTA(D235:J235)), _xludf.IFS(AL235="W", 'Round Bonuses'!$F$14, AL235="X", 'Round Bonuses'!$F$13, AK235="X", 'Round Bonuses'!$F$12, AJ235="X", 'Round Bonuses'!$F$11, AI235="X", 'Round Bonuses'!$F$10, AH235="X", 'Round Bonuses'!$F$9, AG235="X", 'Round Bonuses'!$F$8, AF235="X", 'Round Bonuses'!$F$7, AE235="X", 'Round Bonuses'!$F$6, AD235="X", 'Round Bonuses'!$F$5, AC235="X", 'Round Bonuses'!$F$4, AB235="X", 'Round Bonuses'!$F$3, TRUE, 0), IF(AA235="X", _xludf.IFS(AD235="X", 'Round Bonuses'!$E$4, AF235="X",'Round Bonuses'!$E$6,TRUE, 'Round Bonuses'!$E$7), 0) +IF(AB235="X", 'Round Bonuses'!$E$3, 0)+IF(AC235="X",'Round Bonuses'!$E$4, 0)+IF(AD235="X", 'Round Bonuses'!$E$5, 0)+IF(AE235="X", 'Round Bonuses'!$E$6, 0)+IF(AF235="X", 'Round Bonuses'!$E$7, 0)+IF(AG235="X", 'Round Bonuses'!$E$8, 0)+_xludf.IFS(AL235="W", 'Round Bonuses'!$G$14, AL235="X", 'Round Bonuses'!$G$13, AK235="X", 'Round Bonuses'!$G$12, AJ235="X", 'Round Bonuses'!$G$11, AI235="X", 'Round Bonuses'!$G$10, AH235="X", 'Round Bonuses'!$G$9, TRUE, 0))+_xludf.IFS(N235="W", 'Round Bonuses'!$C$13, N235="X", 'Round Bonuses'!$C$12, M235="X", 'Round Bonuses'!$C$11, L235="X", 'Round Bonuses'!$C$10, K235="X", 'Round Bonuses'!$C$9, J235="X", 'Round Bonuses'!$C$8, I235="X", 'Round Bonuses'!$C$7, H235="X", 'Round Bonuses'!$C$6, G235="X", 'Round Bonuses'!$C$5, F235="X", 'Round Bonuses'!$C$4, E235="X", 'Round Bonuses'!$C$3, D235="X", 'Round Bonuses'!$C$3, TRUE, 0)</f>
        <v>#NAME?</v>
      </c>
      <c r="BA235" s="2">
        <f t="shared" ca="1" si="1"/>
        <v>5.4349999999999996</v>
      </c>
      <c r="BB235" s="10" t="e">
        <f t="shared" ca="1" si="2"/>
        <v>#NAME?</v>
      </c>
      <c r="BD235" s="11" t="str">
        <f t="shared" ca="1" si="3"/>
        <v>Zenit Saint Petersburg</v>
      </c>
      <c r="BE235" s="2" t="str">
        <f t="shared" ca="1" si="4"/>
        <v>Russia</v>
      </c>
      <c r="BF235" s="2" t="e">
        <f t="shared" ca="1" si="5"/>
        <v>#NAME?</v>
      </c>
      <c r="BG235" s="2">
        <f t="shared" ca="1" si="6"/>
        <v>6</v>
      </c>
      <c r="BH235" s="2" t="s">
        <v>304</v>
      </c>
      <c r="BI235" s="2" t="s">
        <v>179</v>
      </c>
      <c r="BJ235" s="7">
        <v>0.435</v>
      </c>
      <c r="BK235" s="2">
        <v>1</v>
      </c>
      <c r="BL235" s="2">
        <f t="shared" si="10"/>
        <v>233</v>
      </c>
      <c r="BM235" s="2" t="str">
        <f t="shared" si="7"/>
        <v>Kauno Žalgiris</v>
      </c>
      <c r="BN235" s="7">
        <f t="shared" ref="BN235:BO235" si="242">BJ235</f>
        <v>0.435</v>
      </c>
      <c r="BO235" s="2">
        <f t="shared" si="242"/>
        <v>1</v>
      </c>
      <c r="BS235" s="2" t="str">
        <f t="shared" si="9"/>
        <v>Lithuania</v>
      </c>
    </row>
    <row r="236" spans="1:71" ht="13.8" x14ac:dyDescent="0.45">
      <c r="A236" s="2" t="str">
        <f ca="1">IFERROR(__xludf.DUMMYFUNCTION("""COMPUTED_VALUE"""),"Zeta")</f>
        <v>Zeta</v>
      </c>
      <c r="B236" s="2">
        <f ca="1">IFERROR(__xludf.DUMMYFUNCTION("""COMPUTED_VALUE"""),0.48)</f>
        <v>0.48</v>
      </c>
      <c r="C236" s="2" t="str">
        <f ca="1">IFERROR(__xludf.DUMMYFUNCTION("""COMPUTED_VALUE"""),"Montenegro")</f>
        <v>Montenegro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5">
        <f ca="1">IFERROR(__xludf.DUMMYFUNCTION("""COMPUTED_VALUE"""),0)</f>
        <v>0</v>
      </c>
      <c r="P236" s="2">
        <f ca="1">IFERROR(__xludf.DUMMYFUNCTION("""COMPUTED_VALUE"""),0)</f>
        <v>0</v>
      </c>
      <c r="Q236" s="2">
        <f ca="1">IFERROR(__xludf.DUMMYFUNCTION("""COMPUTED_VALUE"""),0)</f>
        <v>0</v>
      </c>
      <c r="R236" s="2">
        <f ca="1">IFERROR(__xludf.DUMMYFUNCTION("""COMPUTED_VALUE"""),0)</f>
        <v>0</v>
      </c>
      <c r="S236" s="2">
        <f ca="1">IFERROR(__xludf.DUMMYFUNCTION("""COMPUTED_VALUE"""),0)</f>
        <v>0</v>
      </c>
      <c r="T236" s="2">
        <f ca="1">IFERROR(__xludf.DUMMYFUNCTION("""COMPUTED_VALUE"""),0)</f>
        <v>0</v>
      </c>
      <c r="U236" s="2">
        <f ca="1">IFERROR(__xludf.DUMMYFUNCTION("""COMPUTED_VALUE"""),0)</f>
        <v>0</v>
      </c>
      <c r="V236" s="2">
        <f ca="1">IFERROR(__xludf.DUMMYFUNCTION("""COMPUTED_VALUE"""),0)</f>
        <v>0</v>
      </c>
      <c r="W236" s="2">
        <f ca="1">IFERROR(__xludf.DUMMYFUNCTION("""COMPUTED_VALUE"""),0)</f>
        <v>0</v>
      </c>
      <c r="X236" s="2">
        <f ca="1">IFERROR(__xludf.DUMMYFUNCTION("""COMPUTED_VALUE"""),0)</f>
        <v>0</v>
      </c>
      <c r="Y236" s="2">
        <f ca="1">IFERROR(__xludf.DUMMYFUNCTION("""COMPUTED_VALUE"""),0)</f>
        <v>0</v>
      </c>
      <c r="AB236" s="2" t="str">
        <f ca="1">IFERROR(__xludf.DUMMYFUNCTION("""COMPUTED_VALUE"""),"X")</f>
        <v>X</v>
      </c>
      <c r="AC236" s="2" t="str">
        <f ca="1">IFERROR(__xludf.DUMMYFUNCTION("""COMPUTED_VALUE"""),"X")</f>
        <v>X</v>
      </c>
      <c r="AD236" s="2"/>
      <c r="AE236" s="2"/>
      <c r="AF236" s="2"/>
      <c r="AG236" s="2"/>
      <c r="AH236" s="2"/>
      <c r="AI236" s="2"/>
      <c r="AJ236" s="2"/>
      <c r="AK236" s="2"/>
      <c r="AL236" s="2"/>
      <c r="AM236" s="2">
        <f ca="1">IFERROR(__xludf.DUMMYFUNCTION("""COMPUTED_VALUE"""),1.86999999999999)</f>
        <v>1.8699999999999899</v>
      </c>
      <c r="AN236" s="2">
        <f ca="1">IFERROR(__xludf.DUMMYFUNCTION("""COMPUTED_VALUE"""),0.185)</f>
        <v>0.185</v>
      </c>
      <c r="AO236" s="2">
        <f ca="1">IFERROR(__xludf.DUMMYFUNCTION("""COMPUTED_VALUE"""),0)</f>
        <v>0</v>
      </c>
      <c r="AP236" s="2">
        <f ca="1">IFERROR(__xludf.DUMMYFUNCTION("""COMPUTED_VALUE"""),0)</f>
        <v>0</v>
      </c>
      <c r="AQ236" s="2">
        <f ca="1">IFERROR(__xludf.DUMMYFUNCTION("""COMPUTED_VALUE"""),0)</f>
        <v>0</v>
      </c>
      <c r="AR236" s="2">
        <f ca="1">IFERROR(__xludf.DUMMYFUNCTION("""COMPUTED_VALUE"""),0)</f>
        <v>0</v>
      </c>
      <c r="AS236" s="2">
        <f ca="1">IFERROR(__xludf.DUMMYFUNCTION("""COMPUTED_VALUE"""),0)</f>
        <v>0</v>
      </c>
      <c r="AT236" s="2">
        <f ca="1">IFERROR(__xludf.DUMMYFUNCTION("""COMPUTED_VALUE"""),0)</f>
        <v>0</v>
      </c>
      <c r="AU236" s="2">
        <f ca="1">IFERROR(__xludf.DUMMYFUNCTION("""COMPUTED_VALUE"""),0)</f>
        <v>0</v>
      </c>
      <c r="AV236" s="2">
        <f ca="1">IFERROR(__xludf.DUMMYFUNCTION("""COMPUTED_VALUE"""),0)</f>
        <v>0</v>
      </c>
      <c r="AW236" s="2">
        <f ca="1">IFERROR(__xludf.DUMMYFUNCTION("""COMPUTED_VALUE"""),0)</f>
        <v>0</v>
      </c>
      <c r="AY236" s="2">
        <f t="shared" ca="1" si="0"/>
        <v>2</v>
      </c>
      <c r="AZ236" s="2" t="e">
        <f ca="1">IF(NOT(COUNTA(D236:J236)), _xludf.IFS(AL236="W", 'Round Bonuses'!$F$14, AL236="X", 'Round Bonuses'!$F$13, AK236="X", 'Round Bonuses'!$F$12, AJ236="X", 'Round Bonuses'!$F$11, AI236="X", 'Round Bonuses'!$F$10, AH236="X", 'Round Bonuses'!$F$9, AG236="X", 'Round Bonuses'!$F$8, AF236="X", 'Round Bonuses'!$F$7, AE236="X", 'Round Bonuses'!$F$6, AD236="X", 'Round Bonuses'!$F$5, AC236="X", 'Round Bonuses'!$F$4, AB236="X", 'Round Bonuses'!$F$3, TRUE, 0), IF(AA236="X", _xludf.IFS(AD236="X", 'Round Bonuses'!$E$4, AF236="X",'Round Bonuses'!$E$6,TRUE, 'Round Bonuses'!$E$7), 0) +IF(AB236="X", 'Round Bonuses'!$E$3, 0)+IF(AC236="X",'Round Bonuses'!$E$4, 0)+IF(AD236="X", 'Round Bonuses'!$E$5, 0)+IF(AE236="X", 'Round Bonuses'!$E$6, 0)+IF(AF236="X", 'Round Bonuses'!$E$7, 0)+IF(AG236="X", 'Round Bonuses'!$E$8, 0)+_xludf.IFS(AL236="W", 'Round Bonuses'!$G$14, AL236="X", 'Round Bonuses'!$G$13, AK236="X", 'Round Bonuses'!$G$12, AJ236="X", 'Round Bonuses'!$G$11, AI236="X", 'Round Bonuses'!$G$10, AH236="X", 'Round Bonuses'!$G$9, TRUE, 0))+_xludf.IFS(N236="W", 'Round Bonuses'!$C$13, N236="X", 'Round Bonuses'!$C$12, M236="X", 'Round Bonuses'!$C$11, L236="X", 'Round Bonuses'!$C$10, K236="X", 'Round Bonuses'!$C$9, J236="X", 'Round Bonuses'!$C$8, I236="X", 'Round Bonuses'!$C$7, H236="X", 'Round Bonuses'!$C$6, G236="X", 'Round Bonuses'!$C$5, F236="X", 'Round Bonuses'!$C$4, E236="X", 'Round Bonuses'!$C$3, D236="X", 'Round Bonuses'!$C$3, TRUE, 0)</f>
        <v>#NAME?</v>
      </c>
      <c r="BA236" s="2">
        <f t="shared" ca="1" si="1"/>
        <v>2.0549999999999899</v>
      </c>
      <c r="BB236" s="10" t="e">
        <f t="shared" ca="1" si="2"/>
        <v>#NAME?</v>
      </c>
      <c r="BD236" s="11" t="str">
        <f t="shared" ca="1" si="3"/>
        <v>Zeta</v>
      </c>
      <c r="BE236" s="2" t="str">
        <f t="shared" ca="1" si="4"/>
        <v>Montenegro</v>
      </c>
      <c r="BF236" s="2" t="e">
        <f t="shared" ca="1" si="5"/>
        <v>#NAME?</v>
      </c>
      <c r="BG236" s="2">
        <f t="shared" ca="1" si="6"/>
        <v>2</v>
      </c>
      <c r="BH236" s="2" t="s">
        <v>305</v>
      </c>
      <c r="BI236" s="2" t="s">
        <v>247</v>
      </c>
      <c r="BJ236" s="7">
        <v>0.38</v>
      </c>
      <c r="BK236" s="2">
        <v>1</v>
      </c>
      <c r="BL236" s="2">
        <f t="shared" si="10"/>
        <v>234</v>
      </c>
      <c r="BM236" s="2" t="str">
        <f t="shared" si="7"/>
        <v>Engordany</v>
      </c>
      <c r="BN236" s="7">
        <f t="shared" ref="BN236:BO236" si="243">BJ236</f>
        <v>0.38</v>
      </c>
      <c r="BO236" s="2">
        <f t="shared" si="243"/>
        <v>1</v>
      </c>
      <c r="BS236" s="2" t="str">
        <f t="shared" si="9"/>
        <v>Andorra</v>
      </c>
    </row>
    <row r="237" spans="1:71" ht="13.8" x14ac:dyDescent="0.45">
      <c r="A237" s="2" t="str">
        <f ca="1">IFERROR(__xludf.DUMMYFUNCTION("""COMPUTED_VALUE"""),"Žilina")</f>
        <v>Žilina</v>
      </c>
      <c r="B237" s="2">
        <f ca="1">IFERROR(__xludf.DUMMYFUNCTION("""COMPUTED_VALUE"""),0.69)</f>
        <v>0.69</v>
      </c>
      <c r="C237" s="2" t="str">
        <f ca="1">IFERROR(__xludf.DUMMYFUNCTION("""COMPUTED_VALUE"""),"Slovakia")</f>
        <v>Slovakia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5">
        <f ca="1">IFERROR(__xludf.DUMMYFUNCTION("""COMPUTED_VALUE"""),0)</f>
        <v>0</v>
      </c>
      <c r="P237" s="2">
        <f ca="1">IFERROR(__xludf.DUMMYFUNCTION("""COMPUTED_VALUE"""),0)</f>
        <v>0</v>
      </c>
      <c r="Q237" s="2">
        <f ca="1">IFERROR(__xludf.DUMMYFUNCTION("""COMPUTED_VALUE"""),0)</f>
        <v>0</v>
      </c>
      <c r="R237" s="2">
        <f ca="1">IFERROR(__xludf.DUMMYFUNCTION("""COMPUTED_VALUE"""),0)</f>
        <v>0</v>
      </c>
      <c r="S237" s="2">
        <f ca="1">IFERROR(__xludf.DUMMYFUNCTION("""COMPUTED_VALUE"""),0)</f>
        <v>0</v>
      </c>
      <c r="T237" s="2">
        <f ca="1">IFERROR(__xludf.DUMMYFUNCTION("""COMPUTED_VALUE"""),0)</f>
        <v>0</v>
      </c>
      <c r="U237" s="2">
        <f ca="1">IFERROR(__xludf.DUMMYFUNCTION("""COMPUTED_VALUE"""),0)</f>
        <v>0</v>
      </c>
      <c r="V237" s="2">
        <f ca="1">IFERROR(__xludf.DUMMYFUNCTION("""COMPUTED_VALUE"""),0)</f>
        <v>0</v>
      </c>
      <c r="W237" s="2">
        <f ca="1">IFERROR(__xludf.DUMMYFUNCTION("""COMPUTED_VALUE"""),0)</f>
        <v>0</v>
      </c>
      <c r="X237" s="2">
        <f ca="1">IFERROR(__xludf.DUMMYFUNCTION("""COMPUTED_VALUE"""),0)</f>
        <v>0</v>
      </c>
      <c r="Y237" s="2">
        <f ca="1">IFERROR(__xludf.DUMMYFUNCTION("""COMPUTED_VALUE"""),0)</f>
        <v>0</v>
      </c>
      <c r="AB237" s="2"/>
      <c r="AC237" s="2" t="str">
        <f ca="1">IFERROR(__xludf.DUMMYFUNCTION("""COMPUTED_VALUE"""),"X")</f>
        <v>X</v>
      </c>
      <c r="AD237" s="2"/>
      <c r="AE237" s="2"/>
      <c r="AF237" s="2"/>
      <c r="AG237" s="2"/>
      <c r="AH237" s="2"/>
      <c r="AI237" s="2"/>
      <c r="AJ237" s="2"/>
      <c r="AK237" s="2"/>
      <c r="AL237" s="2"/>
      <c r="AM237" s="2">
        <f ca="1">IFERROR(__xludf.DUMMYFUNCTION("""COMPUTED_VALUE"""),0)</f>
        <v>0</v>
      </c>
      <c r="AN237" s="2">
        <f ca="1">IFERROR(__xludf.DUMMYFUNCTION("""COMPUTED_VALUE"""),0.26)</f>
        <v>0.26</v>
      </c>
      <c r="AO237" s="2">
        <f ca="1">IFERROR(__xludf.DUMMYFUNCTION("""COMPUTED_VALUE"""),0)</f>
        <v>0</v>
      </c>
      <c r="AP237" s="2">
        <f ca="1">IFERROR(__xludf.DUMMYFUNCTION("""COMPUTED_VALUE"""),0)</f>
        <v>0</v>
      </c>
      <c r="AQ237" s="2">
        <f ca="1">IFERROR(__xludf.DUMMYFUNCTION("""COMPUTED_VALUE"""),0)</f>
        <v>0</v>
      </c>
      <c r="AR237" s="2">
        <f ca="1">IFERROR(__xludf.DUMMYFUNCTION("""COMPUTED_VALUE"""),0)</f>
        <v>0</v>
      </c>
      <c r="AS237" s="2">
        <f ca="1">IFERROR(__xludf.DUMMYFUNCTION("""COMPUTED_VALUE"""),0)</f>
        <v>0</v>
      </c>
      <c r="AT237" s="2">
        <f ca="1">IFERROR(__xludf.DUMMYFUNCTION("""COMPUTED_VALUE"""),0)</f>
        <v>0</v>
      </c>
      <c r="AU237" s="2">
        <f ca="1">IFERROR(__xludf.DUMMYFUNCTION("""COMPUTED_VALUE"""),0)</f>
        <v>0</v>
      </c>
      <c r="AV237" s="2">
        <f ca="1">IFERROR(__xludf.DUMMYFUNCTION("""COMPUTED_VALUE"""),0)</f>
        <v>0</v>
      </c>
      <c r="AW237" s="2">
        <f ca="1">IFERROR(__xludf.DUMMYFUNCTION("""COMPUTED_VALUE"""),0)</f>
        <v>0</v>
      </c>
      <c r="AY237" s="2">
        <f t="shared" ca="1" si="0"/>
        <v>1</v>
      </c>
      <c r="AZ237" s="2" t="e">
        <f ca="1">IF(NOT(COUNTA(D237:J237)), _xludf.IFS(AL237="W", 'Round Bonuses'!$F$14, AL237="X", 'Round Bonuses'!$F$13, AK237="X", 'Round Bonuses'!$F$12, AJ237="X", 'Round Bonuses'!$F$11, AI237="X", 'Round Bonuses'!$F$10, AH237="X", 'Round Bonuses'!$F$9, AG237="X", 'Round Bonuses'!$F$8, AF237="X", 'Round Bonuses'!$F$7, AE237="X", 'Round Bonuses'!$F$6, AD237="X", 'Round Bonuses'!$F$5, AC237="X", 'Round Bonuses'!$F$4, AB237="X", 'Round Bonuses'!$F$3, TRUE, 0), IF(AA237="X", _xludf.IFS(AD237="X", 'Round Bonuses'!$E$4, AF237="X",'Round Bonuses'!$E$6,TRUE, 'Round Bonuses'!$E$7), 0) +IF(AB237="X", 'Round Bonuses'!$E$3, 0)+IF(AC237="X",'Round Bonuses'!$E$4, 0)+IF(AD237="X", 'Round Bonuses'!$E$5, 0)+IF(AE237="X", 'Round Bonuses'!$E$6, 0)+IF(AF237="X", 'Round Bonuses'!$E$7, 0)+IF(AG237="X", 'Round Bonuses'!$E$8, 0)+_xludf.IFS(AL237="W", 'Round Bonuses'!$G$14, AL237="X", 'Round Bonuses'!$G$13, AK237="X", 'Round Bonuses'!$G$12, AJ237="X", 'Round Bonuses'!$G$11, AI237="X", 'Round Bonuses'!$G$10, AH237="X", 'Round Bonuses'!$G$9, TRUE, 0))+_xludf.IFS(N237="W", 'Round Bonuses'!$C$13, N237="X", 'Round Bonuses'!$C$12, M237="X", 'Round Bonuses'!$C$11, L237="X", 'Round Bonuses'!$C$10, K237="X", 'Round Bonuses'!$C$9, J237="X", 'Round Bonuses'!$C$8, I237="X", 'Round Bonuses'!$C$7, H237="X", 'Round Bonuses'!$C$6, G237="X", 'Round Bonuses'!$C$5, F237="X", 'Round Bonuses'!$C$4, E237="X", 'Round Bonuses'!$C$3, D237="X", 'Round Bonuses'!$C$3, TRUE, 0)</f>
        <v>#NAME?</v>
      </c>
      <c r="BA237" s="2">
        <f t="shared" ca="1" si="1"/>
        <v>0.26</v>
      </c>
      <c r="BB237" s="10" t="e">
        <f t="shared" ca="1" si="2"/>
        <v>#NAME?</v>
      </c>
      <c r="BD237" s="11" t="str">
        <f t="shared" ca="1" si="3"/>
        <v>Žilina</v>
      </c>
      <c r="BE237" s="2" t="str">
        <f t="shared" ca="1" si="4"/>
        <v>Slovakia</v>
      </c>
      <c r="BF237" s="2" t="e">
        <f t="shared" ca="1" si="5"/>
        <v>#NAME?</v>
      </c>
      <c r="BG237" s="2">
        <f t="shared" ca="1" si="6"/>
        <v>1</v>
      </c>
      <c r="BH237" s="2" t="s">
        <v>306</v>
      </c>
      <c r="BI237" s="2" t="s">
        <v>253</v>
      </c>
      <c r="BJ237" s="7">
        <v>0.36</v>
      </c>
      <c r="BK237" s="2">
        <v>1</v>
      </c>
      <c r="BL237" s="2">
        <f t="shared" si="10"/>
        <v>235</v>
      </c>
      <c r="BM237" s="2" t="str">
        <f t="shared" si="7"/>
        <v>Tre Penne</v>
      </c>
      <c r="BN237" s="7">
        <f t="shared" ref="BN237:BO237" si="244">BJ237</f>
        <v>0.36</v>
      </c>
      <c r="BO237" s="2">
        <f t="shared" si="244"/>
        <v>1</v>
      </c>
      <c r="BS237" s="2" t="str">
        <f t="shared" si="9"/>
        <v>San Marino</v>
      </c>
    </row>
    <row r="238" spans="1:71" ht="13.8" x14ac:dyDescent="0.45">
      <c r="A238" s="2" t="str">
        <f ca="1">IFERROR(__xludf.DUMMYFUNCTION("""COMPUTED_VALUE"""),"Zorya Luhansk")</f>
        <v>Zorya Luhansk</v>
      </c>
      <c r="B238" s="2">
        <f ca="1">IFERROR(__xludf.DUMMYFUNCTION("""COMPUTED_VALUE"""),0.89)</f>
        <v>0.89</v>
      </c>
      <c r="C238" s="2" t="str">
        <f ca="1">IFERROR(__xludf.DUMMYFUNCTION("""COMPUTED_VALUE"""),"Ukraine")</f>
        <v>Ukraine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5">
        <f ca="1">IFERROR(__xludf.DUMMYFUNCTION("""COMPUTED_VALUE"""),0)</f>
        <v>0</v>
      </c>
      <c r="P238" s="2">
        <f ca="1">IFERROR(__xludf.DUMMYFUNCTION("""COMPUTED_VALUE"""),0)</f>
        <v>0</v>
      </c>
      <c r="Q238" s="2">
        <f ca="1">IFERROR(__xludf.DUMMYFUNCTION("""COMPUTED_VALUE"""),0)</f>
        <v>0</v>
      </c>
      <c r="R238" s="2">
        <f ca="1">IFERROR(__xludf.DUMMYFUNCTION("""COMPUTED_VALUE"""),0)</f>
        <v>0</v>
      </c>
      <c r="S238" s="2">
        <f ca="1">IFERROR(__xludf.DUMMYFUNCTION("""COMPUTED_VALUE"""),0)</f>
        <v>0</v>
      </c>
      <c r="T238" s="2">
        <f ca="1">IFERROR(__xludf.DUMMYFUNCTION("""COMPUTED_VALUE"""),0)</f>
        <v>0</v>
      </c>
      <c r="U238" s="2">
        <f ca="1">IFERROR(__xludf.DUMMYFUNCTION("""COMPUTED_VALUE"""),0)</f>
        <v>0</v>
      </c>
      <c r="V238" s="2">
        <f ca="1">IFERROR(__xludf.DUMMYFUNCTION("""COMPUTED_VALUE"""),0)</f>
        <v>0</v>
      </c>
      <c r="W238" s="2">
        <f ca="1">IFERROR(__xludf.DUMMYFUNCTION("""COMPUTED_VALUE"""),0)</f>
        <v>0</v>
      </c>
      <c r="X238" s="2">
        <f ca="1">IFERROR(__xludf.DUMMYFUNCTION("""COMPUTED_VALUE"""),0)</f>
        <v>0</v>
      </c>
      <c r="Y238" s="2">
        <f ca="1">IFERROR(__xludf.DUMMYFUNCTION("""COMPUTED_VALUE"""),0)</f>
        <v>0</v>
      </c>
      <c r="AB238" s="2"/>
      <c r="AC238" s="2"/>
      <c r="AD238" s="2"/>
      <c r="AE238" s="2"/>
      <c r="AF238" s="2"/>
      <c r="AG238" s="2" t="str">
        <f ca="1">IFERROR(__xludf.DUMMYFUNCTION("""COMPUTED_VALUE"""),"X")</f>
        <v>X</v>
      </c>
      <c r="AH238" s="2"/>
      <c r="AI238" s="2"/>
      <c r="AJ238" s="2"/>
      <c r="AK238" s="2"/>
      <c r="AL238" s="2"/>
      <c r="AM238" s="2">
        <f ca="1">IFERROR(__xludf.DUMMYFUNCTION("""COMPUTED_VALUE"""),0)</f>
        <v>0</v>
      </c>
      <c r="AN238" s="2">
        <f ca="1">IFERROR(__xludf.DUMMYFUNCTION("""COMPUTED_VALUE"""),0)</f>
        <v>0</v>
      </c>
      <c r="AO238" s="2">
        <f ca="1">IFERROR(__xludf.DUMMYFUNCTION("""COMPUTED_VALUE"""),0)</f>
        <v>0</v>
      </c>
      <c r="AP238" s="2">
        <f ca="1">IFERROR(__xludf.DUMMYFUNCTION("""COMPUTED_VALUE"""),0)</f>
        <v>0</v>
      </c>
      <c r="AQ238" s="2">
        <f ca="1">IFERROR(__xludf.DUMMYFUNCTION("""COMPUTED_VALUE"""),0)</f>
        <v>0</v>
      </c>
      <c r="AR238" s="2">
        <f ca="1">IFERROR(__xludf.DUMMYFUNCTION("""COMPUTED_VALUE"""),10.0275)</f>
        <v>10.0275</v>
      </c>
      <c r="AS238" s="2">
        <f ca="1">IFERROR(__xludf.DUMMYFUNCTION("""COMPUTED_VALUE"""),0)</f>
        <v>0</v>
      </c>
      <c r="AT238" s="2">
        <f ca="1">IFERROR(__xludf.DUMMYFUNCTION("""COMPUTED_VALUE"""),0)</f>
        <v>0</v>
      </c>
      <c r="AU238" s="2">
        <f ca="1">IFERROR(__xludf.DUMMYFUNCTION("""COMPUTED_VALUE"""),0)</f>
        <v>0</v>
      </c>
      <c r="AV238" s="2">
        <f ca="1">IFERROR(__xludf.DUMMYFUNCTION("""COMPUTED_VALUE"""),0)</f>
        <v>0</v>
      </c>
      <c r="AW238" s="2">
        <f ca="1">IFERROR(__xludf.DUMMYFUNCTION("""COMPUTED_VALUE"""),0)</f>
        <v>0</v>
      </c>
      <c r="AY238" s="2">
        <f t="shared" ca="1" si="0"/>
        <v>6</v>
      </c>
      <c r="AZ238" s="2" t="e">
        <f ca="1">IF(NOT(COUNTA(D238:J238)), _xludf.IFS(AL238="W", 'Round Bonuses'!$F$14, AL238="X", 'Round Bonuses'!$F$13, AK238="X", 'Round Bonuses'!$F$12, AJ238="X", 'Round Bonuses'!$F$11, AI238="X", 'Round Bonuses'!$F$10, AH238="X", 'Round Bonuses'!$F$9, AG238="X", 'Round Bonuses'!$F$8, AF238="X", 'Round Bonuses'!$F$7, AE238="X", 'Round Bonuses'!$F$6, AD238="X", 'Round Bonuses'!$F$5, AC238="X", 'Round Bonuses'!$F$4, AB238="X", 'Round Bonuses'!$F$3, TRUE, 0), IF(AA238="X", _xludf.IFS(AD238="X", 'Round Bonuses'!$E$4, AF238="X",'Round Bonuses'!$E$6,TRUE, 'Round Bonuses'!$E$7), 0) +IF(AB238="X", 'Round Bonuses'!$E$3, 0)+IF(AC238="X",'Round Bonuses'!$E$4, 0)+IF(AD238="X", 'Round Bonuses'!$E$5, 0)+IF(AE238="X", 'Round Bonuses'!$E$6, 0)+IF(AF238="X", 'Round Bonuses'!$E$7, 0)+IF(AG238="X", 'Round Bonuses'!$E$8, 0)+_xludf.IFS(AL238="W", 'Round Bonuses'!$G$14, AL238="X", 'Round Bonuses'!$G$13, AK238="X", 'Round Bonuses'!$G$12, AJ238="X", 'Round Bonuses'!$G$11, AI238="X", 'Round Bonuses'!$G$10, AH238="X", 'Round Bonuses'!$G$9, TRUE, 0))+_xludf.IFS(N238="W", 'Round Bonuses'!$C$13, N238="X", 'Round Bonuses'!$C$12, M238="X", 'Round Bonuses'!$C$11, L238="X", 'Round Bonuses'!$C$10, K238="X", 'Round Bonuses'!$C$9, J238="X", 'Round Bonuses'!$C$8, I238="X", 'Round Bonuses'!$C$7, H238="X", 'Round Bonuses'!$C$6, G238="X", 'Round Bonuses'!$C$5, F238="X", 'Round Bonuses'!$C$4, E238="X", 'Round Bonuses'!$C$3, D238="X", 'Round Bonuses'!$C$3, TRUE, 0)</f>
        <v>#NAME?</v>
      </c>
      <c r="BA238" s="2">
        <f t="shared" ca="1" si="1"/>
        <v>10.0275</v>
      </c>
      <c r="BB238" s="10" t="e">
        <f t="shared" ca="1" si="2"/>
        <v>#NAME?</v>
      </c>
      <c r="BD238" s="11" t="str">
        <f t="shared" ca="1" si="3"/>
        <v>Zorya Luhansk</v>
      </c>
      <c r="BE238" s="2" t="str">
        <f t="shared" ca="1" si="4"/>
        <v>Ukraine</v>
      </c>
      <c r="BF238" s="2" t="e">
        <f t="shared" ca="1" si="5"/>
        <v>#NAME?</v>
      </c>
      <c r="BG238" s="2">
        <f t="shared" ca="1" si="6"/>
        <v>6</v>
      </c>
      <c r="BH238" s="2" t="s">
        <v>307</v>
      </c>
      <c r="BI238" s="2" t="s">
        <v>181</v>
      </c>
      <c r="BJ238" s="7">
        <v>0.24499999999999997</v>
      </c>
      <c r="BK238" s="2">
        <v>1</v>
      </c>
      <c r="BL238" s="2">
        <f t="shared" si="10"/>
        <v>236</v>
      </c>
      <c r="BM238" s="2" t="str">
        <f t="shared" si="7"/>
        <v>Prishtina</v>
      </c>
      <c r="BN238" s="7">
        <f t="shared" ref="BN238:BO238" si="245">BJ238</f>
        <v>0.24499999999999997</v>
      </c>
      <c r="BO238" s="2">
        <f t="shared" si="245"/>
        <v>1</v>
      </c>
      <c r="BS238" s="2" t="str">
        <f t="shared" si="9"/>
        <v>Kosovo</v>
      </c>
    </row>
    <row r="239" spans="1:71" ht="13.8" x14ac:dyDescent="0.45">
      <c r="A239" s="2" t="str">
        <f ca="1">IFERROR(__xludf.DUMMYFUNCTION("""COMPUTED_VALUE"""),"Zrinjski Mostar")</f>
        <v>Zrinjski Mostar</v>
      </c>
      <c r="B239" s="2">
        <f ca="1">IFERROR(__xludf.DUMMYFUNCTION("""COMPUTED_VALUE"""),0.9)</f>
        <v>0.9</v>
      </c>
      <c r="C239" s="2" t="str">
        <f ca="1">IFERROR(__xludf.DUMMYFUNCTION("""COMPUTED_VALUE"""),"Bosnia &amp; Herzegovina")</f>
        <v>Bosnia &amp; Herzegovina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5">
        <f ca="1">IFERROR(__xludf.DUMMYFUNCTION("""COMPUTED_VALUE"""),0)</f>
        <v>0</v>
      </c>
      <c r="P239" s="2">
        <f ca="1">IFERROR(__xludf.DUMMYFUNCTION("""COMPUTED_VALUE"""),0)</f>
        <v>0</v>
      </c>
      <c r="Q239" s="2">
        <f ca="1">IFERROR(__xludf.DUMMYFUNCTION("""COMPUTED_VALUE"""),0)</f>
        <v>0</v>
      </c>
      <c r="R239" s="2">
        <f ca="1">IFERROR(__xludf.DUMMYFUNCTION("""COMPUTED_VALUE"""),0)</f>
        <v>0</v>
      </c>
      <c r="S239" s="2">
        <f ca="1">IFERROR(__xludf.DUMMYFUNCTION("""COMPUTED_VALUE"""),0)</f>
        <v>0</v>
      </c>
      <c r="T239" s="2">
        <f ca="1">IFERROR(__xludf.DUMMYFUNCTION("""COMPUTED_VALUE"""),0)</f>
        <v>0</v>
      </c>
      <c r="U239" s="2">
        <f ca="1">IFERROR(__xludf.DUMMYFUNCTION("""COMPUTED_VALUE"""),0)</f>
        <v>0</v>
      </c>
      <c r="V239" s="2">
        <f ca="1">IFERROR(__xludf.DUMMYFUNCTION("""COMPUTED_VALUE"""),0)</f>
        <v>0</v>
      </c>
      <c r="W239" s="2">
        <f ca="1">IFERROR(__xludf.DUMMYFUNCTION("""COMPUTED_VALUE"""),0)</f>
        <v>0</v>
      </c>
      <c r="X239" s="2">
        <f ca="1">IFERROR(__xludf.DUMMYFUNCTION("""COMPUTED_VALUE"""),0)</f>
        <v>0</v>
      </c>
      <c r="Y239" s="2">
        <f ca="1">IFERROR(__xludf.DUMMYFUNCTION("""COMPUTED_VALUE"""),0)</f>
        <v>0</v>
      </c>
      <c r="AB239" s="2"/>
      <c r="AC239" s="2" t="str">
        <f ca="1">IFERROR(__xludf.DUMMYFUNCTION("""COMPUTED_VALUE"""),"X")</f>
        <v>X</v>
      </c>
      <c r="AD239" s="2" t="str">
        <f ca="1">IFERROR(__xludf.DUMMYFUNCTION("""COMPUTED_VALUE"""),"X")</f>
        <v>X</v>
      </c>
      <c r="AE239" s="2" t="str">
        <f ca="1">IFERROR(__xludf.DUMMYFUNCTION("""COMPUTED_VALUE"""),"X")</f>
        <v>X</v>
      </c>
      <c r="AF239" s="2"/>
      <c r="AG239" s="2"/>
      <c r="AH239" s="2"/>
      <c r="AI239" s="2"/>
      <c r="AJ239" s="2"/>
      <c r="AK239" s="2"/>
      <c r="AL239" s="2"/>
      <c r="AM239" s="2">
        <f ca="1">IFERROR(__xludf.DUMMYFUNCTION("""COMPUTED_VALUE"""),0)</f>
        <v>0</v>
      </c>
      <c r="AN239" s="2">
        <f ca="1">IFERROR(__xludf.DUMMYFUNCTION("""COMPUTED_VALUE"""),2.40625)</f>
        <v>2.40625</v>
      </c>
      <c r="AO239" s="2">
        <f ca="1">IFERROR(__xludf.DUMMYFUNCTION("""COMPUTED_VALUE"""),2.76375)</f>
        <v>2.7637499999999999</v>
      </c>
      <c r="AP239" s="2">
        <f ca="1">IFERROR(__xludf.DUMMYFUNCTION("""COMPUTED_VALUE"""),0.8)</f>
        <v>0.8</v>
      </c>
      <c r="AQ239" s="2">
        <f ca="1">IFERROR(__xludf.DUMMYFUNCTION("""COMPUTED_VALUE"""),0)</f>
        <v>0</v>
      </c>
      <c r="AR239" s="2">
        <f ca="1">IFERROR(__xludf.DUMMYFUNCTION("""COMPUTED_VALUE"""),0)</f>
        <v>0</v>
      </c>
      <c r="AS239" s="2">
        <f ca="1">IFERROR(__xludf.DUMMYFUNCTION("""COMPUTED_VALUE"""),0)</f>
        <v>0</v>
      </c>
      <c r="AT239" s="2">
        <f ca="1">IFERROR(__xludf.DUMMYFUNCTION("""COMPUTED_VALUE"""),0)</f>
        <v>0</v>
      </c>
      <c r="AU239" s="2">
        <f ca="1">IFERROR(__xludf.DUMMYFUNCTION("""COMPUTED_VALUE"""),0)</f>
        <v>0</v>
      </c>
      <c r="AV239" s="2">
        <f ca="1">IFERROR(__xludf.DUMMYFUNCTION("""COMPUTED_VALUE"""),0)</f>
        <v>0</v>
      </c>
      <c r="AW239" s="2">
        <f ca="1">IFERROR(__xludf.DUMMYFUNCTION("""COMPUTED_VALUE"""),0)</f>
        <v>0</v>
      </c>
      <c r="AY239" s="2">
        <f t="shared" ca="1" si="0"/>
        <v>3</v>
      </c>
      <c r="AZ239" s="2" t="e">
        <f ca="1">IF(NOT(COUNTA(D239:J239)), _xludf.IFS(AL239="W", 'Round Bonuses'!$F$14, AL239="X", 'Round Bonuses'!$F$13, AK239="X", 'Round Bonuses'!$F$12, AJ239="X", 'Round Bonuses'!$F$11, AI239="X", 'Round Bonuses'!$F$10, AH239="X", 'Round Bonuses'!$F$9, AG239="X", 'Round Bonuses'!$F$8, AF239="X", 'Round Bonuses'!$F$7, AE239="X", 'Round Bonuses'!$F$6, AD239="X", 'Round Bonuses'!$F$5, AC239="X", 'Round Bonuses'!$F$4, AB239="X", 'Round Bonuses'!$F$3, TRUE, 0), IF(AA239="X", _xludf.IFS(AD239="X", 'Round Bonuses'!$E$4, AF239="X",'Round Bonuses'!$E$6,TRUE, 'Round Bonuses'!$E$7), 0) +IF(AB239="X", 'Round Bonuses'!$E$3, 0)+IF(AC239="X",'Round Bonuses'!$E$4, 0)+IF(AD239="X", 'Round Bonuses'!$E$5, 0)+IF(AE239="X", 'Round Bonuses'!$E$6, 0)+IF(AF239="X", 'Round Bonuses'!$E$7, 0)+IF(AG239="X", 'Round Bonuses'!$E$8, 0)+_xludf.IFS(AL239="W", 'Round Bonuses'!$G$14, AL239="X", 'Round Bonuses'!$G$13, AK239="X", 'Round Bonuses'!$G$12, AJ239="X", 'Round Bonuses'!$G$11, AI239="X", 'Round Bonuses'!$G$10, AH239="X", 'Round Bonuses'!$G$9, TRUE, 0))+_xludf.IFS(N239="W", 'Round Bonuses'!$C$13, N239="X", 'Round Bonuses'!$C$12, M239="X", 'Round Bonuses'!$C$11, L239="X", 'Round Bonuses'!$C$10, K239="X", 'Round Bonuses'!$C$9, J239="X", 'Round Bonuses'!$C$8, I239="X", 'Round Bonuses'!$C$7, H239="X", 'Round Bonuses'!$C$6, G239="X", 'Round Bonuses'!$C$5, F239="X", 'Round Bonuses'!$C$4, E239="X", 'Round Bonuses'!$C$3, D239="X", 'Round Bonuses'!$C$3, TRUE, 0)</f>
        <v>#NAME?</v>
      </c>
      <c r="BA239" s="2">
        <f t="shared" ca="1" si="1"/>
        <v>5.97</v>
      </c>
      <c r="BB239" s="10" t="e">
        <f t="shared" ca="1" si="2"/>
        <v>#NAME?</v>
      </c>
      <c r="BD239" s="11" t="str">
        <f t="shared" ca="1" si="3"/>
        <v>Zrinjski Mostar</v>
      </c>
      <c r="BE239" s="2" t="str">
        <f t="shared" ca="1" si="4"/>
        <v>Bosnia &amp; Herzegovina</v>
      </c>
      <c r="BF239" s="2" t="e">
        <f t="shared" ca="1" si="5"/>
        <v>#NAME?</v>
      </c>
      <c r="BG239" s="2">
        <f t="shared" ca="1" si="6"/>
        <v>3</v>
      </c>
      <c r="BH239" s="2" t="s">
        <v>308</v>
      </c>
      <c r="BI239" s="2" t="s">
        <v>194</v>
      </c>
      <c r="BJ239" s="7">
        <v>0.12999999999999998</v>
      </c>
      <c r="BK239" s="2">
        <v>1</v>
      </c>
      <c r="BL239" s="2">
        <f t="shared" si="10"/>
        <v>237</v>
      </c>
      <c r="BM239" s="2" t="str">
        <f t="shared" si="7"/>
        <v>Barry Town United</v>
      </c>
      <c r="BN239" s="7">
        <f t="shared" ref="BN239:BO239" si="246">BJ239</f>
        <v>0.12999999999999998</v>
      </c>
      <c r="BO239" s="2">
        <f t="shared" si="246"/>
        <v>1</v>
      </c>
      <c r="BS239" s="2" t="str">
        <f t="shared" si="9"/>
        <v>Wales</v>
      </c>
    </row>
    <row r="240" spans="1:71" ht="12.3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5"/>
      <c r="P240" s="2"/>
      <c r="Q240" s="2"/>
      <c r="R240" s="2"/>
      <c r="S240" s="2"/>
      <c r="T240" s="2"/>
      <c r="U240" s="2"/>
      <c r="V240" s="2"/>
      <c r="W240" s="2"/>
      <c r="X240" s="2"/>
      <c r="Y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BH240" s="2"/>
      <c r="BI240" s="2"/>
      <c r="BJ240" s="7"/>
      <c r="BK240" s="2"/>
    </row>
    <row r="241" spans="1:63" ht="12.3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5"/>
      <c r="P241" s="2"/>
      <c r="Q241" s="2"/>
      <c r="R241" s="2"/>
      <c r="S241" s="2"/>
      <c r="T241" s="2"/>
      <c r="U241" s="2"/>
      <c r="V241" s="2"/>
      <c r="W241" s="2"/>
      <c r="X241" s="2"/>
      <c r="Y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BH241" s="2"/>
      <c r="BI241" s="2"/>
      <c r="BJ241" s="7"/>
      <c r="BK241" s="2"/>
    </row>
    <row r="242" spans="1:63" ht="12.3" x14ac:dyDescent="0.4">
      <c r="O242" s="5"/>
      <c r="BH242" s="2"/>
      <c r="BI242" s="2"/>
      <c r="BJ242" s="7"/>
      <c r="BK242" s="2"/>
    </row>
    <row r="243" spans="1:63" ht="12.3" x14ac:dyDescent="0.4">
      <c r="O243" s="5"/>
      <c r="BH243" s="2"/>
      <c r="BI243" s="2"/>
      <c r="BJ243" s="7"/>
      <c r="BK243" s="2"/>
    </row>
    <row r="244" spans="1:63" ht="12.3" x14ac:dyDescent="0.4">
      <c r="O244" s="5"/>
      <c r="BH244" s="2"/>
      <c r="BI244" s="2"/>
      <c r="BJ244" s="7"/>
      <c r="BK244" s="2"/>
    </row>
    <row r="245" spans="1:63" ht="12.3" x14ac:dyDescent="0.4">
      <c r="O245" s="5"/>
      <c r="BH245" s="2"/>
      <c r="BI245" s="2"/>
      <c r="BJ245" s="7"/>
      <c r="BK245" s="2"/>
    </row>
    <row r="246" spans="1:63" ht="12.3" x14ac:dyDescent="0.4">
      <c r="O246" s="5"/>
      <c r="BH246" s="2"/>
      <c r="BI246" s="2"/>
      <c r="BJ246" s="7"/>
      <c r="BK246" s="2"/>
    </row>
    <row r="247" spans="1:63" ht="12.3" x14ac:dyDescent="0.4">
      <c r="O247" s="5"/>
      <c r="BH247" s="2"/>
      <c r="BI247" s="2"/>
      <c r="BJ247" s="7"/>
      <c r="BK247" s="2"/>
    </row>
    <row r="248" spans="1:63" ht="12.3" x14ac:dyDescent="0.4">
      <c r="O248" s="5"/>
      <c r="BH248" s="2"/>
      <c r="BI248" s="2"/>
      <c r="BJ248" s="7"/>
      <c r="BK248" s="2"/>
    </row>
    <row r="249" spans="1:63" ht="12.3" x14ac:dyDescent="0.4">
      <c r="O249" s="5"/>
      <c r="BH249" s="2"/>
      <c r="BI249" s="2"/>
      <c r="BJ249" s="7"/>
      <c r="BK249" s="2"/>
    </row>
    <row r="250" spans="1:63" ht="12.3" x14ac:dyDescent="0.4">
      <c r="O250" s="5"/>
      <c r="BH250" s="2"/>
      <c r="BI250" s="2"/>
      <c r="BJ250" s="7"/>
      <c r="BK250" s="2"/>
    </row>
    <row r="251" spans="1:63" ht="12.3" x14ac:dyDescent="0.4">
      <c r="O251" s="5"/>
      <c r="BH251" s="2"/>
      <c r="BI251" s="2"/>
      <c r="BJ251" s="7"/>
      <c r="BK251" s="2"/>
    </row>
    <row r="252" spans="1:63" ht="12.3" x14ac:dyDescent="0.4">
      <c r="O252" s="5"/>
      <c r="BH252" s="2"/>
      <c r="BI252" s="2"/>
      <c r="BJ252" s="7"/>
      <c r="BK252" s="2"/>
    </row>
    <row r="253" spans="1:63" ht="12.3" x14ac:dyDescent="0.4">
      <c r="O253" s="5"/>
      <c r="BH253" s="2"/>
      <c r="BI253" s="2"/>
      <c r="BJ253" s="7"/>
      <c r="BK253" s="2"/>
    </row>
    <row r="254" spans="1:63" ht="12.3" x14ac:dyDescent="0.4">
      <c r="O254" s="5"/>
      <c r="BH254" s="2"/>
      <c r="BI254" s="2"/>
      <c r="BJ254" s="7"/>
      <c r="BK254" s="2"/>
    </row>
    <row r="255" spans="1:63" ht="12.3" x14ac:dyDescent="0.4">
      <c r="O255" s="5"/>
      <c r="BH255" s="2"/>
      <c r="BI255" s="2"/>
      <c r="BJ255" s="7"/>
      <c r="BK255" s="2"/>
    </row>
    <row r="256" spans="1:63" ht="12.3" x14ac:dyDescent="0.4">
      <c r="O256" s="5"/>
      <c r="BH256" s="2"/>
      <c r="BI256" s="2"/>
      <c r="BJ256" s="7"/>
      <c r="BK256" s="2"/>
    </row>
    <row r="257" spans="15:63" ht="12.3" x14ac:dyDescent="0.4">
      <c r="O257" s="5"/>
      <c r="BH257" s="2"/>
      <c r="BI257" s="2"/>
      <c r="BJ257" s="7"/>
      <c r="BK257" s="2"/>
    </row>
    <row r="258" spans="15:63" ht="12.3" x14ac:dyDescent="0.4">
      <c r="O258" s="5"/>
      <c r="BH258" s="2"/>
      <c r="BI258" s="2"/>
      <c r="BJ258" s="7"/>
      <c r="BK258" s="2"/>
    </row>
    <row r="259" spans="15:63" ht="12.3" x14ac:dyDescent="0.4">
      <c r="O259" s="5"/>
      <c r="BH259" s="2"/>
      <c r="BI259" s="2"/>
      <c r="BJ259" s="7"/>
      <c r="BK259" s="2"/>
    </row>
    <row r="260" spans="15:63" ht="12.3" x14ac:dyDescent="0.4">
      <c r="O260" s="5"/>
      <c r="BH260" s="2"/>
      <c r="BI260" s="2"/>
      <c r="BJ260" s="7"/>
      <c r="BK260" s="2"/>
    </row>
    <row r="261" spans="15:63" ht="12.3" x14ac:dyDescent="0.4">
      <c r="O261" s="5"/>
      <c r="BH261" s="2"/>
      <c r="BI261" s="2"/>
      <c r="BJ261" s="7"/>
      <c r="BK261" s="2"/>
    </row>
    <row r="262" spans="15:63" ht="12.3" x14ac:dyDescent="0.4">
      <c r="O262" s="5"/>
      <c r="BH262" s="2"/>
      <c r="BI262" s="2"/>
      <c r="BJ262" s="7"/>
      <c r="BK262" s="2"/>
    </row>
    <row r="263" spans="15:63" ht="12.3" x14ac:dyDescent="0.4">
      <c r="O263" s="5"/>
      <c r="BH263" s="2"/>
      <c r="BI263" s="2"/>
      <c r="BJ263" s="7"/>
      <c r="BK263" s="2"/>
    </row>
    <row r="264" spans="15:63" ht="12.3" x14ac:dyDescent="0.4">
      <c r="O264" s="5"/>
      <c r="BH264" s="2"/>
      <c r="BI264" s="2"/>
      <c r="BJ264" s="7"/>
      <c r="BK264" s="2"/>
    </row>
    <row r="265" spans="15:63" ht="12.3" x14ac:dyDescent="0.4">
      <c r="O265" s="5"/>
      <c r="BH265" s="2"/>
      <c r="BI265" s="2"/>
      <c r="BJ265" s="7"/>
      <c r="BK265" s="2"/>
    </row>
    <row r="266" spans="15:63" ht="12.3" x14ac:dyDescent="0.4">
      <c r="O266" s="5"/>
      <c r="BH266" s="2"/>
      <c r="BI266" s="2"/>
      <c r="BJ266" s="7"/>
      <c r="BK266" s="2"/>
    </row>
    <row r="267" spans="15:63" ht="12.3" x14ac:dyDescent="0.4">
      <c r="O267" s="5"/>
      <c r="BH267" s="2"/>
      <c r="BI267" s="2"/>
      <c r="BJ267" s="7"/>
      <c r="BK267" s="2"/>
    </row>
    <row r="268" spans="15:63" ht="12.3" x14ac:dyDescent="0.4">
      <c r="O268" s="5"/>
      <c r="BH268" s="2"/>
      <c r="BI268" s="2"/>
      <c r="BJ268" s="7"/>
      <c r="BK268" s="2"/>
    </row>
    <row r="269" spans="15:63" ht="12.3" x14ac:dyDescent="0.4">
      <c r="O269" s="5"/>
      <c r="BH269" s="2"/>
      <c r="BI269" s="2"/>
      <c r="BJ269" s="7"/>
      <c r="BK269" s="2"/>
    </row>
    <row r="270" spans="15:63" ht="12.3" x14ac:dyDescent="0.4">
      <c r="O270" s="5"/>
      <c r="BH270" s="2"/>
      <c r="BI270" s="2"/>
      <c r="BJ270" s="7"/>
      <c r="BK270" s="2"/>
    </row>
    <row r="271" spans="15:63" ht="12.3" x14ac:dyDescent="0.4">
      <c r="O271" s="5"/>
      <c r="BH271" s="2"/>
      <c r="BI271" s="2"/>
      <c r="BJ271" s="7"/>
      <c r="BK271" s="2"/>
    </row>
    <row r="272" spans="15:63" ht="12.3" x14ac:dyDescent="0.4">
      <c r="O272" s="5"/>
      <c r="BH272" s="2"/>
      <c r="BI272" s="2"/>
      <c r="BJ272" s="7"/>
      <c r="BK272" s="2"/>
    </row>
    <row r="273" spans="15:63" ht="12.3" x14ac:dyDescent="0.4">
      <c r="O273" s="5"/>
      <c r="BH273" s="2"/>
      <c r="BI273" s="2"/>
      <c r="BJ273" s="7"/>
      <c r="BK273" s="2"/>
    </row>
    <row r="274" spans="15:63" ht="12.3" x14ac:dyDescent="0.4">
      <c r="O274" s="5"/>
      <c r="BH274" s="2"/>
      <c r="BI274" s="2"/>
      <c r="BJ274" s="7"/>
      <c r="BK274" s="2"/>
    </row>
    <row r="275" spans="15:63" ht="12.3" x14ac:dyDescent="0.4">
      <c r="O275" s="5"/>
      <c r="BH275" s="2"/>
      <c r="BI275" s="2"/>
      <c r="BJ275" s="7"/>
      <c r="BK275" s="2"/>
    </row>
    <row r="276" spans="15:63" ht="12.3" x14ac:dyDescent="0.4">
      <c r="O276" s="5"/>
      <c r="BH276" s="2"/>
      <c r="BI276" s="2"/>
      <c r="BJ276" s="7"/>
      <c r="BK276" s="2"/>
    </row>
    <row r="277" spans="15:63" ht="12.3" x14ac:dyDescent="0.4">
      <c r="O277" s="5"/>
      <c r="BH277" s="2"/>
      <c r="BI277" s="2"/>
      <c r="BJ277" s="7"/>
      <c r="BK277" s="2"/>
    </row>
    <row r="278" spans="15:63" ht="12.3" x14ac:dyDescent="0.4">
      <c r="O278" s="5"/>
      <c r="BH278" s="2"/>
      <c r="BI278" s="2"/>
      <c r="BJ278" s="7"/>
      <c r="BK278" s="2"/>
    </row>
    <row r="279" spans="15:63" ht="12.3" x14ac:dyDescent="0.4">
      <c r="O279" s="5"/>
      <c r="BH279" s="2"/>
      <c r="BI279" s="2"/>
      <c r="BJ279" s="7"/>
      <c r="BK279" s="2"/>
    </row>
    <row r="280" spans="15:63" ht="12.3" x14ac:dyDescent="0.4">
      <c r="O280" s="5"/>
      <c r="BH280" s="2"/>
      <c r="BI280" s="2"/>
      <c r="BJ280" s="7"/>
      <c r="BK280" s="2"/>
    </row>
    <row r="281" spans="15:63" ht="12.3" x14ac:dyDescent="0.4">
      <c r="O281" s="5"/>
      <c r="BH281" s="2"/>
      <c r="BI281" s="2"/>
      <c r="BJ281" s="7"/>
      <c r="BK281" s="2"/>
    </row>
    <row r="282" spans="15:63" ht="12.3" x14ac:dyDescent="0.4">
      <c r="O282" s="5"/>
      <c r="BH282" s="2"/>
      <c r="BI282" s="2"/>
      <c r="BJ282" s="7"/>
      <c r="BK282" s="2"/>
    </row>
    <row r="283" spans="15:63" ht="12.3" x14ac:dyDescent="0.4">
      <c r="O283" s="5"/>
      <c r="BH283" s="2"/>
      <c r="BI283" s="2"/>
      <c r="BJ283" s="7"/>
      <c r="BK283" s="2"/>
    </row>
    <row r="284" spans="15:63" ht="12.3" x14ac:dyDescent="0.4">
      <c r="O284" s="5"/>
      <c r="BH284" s="2"/>
      <c r="BI284" s="2"/>
      <c r="BJ284" s="7"/>
      <c r="BK284" s="2"/>
    </row>
    <row r="285" spans="15:63" ht="12.3" x14ac:dyDescent="0.4">
      <c r="O285" s="5"/>
      <c r="BH285" s="2"/>
      <c r="BI285" s="2"/>
      <c r="BJ285" s="7"/>
      <c r="BK285" s="2"/>
    </row>
    <row r="286" spans="15:63" ht="12.3" x14ac:dyDescent="0.4">
      <c r="O286" s="5"/>
      <c r="BH286" s="2"/>
      <c r="BI286" s="2"/>
      <c r="BJ286" s="7"/>
      <c r="BK286" s="2"/>
    </row>
    <row r="287" spans="15:63" ht="12.3" x14ac:dyDescent="0.4">
      <c r="O287" s="5"/>
      <c r="BH287" s="2"/>
      <c r="BI287" s="2"/>
      <c r="BJ287" s="7"/>
      <c r="BK287" s="2"/>
    </row>
    <row r="288" spans="15:63" ht="12.3" x14ac:dyDescent="0.4">
      <c r="O288" s="5"/>
      <c r="BH288" s="2"/>
      <c r="BI288" s="2"/>
      <c r="BJ288" s="7"/>
      <c r="BK288" s="2"/>
    </row>
    <row r="289" spans="15:63" ht="12.3" x14ac:dyDescent="0.4">
      <c r="O289" s="5"/>
      <c r="BH289" s="2"/>
      <c r="BI289" s="2"/>
      <c r="BJ289" s="7"/>
      <c r="BK289" s="2"/>
    </row>
    <row r="290" spans="15:63" ht="12.3" x14ac:dyDescent="0.4">
      <c r="O290" s="5"/>
      <c r="BH290" s="2"/>
      <c r="BI290" s="2"/>
      <c r="BJ290" s="7"/>
      <c r="BK290" s="2"/>
    </row>
    <row r="291" spans="15:63" ht="12.3" x14ac:dyDescent="0.4">
      <c r="O291" s="5"/>
      <c r="BH291" s="2"/>
      <c r="BI291" s="2"/>
      <c r="BJ291" s="7"/>
      <c r="BK291" s="2"/>
    </row>
    <row r="292" spans="15:63" ht="12.3" x14ac:dyDescent="0.4">
      <c r="O292" s="5"/>
      <c r="BH292" s="2"/>
      <c r="BI292" s="2"/>
      <c r="BJ292" s="7"/>
      <c r="BK292" s="2"/>
    </row>
    <row r="293" spans="15:63" ht="12.3" x14ac:dyDescent="0.4">
      <c r="O293" s="5"/>
      <c r="BH293" s="2"/>
      <c r="BI293" s="2"/>
      <c r="BJ293" s="7"/>
      <c r="BK293" s="2"/>
    </row>
    <row r="294" spans="15:63" ht="12.3" x14ac:dyDescent="0.4">
      <c r="O294" s="5"/>
      <c r="BH294" s="2"/>
      <c r="BI294" s="2"/>
      <c r="BJ294" s="7"/>
      <c r="BK294" s="2"/>
    </row>
    <row r="295" spans="15:63" ht="12.3" x14ac:dyDescent="0.4">
      <c r="O295" s="5"/>
      <c r="BH295" s="2"/>
      <c r="BI295" s="2"/>
      <c r="BJ295" s="7"/>
      <c r="BK295" s="2"/>
    </row>
    <row r="296" spans="15:63" ht="12.3" x14ac:dyDescent="0.4">
      <c r="O296" s="5"/>
      <c r="BH296" s="2"/>
      <c r="BI296" s="2"/>
      <c r="BJ296" s="7"/>
      <c r="BK296" s="2"/>
    </row>
    <row r="297" spans="15:63" ht="12.3" x14ac:dyDescent="0.4">
      <c r="O297" s="5"/>
      <c r="BH297" s="2"/>
      <c r="BI297" s="2"/>
      <c r="BJ297" s="7"/>
      <c r="BK297" s="2"/>
    </row>
    <row r="298" spans="15:63" ht="12.3" x14ac:dyDescent="0.4">
      <c r="O298" s="5"/>
      <c r="BH298" s="2"/>
      <c r="BI298" s="2"/>
      <c r="BJ298" s="7"/>
      <c r="BK298" s="2"/>
    </row>
    <row r="299" spans="15:63" ht="12.3" x14ac:dyDescent="0.4">
      <c r="O299" s="5"/>
      <c r="BH299" s="2"/>
      <c r="BI299" s="2"/>
      <c r="BJ299" s="7"/>
      <c r="BK299" s="2"/>
    </row>
    <row r="300" spans="15:63" ht="12.3" x14ac:dyDescent="0.4">
      <c r="O300" s="5"/>
      <c r="BH300" s="2"/>
      <c r="BI300" s="2"/>
      <c r="BJ300" s="7"/>
      <c r="BK300" s="2"/>
    </row>
    <row r="301" spans="15:63" ht="12.3" x14ac:dyDescent="0.4">
      <c r="O301" s="5"/>
      <c r="BH301" s="2"/>
      <c r="BI301" s="2"/>
      <c r="BJ301" s="7"/>
      <c r="BK301" s="2"/>
    </row>
    <row r="302" spans="15:63" ht="12.3" x14ac:dyDescent="0.4">
      <c r="O302" s="5"/>
      <c r="BH302" s="2"/>
      <c r="BI302" s="2"/>
      <c r="BJ302" s="7"/>
      <c r="BK302" s="2"/>
    </row>
    <row r="303" spans="15:63" ht="12.3" x14ac:dyDescent="0.4">
      <c r="O303" s="5"/>
      <c r="BH303" s="2"/>
      <c r="BI303" s="2"/>
      <c r="BJ303" s="7"/>
      <c r="BK303" s="2"/>
    </row>
    <row r="304" spans="15:63" ht="12.3" x14ac:dyDescent="0.4">
      <c r="O304" s="5"/>
      <c r="BH304" s="2"/>
      <c r="BI304" s="2"/>
      <c r="BJ304" s="7"/>
      <c r="BK304" s="2"/>
    </row>
    <row r="305" spans="15:63" ht="12.3" x14ac:dyDescent="0.4">
      <c r="O305" s="5"/>
      <c r="BH305" s="2"/>
      <c r="BI305" s="2"/>
      <c r="BJ305" s="7"/>
      <c r="BK305" s="2"/>
    </row>
    <row r="306" spans="15:63" ht="12.3" x14ac:dyDescent="0.4">
      <c r="O306" s="5"/>
      <c r="BH306" s="2"/>
      <c r="BI306" s="2"/>
      <c r="BJ306" s="7"/>
      <c r="BK306" s="2"/>
    </row>
    <row r="307" spans="15:63" ht="12.3" x14ac:dyDescent="0.4">
      <c r="O307" s="5"/>
      <c r="BH307" s="2"/>
      <c r="BI307" s="2"/>
      <c r="BJ307" s="7"/>
      <c r="BK307" s="2"/>
    </row>
    <row r="308" spans="15:63" ht="12.3" x14ac:dyDescent="0.4">
      <c r="O308" s="5"/>
      <c r="BH308" s="2"/>
      <c r="BI308" s="2"/>
      <c r="BJ308" s="7"/>
      <c r="BK308" s="2"/>
    </row>
    <row r="309" spans="15:63" ht="12.3" x14ac:dyDescent="0.4">
      <c r="O309" s="5"/>
      <c r="BH309" s="2"/>
      <c r="BI309" s="2"/>
      <c r="BJ309" s="7"/>
      <c r="BK309" s="2"/>
    </row>
    <row r="310" spans="15:63" ht="12.3" x14ac:dyDescent="0.4">
      <c r="O310" s="5"/>
      <c r="BH310" s="2"/>
      <c r="BI310" s="2"/>
      <c r="BJ310" s="7"/>
      <c r="BK310" s="2"/>
    </row>
    <row r="311" spans="15:63" ht="12.3" x14ac:dyDescent="0.4">
      <c r="O311" s="5"/>
      <c r="BH311" s="2"/>
      <c r="BI311" s="2"/>
      <c r="BJ311" s="7"/>
      <c r="BK311" s="2"/>
    </row>
    <row r="312" spans="15:63" ht="12.3" x14ac:dyDescent="0.4">
      <c r="O312" s="5"/>
      <c r="BH312" s="2"/>
      <c r="BI312" s="2"/>
      <c r="BJ312" s="7"/>
      <c r="BK312" s="2"/>
    </row>
    <row r="313" spans="15:63" ht="12.3" x14ac:dyDescent="0.4">
      <c r="O313" s="5"/>
      <c r="BH313" s="2"/>
      <c r="BI313" s="2"/>
      <c r="BJ313" s="7"/>
      <c r="BK313" s="2"/>
    </row>
    <row r="314" spans="15:63" ht="12.3" x14ac:dyDescent="0.4">
      <c r="O314" s="5"/>
      <c r="BH314" s="2"/>
      <c r="BI314" s="2"/>
      <c r="BJ314" s="7"/>
      <c r="BK314" s="2"/>
    </row>
    <row r="315" spans="15:63" ht="12.3" x14ac:dyDescent="0.4">
      <c r="O315" s="5"/>
      <c r="BH315" s="2"/>
      <c r="BI315" s="2"/>
      <c r="BJ315" s="7"/>
      <c r="BK315" s="2"/>
    </row>
    <row r="316" spans="15:63" ht="12.3" x14ac:dyDescent="0.4">
      <c r="O316" s="5"/>
      <c r="BH316" s="2"/>
      <c r="BI316" s="2"/>
      <c r="BJ316" s="7"/>
      <c r="BK316" s="2"/>
    </row>
    <row r="317" spans="15:63" ht="12.3" x14ac:dyDescent="0.4">
      <c r="O317" s="5"/>
      <c r="BH317" s="2"/>
      <c r="BI317" s="2"/>
      <c r="BJ317" s="7"/>
      <c r="BK317" s="2"/>
    </row>
    <row r="318" spans="15:63" ht="12.3" x14ac:dyDescent="0.4">
      <c r="O318" s="5"/>
      <c r="BH318" s="2"/>
      <c r="BI318" s="2"/>
      <c r="BJ318" s="7"/>
      <c r="BK318" s="2"/>
    </row>
    <row r="319" spans="15:63" ht="12.3" x14ac:dyDescent="0.4">
      <c r="O319" s="5"/>
      <c r="BH319" s="2"/>
      <c r="BI319" s="2"/>
      <c r="BJ319" s="7"/>
      <c r="BK319" s="2"/>
    </row>
    <row r="320" spans="15:63" ht="12.3" x14ac:dyDescent="0.4">
      <c r="O320" s="5"/>
      <c r="BH320" s="2"/>
      <c r="BI320" s="2"/>
      <c r="BJ320" s="7"/>
      <c r="BK320" s="2"/>
    </row>
    <row r="321" spans="15:63" ht="12.3" x14ac:dyDescent="0.4">
      <c r="O321" s="5"/>
      <c r="BH321" s="2"/>
      <c r="BI321" s="2"/>
      <c r="BJ321" s="7"/>
      <c r="BK321" s="2"/>
    </row>
    <row r="322" spans="15:63" ht="12.3" x14ac:dyDescent="0.4">
      <c r="O322" s="5"/>
      <c r="BH322" s="2"/>
      <c r="BI322" s="2"/>
      <c r="BJ322" s="7"/>
      <c r="BK322" s="2"/>
    </row>
    <row r="323" spans="15:63" ht="12.3" x14ac:dyDescent="0.4">
      <c r="O323" s="5"/>
      <c r="BH323" s="2"/>
      <c r="BI323" s="2"/>
      <c r="BJ323" s="7"/>
      <c r="BK323" s="2"/>
    </row>
    <row r="324" spans="15:63" ht="12.3" x14ac:dyDescent="0.4">
      <c r="O324" s="5"/>
      <c r="BH324" s="2"/>
      <c r="BI324" s="2"/>
      <c r="BJ324" s="7"/>
      <c r="BK324" s="2"/>
    </row>
    <row r="325" spans="15:63" ht="12.3" x14ac:dyDescent="0.4">
      <c r="O325" s="5"/>
      <c r="BH325" s="2"/>
      <c r="BI325" s="2"/>
      <c r="BJ325" s="7"/>
      <c r="BK325" s="2"/>
    </row>
    <row r="326" spans="15:63" ht="12.3" x14ac:dyDescent="0.4">
      <c r="O326" s="5"/>
      <c r="BH326" s="2"/>
      <c r="BI326" s="2"/>
      <c r="BJ326" s="7"/>
      <c r="BK326" s="2"/>
    </row>
    <row r="327" spans="15:63" ht="12.3" x14ac:dyDescent="0.4">
      <c r="O327" s="5"/>
      <c r="BH327" s="2"/>
      <c r="BI327" s="2"/>
      <c r="BJ327" s="7"/>
      <c r="BK327" s="2"/>
    </row>
    <row r="328" spans="15:63" ht="12.3" x14ac:dyDescent="0.4">
      <c r="O328" s="5"/>
      <c r="BH328" s="2"/>
      <c r="BI328" s="2"/>
      <c r="BJ328" s="7"/>
      <c r="BK328" s="2"/>
    </row>
    <row r="329" spans="15:63" ht="12.3" x14ac:dyDescent="0.4">
      <c r="O329" s="5"/>
      <c r="BH329" s="2"/>
      <c r="BI329" s="2"/>
      <c r="BJ329" s="7"/>
      <c r="BK329" s="2"/>
    </row>
    <row r="330" spans="15:63" ht="12.3" x14ac:dyDescent="0.4">
      <c r="O330" s="5"/>
      <c r="BH330" s="2"/>
      <c r="BI330" s="2"/>
      <c r="BJ330" s="7"/>
      <c r="BK330" s="2"/>
    </row>
    <row r="331" spans="15:63" ht="12.3" x14ac:dyDescent="0.4">
      <c r="O331" s="5"/>
      <c r="BH331" s="2"/>
      <c r="BI331" s="2"/>
      <c r="BJ331" s="7"/>
      <c r="BK331" s="2"/>
    </row>
    <row r="332" spans="15:63" ht="12.3" x14ac:dyDescent="0.4">
      <c r="O332" s="5"/>
      <c r="BH332" s="2"/>
      <c r="BI332" s="2"/>
      <c r="BJ332" s="7"/>
      <c r="BK332" s="2"/>
    </row>
    <row r="333" spans="15:63" ht="12.3" x14ac:dyDescent="0.4">
      <c r="O333" s="5"/>
      <c r="BH333" s="2"/>
      <c r="BI333" s="2"/>
      <c r="BJ333" s="7"/>
      <c r="BK333" s="2"/>
    </row>
    <row r="334" spans="15:63" ht="12.3" x14ac:dyDescent="0.4">
      <c r="O334" s="5"/>
      <c r="BH334" s="2"/>
      <c r="BI334" s="2"/>
      <c r="BJ334" s="7"/>
      <c r="BK334" s="2"/>
    </row>
    <row r="335" spans="15:63" ht="12.3" x14ac:dyDescent="0.4">
      <c r="O335" s="5"/>
      <c r="BH335" s="2"/>
      <c r="BI335" s="2"/>
      <c r="BJ335" s="7"/>
      <c r="BK335" s="2"/>
    </row>
    <row r="336" spans="15:63" ht="12.3" x14ac:dyDescent="0.4">
      <c r="O336" s="5"/>
      <c r="BH336" s="2"/>
      <c r="BI336" s="2"/>
      <c r="BJ336" s="7"/>
      <c r="BK336" s="2"/>
    </row>
    <row r="337" spans="15:63" ht="12.3" x14ac:dyDescent="0.4">
      <c r="O337" s="5"/>
      <c r="BH337" s="2"/>
      <c r="BI337" s="2"/>
      <c r="BJ337" s="7"/>
      <c r="BK337" s="2"/>
    </row>
    <row r="338" spans="15:63" ht="12.3" x14ac:dyDescent="0.4">
      <c r="O338" s="5"/>
      <c r="BH338" s="2"/>
      <c r="BI338" s="2"/>
      <c r="BJ338" s="7"/>
      <c r="BK338" s="2"/>
    </row>
    <row r="339" spans="15:63" ht="12.3" x14ac:dyDescent="0.4">
      <c r="O339" s="5"/>
      <c r="BH339" s="2"/>
      <c r="BI339" s="2"/>
      <c r="BJ339" s="7"/>
      <c r="BK339" s="2"/>
    </row>
    <row r="340" spans="15:63" ht="12.3" x14ac:dyDescent="0.4">
      <c r="O340" s="5"/>
      <c r="BH340" s="2"/>
      <c r="BI340" s="2"/>
      <c r="BJ340" s="7"/>
      <c r="BK340" s="2"/>
    </row>
    <row r="341" spans="15:63" ht="12.3" x14ac:dyDescent="0.4">
      <c r="O341" s="5"/>
      <c r="BH341" s="2"/>
      <c r="BI341" s="2"/>
      <c r="BJ341" s="7"/>
      <c r="BK341" s="2"/>
    </row>
    <row r="342" spans="15:63" ht="12.3" x14ac:dyDescent="0.4">
      <c r="O342" s="5"/>
      <c r="BH342" s="2"/>
      <c r="BI342" s="2"/>
      <c r="BJ342" s="7"/>
      <c r="BK342" s="2"/>
    </row>
    <row r="343" spans="15:63" ht="12.3" x14ac:dyDescent="0.4">
      <c r="O343" s="5"/>
      <c r="BH343" s="2"/>
      <c r="BI343" s="2"/>
      <c r="BJ343" s="7"/>
      <c r="BK343" s="2"/>
    </row>
    <row r="344" spans="15:63" ht="12.3" x14ac:dyDescent="0.4">
      <c r="O344" s="5"/>
      <c r="BH344" s="2"/>
      <c r="BI344" s="2"/>
      <c r="BJ344" s="7"/>
      <c r="BK344" s="2"/>
    </row>
    <row r="345" spans="15:63" ht="12.3" x14ac:dyDescent="0.4">
      <c r="O345" s="5"/>
      <c r="BH345" s="2"/>
      <c r="BI345" s="2"/>
      <c r="BJ345" s="7"/>
      <c r="BK345" s="2"/>
    </row>
    <row r="346" spans="15:63" ht="12.3" x14ac:dyDescent="0.4">
      <c r="O346" s="5"/>
      <c r="BH346" s="2"/>
      <c r="BI346" s="2"/>
      <c r="BJ346" s="7"/>
      <c r="BK346" s="2"/>
    </row>
    <row r="347" spans="15:63" ht="12.3" x14ac:dyDescent="0.4">
      <c r="O347" s="5"/>
      <c r="BH347" s="2"/>
      <c r="BI347" s="2"/>
      <c r="BJ347" s="7"/>
      <c r="BK347" s="2"/>
    </row>
    <row r="348" spans="15:63" ht="12.3" x14ac:dyDescent="0.4">
      <c r="O348" s="5"/>
      <c r="BH348" s="2"/>
      <c r="BI348" s="2"/>
      <c r="BJ348" s="7"/>
      <c r="BK348" s="2"/>
    </row>
    <row r="349" spans="15:63" ht="12.3" x14ac:dyDescent="0.4">
      <c r="O349" s="5"/>
      <c r="BH349" s="2"/>
      <c r="BI349" s="2"/>
      <c r="BJ349" s="7"/>
      <c r="BK349" s="2"/>
    </row>
    <row r="350" spans="15:63" ht="12.3" x14ac:dyDescent="0.4">
      <c r="O350" s="5"/>
      <c r="BH350" s="2"/>
      <c r="BI350" s="2"/>
      <c r="BJ350" s="7"/>
      <c r="BK350" s="2"/>
    </row>
    <row r="351" spans="15:63" ht="12.3" x14ac:dyDescent="0.4">
      <c r="O351" s="5"/>
      <c r="BH351" s="2"/>
      <c r="BI351" s="2"/>
      <c r="BJ351" s="7"/>
      <c r="BK351" s="2"/>
    </row>
    <row r="352" spans="15:63" ht="12.3" x14ac:dyDescent="0.4">
      <c r="O352" s="5"/>
      <c r="BH352" s="2"/>
      <c r="BI352" s="2"/>
      <c r="BJ352" s="7"/>
      <c r="BK352" s="2"/>
    </row>
    <row r="353" spans="15:63" ht="12.3" x14ac:dyDescent="0.4">
      <c r="O353" s="5"/>
      <c r="BH353" s="2"/>
      <c r="BI353" s="2"/>
      <c r="BJ353" s="7"/>
      <c r="BK353" s="2"/>
    </row>
    <row r="354" spans="15:63" ht="12.3" x14ac:dyDescent="0.4">
      <c r="O354" s="5"/>
      <c r="BH354" s="2"/>
      <c r="BI354" s="2"/>
      <c r="BJ354" s="7"/>
      <c r="BK354" s="2"/>
    </row>
    <row r="355" spans="15:63" ht="12.3" x14ac:dyDescent="0.4">
      <c r="O355" s="5"/>
      <c r="BH355" s="2"/>
      <c r="BI355" s="2"/>
      <c r="BJ355" s="7"/>
      <c r="BK355" s="2"/>
    </row>
    <row r="356" spans="15:63" ht="12.3" x14ac:dyDescent="0.4">
      <c r="O356" s="5"/>
      <c r="BH356" s="2"/>
      <c r="BI356" s="2"/>
      <c r="BJ356" s="7"/>
      <c r="BK356" s="2"/>
    </row>
    <row r="357" spans="15:63" ht="12.3" x14ac:dyDescent="0.4">
      <c r="O357" s="5"/>
      <c r="BH357" s="2"/>
      <c r="BI357" s="2"/>
      <c r="BJ357" s="7"/>
      <c r="BK357" s="2"/>
    </row>
    <row r="358" spans="15:63" ht="12.3" x14ac:dyDescent="0.4">
      <c r="O358" s="5"/>
      <c r="BH358" s="2"/>
      <c r="BI358" s="2"/>
      <c r="BJ358" s="7"/>
      <c r="BK358" s="2"/>
    </row>
    <row r="359" spans="15:63" ht="12.3" x14ac:dyDescent="0.4">
      <c r="O359" s="5"/>
      <c r="BH359" s="2"/>
      <c r="BI359" s="2"/>
      <c r="BJ359" s="7"/>
      <c r="BK359" s="2"/>
    </row>
    <row r="360" spans="15:63" ht="12.3" x14ac:dyDescent="0.4">
      <c r="O360" s="5"/>
      <c r="BH360" s="2"/>
      <c r="BI360" s="2"/>
      <c r="BJ360" s="7"/>
      <c r="BK360" s="2"/>
    </row>
    <row r="361" spans="15:63" ht="12.3" x14ac:dyDescent="0.4">
      <c r="O361" s="5"/>
      <c r="BH361" s="2"/>
      <c r="BI361" s="2"/>
      <c r="BJ361" s="7"/>
      <c r="BK361" s="2"/>
    </row>
    <row r="362" spans="15:63" ht="12.3" x14ac:dyDescent="0.4">
      <c r="O362" s="5"/>
      <c r="BH362" s="2"/>
      <c r="BI362" s="2"/>
      <c r="BJ362" s="7"/>
      <c r="BK362" s="2"/>
    </row>
    <row r="363" spans="15:63" ht="12.3" x14ac:dyDescent="0.4">
      <c r="O363" s="5"/>
      <c r="BH363" s="2"/>
      <c r="BI363" s="2"/>
      <c r="BJ363" s="7"/>
      <c r="BK363" s="2"/>
    </row>
    <row r="364" spans="15:63" ht="12.3" x14ac:dyDescent="0.4">
      <c r="O364" s="5"/>
      <c r="BH364" s="2"/>
      <c r="BI364" s="2"/>
      <c r="BJ364" s="7"/>
      <c r="BK364" s="2"/>
    </row>
    <row r="365" spans="15:63" ht="12.3" x14ac:dyDescent="0.4">
      <c r="O365" s="5"/>
      <c r="BH365" s="2"/>
      <c r="BI365" s="2"/>
      <c r="BJ365" s="7"/>
      <c r="BK365" s="2"/>
    </row>
    <row r="366" spans="15:63" ht="12.3" x14ac:dyDescent="0.4">
      <c r="O366" s="5"/>
      <c r="BH366" s="2"/>
      <c r="BI366" s="2"/>
      <c r="BJ366" s="7"/>
      <c r="BK366" s="2"/>
    </row>
    <row r="367" spans="15:63" ht="12.3" x14ac:dyDescent="0.4">
      <c r="O367" s="5"/>
      <c r="BH367" s="2"/>
      <c r="BI367" s="2"/>
      <c r="BJ367" s="7"/>
      <c r="BK367" s="2"/>
    </row>
    <row r="368" spans="15:63" ht="12.3" x14ac:dyDescent="0.4">
      <c r="O368" s="5"/>
      <c r="BH368" s="2"/>
      <c r="BI368" s="2"/>
      <c r="BJ368" s="7"/>
      <c r="BK368" s="2"/>
    </row>
    <row r="369" spans="15:63" ht="12.3" x14ac:dyDescent="0.4">
      <c r="O369" s="5"/>
      <c r="BH369" s="2"/>
      <c r="BI369" s="2"/>
      <c r="BJ369" s="7"/>
      <c r="BK369" s="2"/>
    </row>
    <row r="370" spans="15:63" ht="12.3" x14ac:dyDescent="0.4">
      <c r="O370" s="5"/>
      <c r="BH370" s="2"/>
      <c r="BI370" s="2"/>
      <c r="BJ370" s="7"/>
      <c r="BK370" s="2"/>
    </row>
    <row r="371" spans="15:63" ht="12.3" x14ac:dyDescent="0.4">
      <c r="O371" s="5"/>
      <c r="BH371" s="2"/>
      <c r="BI371" s="2"/>
      <c r="BJ371" s="7"/>
      <c r="BK371" s="2"/>
    </row>
    <row r="372" spans="15:63" ht="12.3" x14ac:dyDescent="0.4">
      <c r="O372" s="5"/>
      <c r="BH372" s="2"/>
      <c r="BI372" s="2"/>
      <c r="BJ372" s="7"/>
      <c r="BK372" s="2"/>
    </row>
    <row r="373" spans="15:63" ht="12.3" x14ac:dyDescent="0.4">
      <c r="O373" s="5"/>
      <c r="BH373" s="2"/>
      <c r="BI373" s="2"/>
      <c r="BJ373" s="7"/>
      <c r="BK373" s="2"/>
    </row>
    <row r="374" spans="15:63" ht="12.3" x14ac:dyDescent="0.4">
      <c r="O374" s="5"/>
      <c r="BH374" s="2"/>
      <c r="BI374" s="2"/>
      <c r="BJ374" s="7"/>
      <c r="BK374" s="2"/>
    </row>
    <row r="375" spans="15:63" ht="12.3" x14ac:dyDescent="0.4">
      <c r="O375" s="5"/>
      <c r="BH375" s="2"/>
      <c r="BI375" s="2"/>
      <c r="BJ375" s="7"/>
      <c r="BK375" s="2"/>
    </row>
    <row r="376" spans="15:63" ht="12.3" x14ac:dyDescent="0.4">
      <c r="O376" s="5"/>
      <c r="BH376" s="2"/>
      <c r="BI376" s="2"/>
      <c r="BJ376" s="7"/>
      <c r="BK376" s="2"/>
    </row>
    <row r="377" spans="15:63" ht="12.3" x14ac:dyDescent="0.4">
      <c r="O377" s="5"/>
      <c r="BH377" s="2"/>
      <c r="BI377" s="2"/>
      <c r="BJ377" s="7"/>
      <c r="BK377" s="2"/>
    </row>
    <row r="378" spans="15:63" ht="12.3" x14ac:dyDescent="0.4">
      <c r="O378" s="5"/>
      <c r="BH378" s="2"/>
      <c r="BI378" s="2"/>
      <c r="BJ378" s="7"/>
      <c r="BK378" s="2"/>
    </row>
    <row r="379" spans="15:63" ht="12.3" x14ac:dyDescent="0.4">
      <c r="O379" s="5"/>
      <c r="BH379" s="2"/>
      <c r="BI379" s="2"/>
      <c r="BJ379" s="7"/>
      <c r="BK379" s="2"/>
    </row>
    <row r="380" spans="15:63" ht="12.3" x14ac:dyDescent="0.4">
      <c r="O380" s="5"/>
      <c r="BH380" s="2"/>
      <c r="BI380" s="2"/>
      <c r="BJ380" s="7"/>
      <c r="BK380" s="2"/>
    </row>
    <row r="381" spans="15:63" ht="12.3" x14ac:dyDescent="0.4">
      <c r="O381" s="5"/>
      <c r="BH381" s="2"/>
      <c r="BI381" s="2"/>
      <c r="BJ381" s="7"/>
      <c r="BK381" s="2"/>
    </row>
    <row r="382" spans="15:63" ht="12.3" x14ac:dyDescent="0.4">
      <c r="O382" s="5"/>
      <c r="BH382" s="2"/>
      <c r="BI382" s="2"/>
      <c r="BJ382" s="7"/>
      <c r="BK382" s="2"/>
    </row>
    <row r="383" spans="15:63" ht="12.3" x14ac:dyDescent="0.4">
      <c r="O383" s="5"/>
      <c r="BH383" s="2"/>
      <c r="BI383" s="2"/>
      <c r="BJ383" s="7"/>
      <c r="BK383" s="2"/>
    </row>
    <row r="384" spans="15:63" ht="12.3" x14ac:dyDescent="0.4">
      <c r="O384" s="5"/>
      <c r="BH384" s="2"/>
      <c r="BI384" s="2"/>
      <c r="BJ384" s="7"/>
      <c r="BK384" s="2"/>
    </row>
    <row r="385" spans="15:63" ht="12.3" x14ac:dyDescent="0.4">
      <c r="O385" s="5"/>
      <c r="BH385" s="2"/>
      <c r="BI385" s="2"/>
      <c r="BJ385" s="7"/>
      <c r="BK385" s="2"/>
    </row>
    <row r="386" spans="15:63" ht="12.3" x14ac:dyDescent="0.4">
      <c r="O386" s="5"/>
      <c r="BH386" s="2"/>
      <c r="BI386" s="2"/>
      <c r="BJ386" s="7"/>
      <c r="BK386" s="2"/>
    </row>
    <row r="387" spans="15:63" ht="12.3" x14ac:dyDescent="0.4">
      <c r="O387" s="5"/>
      <c r="BH387" s="2"/>
      <c r="BI387" s="2"/>
      <c r="BJ387" s="7"/>
      <c r="BK387" s="2"/>
    </row>
    <row r="388" spans="15:63" ht="12.3" x14ac:dyDescent="0.4">
      <c r="O388" s="5"/>
      <c r="BH388" s="2"/>
      <c r="BI388" s="2"/>
      <c r="BJ388" s="7"/>
      <c r="BK388" s="2"/>
    </row>
    <row r="389" spans="15:63" ht="12.3" x14ac:dyDescent="0.4">
      <c r="O389" s="5"/>
      <c r="BH389" s="2"/>
      <c r="BI389" s="2"/>
      <c r="BJ389" s="7"/>
      <c r="BK389" s="2"/>
    </row>
    <row r="390" spans="15:63" ht="12.3" x14ac:dyDescent="0.4">
      <c r="O390" s="5"/>
      <c r="BH390" s="2"/>
      <c r="BI390" s="2"/>
      <c r="BJ390" s="7"/>
      <c r="BK390" s="2"/>
    </row>
    <row r="391" spans="15:63" ht="12.3" x14ac:dyDescent="0.4">
      <c r="O391" s="5"/>
      <c r="BH391" s="2"/>
      <c r="BI391" s="2"/>
      <c r="BJ391" s="7"/>
      <c r="BK391" s="2"/>
    </row>
    <row r="392" spans="15:63" ht="12.3" x14ac:dyDescent="0.4">
      <c r="O392" s="5"/>
      <c r="BH392" s="2"/>
      <c r="BI392" s="2"/>
      <c r="BJ392" s="7"/>
      <c r="BK392" s="2"/>
    </row>
    <row r="393" spans="15:63" ht="12.3" x14ac:dyDescent="0.4">
      <c r="O393" s="5"/>
      <c r="BH393" s="2"/>
      <c r="BI393" s="2"/>
      <c r="BJ393" s="7"/>
      <c r="BK393" s="2"/>
    </row>
    <row r="394" spans="15:63" ht="12.3" x14ac:dyDescent="0.4">
      <c r="O394" s="5"/>
      <c r="BH394" s="2"/>
      <c r="BI394" s="2"/>
      <c r="BJ394" s="7"/>
      <c r="BK394" s="2"/>
    </row>
    <row r="395" spans="15:63" ht="12.3" x14ac:dyDescent="0.4">
      <c r="O395" s="5"/>
      <c r="BH395" s="2"/>
      <c r="BI395" s="2"/>
      <c r="BJ395" s="7"/>
      <c r="BK395" s="2"/>
    </row>
    <row r="396" spans="15:63" ht="12.3" x14ac:dyDescent="0.4">
      <c r="O396" s="5"/>
      <c r="BH396" s="2"/>
      <c r="BI396" s="2"/>
      <c r="BJ396" s="7"/>
      <c r="BK396" s="2"/>
    </row>
    <row r="397" spans="15:63" ht="12.3" x14ac:dyDescent="0.4">
      <c r="O397" s="5"/>
      <c r="BH397" s="2"/>
      <c r="BI397" s="2"/>
      <c r="BJ397" s="7"/>
      <c r="BK397" s="2"/>
    </row>
    <row r="398" spans="15:63" ht="12.3" x14ac:dyDescent="0.4">
      <c r="O398" s="5"/>
      <c r="BH398" s="2"/>
      <c r="BI398" s="2"/>
      <c r="BJ398" s="7"/>
      <c r="BK398" s="2"/>
    </row>
    <row r="399" spans="15:63" ht="12.3" x14ac:dyDescent="0.4">
      <c r="O399" s="5"/>
      <c r="BH399" s="2"/>
      <c r="BI399" s="2"/>
      <c r="BJ399" s="7"/>
      <c r="BK399" s="2"/>
    </row>
    <row r="400" spans="15:63" ht="12.3" x14ac:dyDescent="0.4">
      <c r="O400" s="5"/>
      <c r="BH400" s="2"/>
      <c r="BI400" s="2"/>
      <c r="BJ400" s="7"/>
      <c r="BK400" s="2"/>
    </row>
    <row r="401" spans="15:63" ht="12.3" x14ac:dyDescent="0.4">
      <c r="O401" s="5"/>
      <c r="BH401" s="2"/>
      <c r="BI401" s="2"/>
      <c r="BJ401" s="7"/>
      <c r="BK401" s="2"/>
    </row>
    <row r="402" spans="15:63" ht="12.3" x14ac:dyDescent="0.4">
      <c r="O402" s="5"/>
      <c r="BH402" s="2"/>
      <c r="BI402" s="2"/>
      <c r="BJ402" s="7"/>
      <c r="BK402" s="2"/>
    </row>
    <row r="403" spans="15:63" ht="12.3" x14ac:dyDescent="0.4">
      <c r="O403" s="5"/>
      <c r="BH403" s="2"/>
      <c r="BI403" s="2"/>
      <c r="BJ403" s="7"/>
      <c r="BK403" s="2"/>
    </row>
    <row r="404" spans="15:63" ht="12.3" x14ac:dyDescent="0.4">
      <c r="O404" s="5"/>
      <c r="BH404" s="2"/>
      <c r="BI404" s="2"/>
      <c r="BJ404" s="7"/>
      <c r="BK404" s="2"/>
    </row>
    <row r="405" spans="15:63" ht="12.3" x14ac:dyDescent="0.4">
      <c r="O405" s="5"/>
      <c r="BH405" s="2"/>
      <c r="BI405" s="2"/>
      <c r="BJ405" s="7"/>
      <c r="BK405" s="2"/>
    </row>
    <row r="406" spans="15:63" ht="12.3" x14ac:dyDescent="0.4">
      <c r="O406" s="5"/>
      <c r="BH406" s="2"/>
      <c r="BI406" s="2"/>
      <c r="BJ406" s="7"/>
      <c r="BK406" s="2"/>
    </row>
    <row r="407" spans="15:63" ht="12.3" x14ac:dyDescent="0.4">
      <c r="O407" s="5"/>
      <c r="BH407" s="2"/>
      <c r="BI407" s="2"/>
      <c r="BJ407" s="7"/>
      <c r="BK407" s="2"/>
    </row>
    <row r="408" spans="15:63" ht="12.3" x14ac:dyDescent="0.4">
      <c r="O408" s="5"/>
      <c r="BH408" s="2"/>
      <c r="BI408" s="2"/>
      <c r="BJ408" s="7"/>
      <c r="BK408" s="2"/>
    </row>
    <row r="409" spans="15:63" ht="12.3" x14ac:dyDescent="0.4">
      <c r="O409" s="5"/>
      <c r="BH409" s="2"/>
      <c r="BI409" s="2"/>
      <c r="BJ409" s="7"/>
      <c r="BK409" s="2"/>
    </row>
    <row r="410" spans="15:63" ht="12.3" x14ac:dyDescent="0.4">
      <c r="O410" s="5"/>
      <c r="BH410" s="2"/>
      <c r="BI410" s="2"/>
      <c r="BJ410" s="7"/>
      <c r="BK410" s="2"/>
    </row>
    <row r="411" spans="15:63" ht="12.3" x14ac:dyDescent="0.4">
      <c r="O411" s="5"/>
      <c r="BH411" s="2"/>
      <c r="BI411" s="2"/>
      <c r="BJ411" s="7"/>
      <c r="BK411" s="2"/>
    </row>
    <row r="412" spans="15:63" ht="12.3" x14ac:dyDescent="0.4">
      <c r="O412" s="5"/>
      <c r="BH412" s="2"/>
      <c r="BI412" s="2"/>
      <c r="BJ412" s="7"/>
      <c r="BK412" s="2"/>
    </row>
    <row r="413" spans="15:63" ht="12.3" x14ac:dyDescent="0.4">
      <c r="O413" s="5"/>
      <c r="BH413" s="2"/>
      <c r="BI413" s="2"/>
      <c r="BJ413" s="7"/>
      <c r="BK413" s="2"/>
    </row>
    <row r="414" spans="15:63" ht="12.3" x14ac:dyDescent="0.4">
      <c r="O414" s="5"/>
      <c r="BH414" s="2"/>
      <c r="BI414" s="2"/>
      <c r="BJ414" s="7"/>
      <c r="BK414" s="2"/>
    </row>
    <row r="415" spans="15:63" ht="12.3" x14ac:dyDescent="0.4">
      <c r="O415" s="5"/>
      <c r="BH415" s="2"/>
      <c r="BI415" s="2"/>
      <c r="BJ415" s="7"/>
      <c r="BK415" s="2"/>
    </row>
    <row r="416" spans="15:63" ht="12.3" x14ac:dyDescent="0.4">
      <c r="O416" s="5"/>
      <c r="BH416" s="2"/>
      <c r="BI416" s="2"/>
      <c r="BJ416" s="7"/>
      <c r="BK416" s="2"/>
    </row>
    <row r="417" spans="15:63" ht="12.3" x14ac:dyDescent="0.4">
      <c r="O417" s="5"/>
      <c r="BH417" s="2"/>
      <c r="BI417" s="2"/>
      <c r="BJ417" s="7"/>
      <c r="BK417" s="2"/>
    </row>
    <row r="418" spans="15:63" ht="12.3" x14ac:dyDescent="0.4">
      <c r="O418" s="5"/>
      <c r="BH418" s="2"/>
      <c r="BI418" s="2"/>
      <c r="BJ418" s="7"/>
      <c r="BK418" s="2"/>
    </row>
    <row r="419" spans="15:63" ht="12.3" x14ac:dyDescent="0.4">
      <c r="O419" s="5"/>
      <c r="BH419" s="2"/>
      <c r="BI419" s="2"/>
      <c r="BJ419" s="7"/>
      <c r="BK419" s="2"/>
    </row>
    <row r="420" spans="15:63" ht="12.3" x14ac:dyDescent="0.4">
      <c r="O420" s="5"/>
      <c r="BH420" s="2"/>
      <c r="BI420" s="2"/>
      <c r="BJ420" s="7"/>
      <c r="BK420" s="2"/>
    </row>
    <row r="421" spans="15:63" ht="12.3" x14ac:dyDescent="0.4">
      <c r="O421" s="5"/>
      <c r="BH421" s="2"/>
      <c r="BI421" s="2"/>
      <c r="BJ421" s="7"/>
      <c r="BK421" s="2"/>
    </row>
    <row r="422" spans="15:63" ht="12.3" x14ac:dyDescent="0.4">
      <c r="O422" s="5"/>
      <c r="BH422" s="2"/>
      <c r="BI422" s="2"/>
      <c r="BJ422" s="7"/>
      <c r="BK422" s="2"/>
    </row>
    <row r="423" spans="15:63" ht="12.3" x14ac:dyDescent="0.4">
      <c r="O423" s="5"/>
      <c r="BH423" s="2"/>
      <c r="BI423" s="2"/>
      <c r="BJ423" s="7"/>
      <c r="BK423" s="2"/>
    </row>
    <row r="424" spans="15:63" ht="12.3" x14ac:dyDescent="0.4">
      <c r="O424" s="5"/>
      <c r="BH424" s="2"/>
      <c r="BI424" s="2"/>
      <c r="BJ424" s="7"/>
      <c r="BK424" s="2"/>
    </row>
    <row r="425" spans="15:63" ht="12.3" x14ac:dyDescent="0.4">
      <c r="O425" s="5"/>
      <c r="BH425" s="2"/>
      <c r="BI425" s="2"/>
      <c r="BJ425" s="7"/>
      <c r="BK425" s="2"/>
    </row>
    <row r="426" spans="15:63" ht="12.3" x14ac:dyDescent="0.4">
      <c r="O426" s="5"/>
      <c r="BH426" s="2"/>
      <c r="BI426" s="2"/>
      <c r="BJ426" s="7"/>
      <c r="BK426" s="2"/>
    </row>
    <row r="427" spans="15:63" ht="12.3" x14ac:dyDescent="0.4">
      <c r="O427" s="5"/>
      <c r="BH427" s="2"/>
      <c r="BI427" s="2"/>
      <c r="BJ427" s="7"/>
      <c r="BK427" s="2"/>
    </row>
    <row r="428" spans="15:63" ht="12.3" x14ac:dyDescent="0.4">
      <c r="O428" s="5"/>
      <c r="BH428" s="2"/>
      <c r="BI428" s="2"/>
      <c r="BJ428" s="7"/>
      <c r="BK428" s="2"/>
    </row>
    <row r="429" spans="15:63" ht="12.3" x14ac:dyDescent="0.4">
      <c r="O429" s="5"/>
      <c r="BH429" s="2"/>
      <c r="BI429" s="2"/>
      <c r="BJ429" s="7"/>
      <c r="BK429" s="2"/>
    </row>
    <row r="430" spans="15:63" ht="12.3" x14ac:dyDescent="0.4">
      <c r="O430" s="5"/>
      <c r="BH430" s="2"/>
      <c r="BI430" s="2"/>
      <c r="BJ430" s="7"/>
      <c r="BK430" s="2"/>
    </row>
    <row r="431" spans="15:63" ht="12.3" x14ac:dyDescent="0.4">
      <c r="O431" s="5"/>
      <c r="BH431" s="2"/>
      <c r="BI431" s="2"/>
      <c r="BJ431" s="7"/>
      <c r="BK431" s="2"/>
    </row>
    <row r="432" spans="15:63" ht="12.3" x14ac:dyDescent="0.4">
      <c r="O432" s="5"/>
      <c r="BH432" s="2"/>
      <c r="BI432" s="2"/>
      <c r="BJ432" s="7"/>
      <c r="BK432" s="2"/>
    </row>
    <row r="433" spans="15:63" ht="12.3" x14ac:dyDescent="0.4">
      <c r="O433" s="5"/>
      <c r="BH433" s="2"/>
      <c r="BI433" s="2"/>
      <c r="BJ433" s="7"/>
      <c r="BK433" s="2"/>
    </row>
    <row r="434" spans="15:63" ht="12.3" x14ac:dyDescent="0.4">
      <c r="O434" s="5"/>
      <c r="BH434" s="2"/>
      <c r="BI434" s="2"/>
      <c r="BJ434" s="7"/>
      <c r="BK434" s="2"/>
    </row>
    <row r="435" spans="15:63" ht="12.3" x14ac:dyDescent="0.4">
      <c r="O435" s="5"/>
      <c r="BH435" s="2"/>
      <c r="BI435" s="2"/>
      <c r="BJ435" s="7"/>
      <c r="BK435" s="2"/>
    </row>
    <row r="436" spans="15:63" ht="12.3" x14ac:dyDescent="0.4">
      <c r="O436" s="5"/>
      <c r="BH436" s="2"/>
      <c r="BI436" s="2"/>
      <c r="BJ436" s="7"/>
      <c r="BK436" s="2"/>
    </row>
    <row r="437" spans="15:63" ht="12.3" x14ac:dyDescent="0.4">
      <c r="O437" s="5"/>
      <c r="BH437" s="2"/>
      <c r="BI437" s="2"/>
      <c r="BJ437" s="7"/>
      <c r="BK437" s="2"/>
    </row>
    <row r="438" spans="15:63" ht="12.3" x14ac:dyDescent="0.4">
      <c r="O438" s="5"/>
      <c r="BH438" s="2"/>
      <c r="BI438" s="2"/>
      <c r="BJ438" s="7"/>
      <c r="BK438" s="2"/>
    </row>
    <row r="439" spans="15:63" ht="12.3" x14ac:dyDescent="0.4">
      <c r="O439" s="5"/>
      <c r="BH439" s="2"/>
      <c r="BI439" s="2"/>
      <c r="BJ439" s="7"/>
      <c r="BK439" s="2"/>
    </row>
    <row r="440" spans="15:63" ht="12.3" x14ac:dyDescent="0.4">
      <c r="O440" s="5"/>
      <c r="BH440" s="2"/>
      <c r="BI440" s="2"/>
      <c r="BJ440" s="7"/>
      <c r="BK440" s="2"/>
    </row>
    <row r="441" spans="15:63" ht="12.3" x14ac:dyDescent="0.4">
      <c r="O441" s="5"/>
      <c r="BH441" s="2"/>
      <c r="BI441" s="2"/>
      <c r="BJ441" s="7"/>
      <c r="BK441" s="2"/>
    </row>
    <row r="442" spans="15:63" ht="12.3" x14ac:dyDescent="0.4">
      <c r="O442" s="5"/>
      <c r="BH442" s="2"/>
      <c r="BI442" s="2"/>
      <c r="BJ442" s="7"/>
      <c r="BK442" s="2"/>
    </row>
    <row r="443" spans="15:63" ht="12.3" x14ac:dyDescent="0.4">
      <c r="O443" s="5"/>
      <c r="BH443" s="2"/>
      <c r="BI443" s="2"/>
      <c r="BJ443" s="7"/>
      <c r="BK443" s="2"/>
    </row>
    <row r="444" spans="15:63" ht="12.3" x14ac:dyDescent="0.4">
      <c r="O444" s="5"/>
      <c r="BH444" s="2"/>
      <c r="BI444" s="2"/>
      <c r="BJ444" s="7"/>
      <c r="BK444" s="2"/>
    </row>
    <row r="445" spans="15:63" ht="12.3" x14ac:dyDescent="0.4">
      <c r="O445" s="5"/>
      <c r="BH445" s="2"/>
      <c r="BI445" s="2"/>
      <c r="BJ445" s="7"/>
      <c r="BK445" s="2"/>
    </row>
    <row r="446" spans="15:63" ht="12.3" x14ac:dyDescent="0.4">
      <c r="O446" s="5"/>
      <c r="BH446" s="2"/>
      <c r="BI446" s="2"/>
      <c r="BJ446" s="7"/>
      <c r="BK446" s="2"/>
    </row>
    <row r="447" spans="15:63" ht="12.3" x14ac:dyDescent="0.4">
      <c r="O447" s="5"/>
      <c r="BH447" s="2"/>
      <c r="BI447" s="2"/>
      <c r="BJ447" s="7"/>
      <c r="BK447" s="2"/>
    </row>
    <row r="448" spans="15:63" ht="12.3" x14ac:dyDescent="0.4">
      <c r="O448" s="5"/>
      <c r="BH448" s="2"/>
      <c r="BI448" s="2"/>
      <c r="BJ448" s="7"/>
      <c r="BK448" s="2"/>
    </row>
    <row r="449" spans="15:63" ht="12.3" x14ac:dyDescent="0.4">
      <c r="O449" s="5"/>
      <c r="BH449" s="2"/>
      <c r="BI449" s="2"/>
      <c r="BJ449" s="7"/>
      <c r="BK449" s="2"/>
    </row>
    <row r="450" spans="15:63" ht="12.3" x14ac:dyDescent="0.4">
      <c r="O450" s="5"/>
      <c r="BH450" s="2"/>
      <c r="BI450" s="2"/>
      <c r="BJ450" s="7"/>
      <c r="BK450" s="2"/>
    </row>
    <row r="451" spans="15:63" ht="12.3" x14ac:dyDescent="0.4">
      <c r="O451" s="5"/>
      <c r="BH451" s="2"/>
      <c r="BI451" s="2"/>
      <c r="BJ451" s="7"/>
      <c r="BK451" s="2"/>
    </row>
    <row r="452" spans="15:63" ht="12.3" x14ac:dyDescent="0.4">
      <c r="O452" s="5"/>
      <c r="BH452" s="2"/>
      <c r="BI452" s="2"/>
      <c r="BJ452" s="7"/>
      <c r="BK452" s="2"/>
    </row>
    <row r="453" spans="15:63" ht="12.3" x14ac:dyDescent="0.4">
      <c r="O453" s="5"/>
      <c r="BH453" s="2"/>
      <c r="BI453" s="2"/>
      <c r="BJ453" s="7"/>
      <c r="BK453" s="2"/>
    </row>
    <row r="454" spans="15:63" ht="12.3" x14ac:dyDescent="0.4">
      <c r="O454" s="5"/>
      <c r="BH454" s="2"/>
      <c r="BI454" s="2"/>
      <c r="BJ454" s="7"/>
      <c r="BK454" s="2"/>
    </row>
    <row r="455" spans="15:63" ht="12.3" x14ac:dyDescent="0.4">
      <c r="O455" s="5"/>
      <c r="BH455" s="2"/>
      <c r="BI455" s="2"/>
      <c r="BJ455" s="7"/>
      <c r="BK455" s="2"/>
    </row>
    <row r="456" spans="15:63" ht="12.3" x14ac:dyDescent="0.4">
      <c r="O456" s="5"/>
      <c r="BH456" s="2"/>
      <c r="BI456" s="2"/>
      <c r="BJ456" s="7"/>
      <c r="BK456" s="2"/>
    </row>
    <row r="457" spans="15:63" ht="12.3" x14ac:dyDescent="0.4">
      <c r="O457" s="5"/>
      <c r="BH457" s="2"/>
      <c r="BI457" s="2"/>
      <c r="BJ457" s="7"/>
      <c r="BK457" s="2"/>
    </row>
    <row r="458" spans="15:63" ht="12.3" x14ac:dyDescent="0.4">
      <c r="O458" s="5"/>
      <c r="BH458" s="2"/>
      <c r="BI458" s="2"/>
      <c r="BJ458" s="7"/>
      <c r="BK458" s="2"/>
    </row>
    <row r="459" spans="15:63" ht="12.3" x14ac:dyDescent="0.4">
      <c r="O459" s="5"/>
      <c r="BH459" s="2"/>
      <c r="BI459" s="2"/>
      <c r="BJ459" s="7"/>
      <c r="BK459" s="2"/>
    </row>
    <row r="460" spans="15:63" ht="12.3" x14ac:dyDescent="0.4">
      <c r="O460" s="5"/>
      <c r="BH460" s="2"/>
      <c r="BI460" s="2"/>
      <c r="BJ460" s="7"/>
      <c r="BK460" s="2"/>
    </row>
    <row r="461" spans="15:63" ht="12.3" x14ac:dyDescent="0.4">
      <c r="O461" s="5"/>
      <c r="BH461" s="2"/>
      <c r="BI461" s="2"/>
      <c r="BJ461" s="7"/>
      <c r="BK461" s="2"/>
    </row>
    <row r="462" spans="15:63" ht="12.3" x14ac:dyDescent="0.4">
      <c r="O462" s="5"/>
      <c r="BH462" s="2"/>
      <c r="BI462" s="2"/>
      <c r="BJ462" s="7"/>
      <c r="BK462" s="2"/>
    </row>
    <row r="463" spans="15:63" ht="12.3" x14ac:dyDescent="0.4">
      <c r="O463" s="5"/>
      <c r="BH463" s="2"/>
      <c r="BI463" s="2"/>
      <c r="BJ463" s="7"/>
      <c r="BK463" s="2"/>
    </row>
    <row r="464" spans="15:63" ht="12.3" x14ac:dyDescent="0.4">
      <c r="O464" s="5"/>
      <c r="BH464" s="2"/>
      <c r="BI464" s="2"/>
      <c r="BJ464" s="7"/>
      <c r="BK464" s="2"/>
    </row>
    <row r="465" spans="15:63" ht="12.3" x14ac:dyDescent="0.4">
      <c r="O465" s="5"/>
      <c r="BH465" s="2"/>
      <c r="BI465" s="2"/>
      <c r="BJ465" s="7"/>
      <c r="BK465" s="2"/>
    </row>
    <row r="466" spans="15:63" ht="12.3" x14ac:dyDescent="0.4">
      <c r="O466" s="5"/>
      <c r="BH466" s="2"/>
      <c r="BI466" s="2"/>
      <c r="BJ466" s="7"/>
      <c r="BK466" s="2"/>
    </row>
    <row r="467" spans="15:63" ht="12.3" x14ac:dyDescent="0.4">
      <c r="O467" s="5"/>
      <c r="BH467" s="2"/>
      <c r="BI467" s="2"/>
      <c r="BJ467" s="7"/>
      <c r="BK467" s="2"/>
    </row>
    <row r="468" spans="15:63" ht="12.3" x14ac:dyDescent="0.4">
      <c r="O468" s="5"/>
      <c r="BH468" s="2"/>
      <c r="BI468" s="2"/>
      <c r="BJ468" s="7"/>
      <c r="BK468" s="2"/>
    </row>
    <row r="469" spans="15:63" ht="12.3" x14ac:dyDescent="0.4">
      <c r="O469" s="5"/>
      <c r="BH469" s="2"/>
      <c r="BI469" s="2"/>
      <c r="BJ469" s="7"/>
      <c r="BK469" s="2"/>
    </row>
    <row r="470" spans="15:63" ht="12.3" x14ac:dyDescent="0.4">
      <c r="O470" s="5"/>
      <c r="BH470" s="2"/>
      <c r="BI470" s="2"/>
      <c r="BJ470" s="7"/>
      <c r="BK470" s="2"/>
    </row>
    <row r="471" spans="15:63" ht="12.3" x14ac:dyDescent="0.4">
      <c r="O471" s="5"/>
      <c r="BH471" s="2"/>
      <c r="BI471" s="2"/>
      <c r="BJ471" s="7"/>
      <c r="BK471" s="2"/>
    </row>
    <row r="472" spans="15:63" ht="12.3" x14ac:dyDescent="0.4">
      <c r="O472" s="5"/>
      <c r="BH472" s="2"/>
      <c r="BI472" s="2"/>
      <c r="BJ472" s="7"/>
      <c r="BK472" s="2"/>
    </row>
    <row r="473" spans="15:63" ht="12.3" x14ac:dyDescent="0.4">
      <c r="O473" s="5"/>
      <c r="BH473" s="2"/>
      <c r="BI473" s="2"/>
      <c r="BJ473" s="7"/>
      <c r="BK473" s="2"/>
    </row>
    <row r="474" spans="15:63" ht="12.3" x14ac:dyDescent="0.4">
      <c r="O474" s="5"/>
      <c r="BH474" s="2"/>
      <c r="BI474" s="2"/>
      <c r="BJ474" s="7"/>
      <c r="BK474" s="2"/>
    </row>
    <row r="475" spans="15:63" ht="12.3" x14ac:dyDescent="0.4">
      <c r="O475" s="5"/>
      <c r="BH475" s="2"/>
      <c r="BI475" s="2"/>
      <c r="BJ475" s="7"/>
      <c r="BK475" s="2"/>
    </row>
    <row r="476" spans="15:63" ht="12.3" x14ac:dyDescent="0.4">
      <c r="O476" s="5"/>
      <c r="BH476" s="2"/>
      <c r="BI476" s="2"/>
      <c r="BJ476" s="7"/>
      <c r="BK476" s="2"/>
    </row>
    <row r="477" spans="15:63" ht="12.3" x14ac:dyDescent="0.4">
      <c r="O477" s="5"/>
      <c r="BH477" s="2"/>
      <c r="BI477" s="2"/>
      <c r="BJ477" s="7"/>
      <c r="BK477" s="2"/>
    </row>
    <row r="478" spans="15:63" ht="12.3" x14ac:dyDescent="0.4">
      <c r="O478" s="5"/>
      <c r="BH478" s="2"/>
      <c r="BI478" s="2"/>
      <c r="BJ478" s="7"/>
      <c r="BK478" s="2"/>
    </row>
    <row r="479" spans="15:63" ht="12.3" x14ac:dyDescent="0.4">
      <c r="O479" s="5"/>
      <c r="BH479" s="2"/>
      <c r="BI479" s="2"/>
      <c r="BJ479" s="7"/>
      <c r="BK479" s="2"/>
    </row>
    <row r="480" spans="15:63" ht="12.3" x14ac:dyDescent="0.4">
      <c r="O480" s="5"/>
      <c r="BH480" s="2"/>
      <c r="BI480" s="2"/>
      <c r="BJ480" s="7"/>
      <c r="BK480" s="2"/>
    </row>
    <row r="481" spans="15:63" ht="12.3" x14ac:dyDescent="0.4">
      <c r="O481" s="5"/>
      <c r="BH481" s="2"/>
      <c r="BI481" s="2"/>
      <c r="BJ481" s="7"/>
      <c r="BK481" s="2"/>
    </row>
    <row r="482" spans="15:63" ht="12.3" x14ac:dyDescent="0.4">
      <c r="O482" s="5"/>
      <c r="BH482" s="2"/>
      <c r="BI482" s="2"/>
      <c r="BJ482" s="7"/>
      <c r="BK482" s="2"/>
    </row>
    <row r="483" spans="15:63" ht="12.3" x14ac:dyDescent="0.4">
      <c r="O483" s="5"/>
      <c r="BH483" s="2"/>
      <c r="BI483" s="2"/>
      <c r="BJ483" s="7"/>
      <c r="BK483" s="2"/>
    </row>
    <row r="484" spans="15:63" ht="12.3" x14ac:dyDescent="0.4">
      <c r="O484" s="5"/>
      <c r="BH484" s="2"/>
      <c r="BI484" s="2"/>
      <c r="BJ484" s="7"/>
      <c r="BK484" s="2"/>
    </row>
    <row r="485" spans="15:63" ht="12.3" x14ac:dyDescent="0.4">
      <c r="O485" s="5"/>
      <c r="BH485" s="2"/>
      <c r="BI485" s="2"/>
      <c r="BJ485" s="7"/>
      <c r="BK485" s="2"/>
    </row>
    <row r="486" spans="15:63" ht="12.3" x14ac:dyDescent="0.4">
      <c r="O486" s="5"/>
      <c r="BH486" s="2"/>
      <c r="BI486" s="2"/>
      <c r="BJ486" s="7"/>
      <c r="BK486" s="2"/>
    </row>
    <row r="487" spans="15:63" ht="12.3" x14ac:dyDescent="0.4">
      <c r="O487" s="5"/>
      <c r="BH487" s="2"/>
      <c r="BI487" s="2"/>
      <c r="BJ487" s="7"/>
      <c r="BK487" s="2"/>
    </row>
    <row r="488" spans="15:63" ht="12.3" x14ac:dyDescent="0.4">
      <c r="O488" s="5"/>
      <c r="BH488" s="2"/>
      <c r="BI488" s="2"/>
      <c r="BJ488" s="7"/>
      <c r="BK488" s="2"/>
    </row>
    <row r="489" spans="15:63" ht="12.3" x14ac:dyDescent="0.4">
      <c r="O489" s="5"/>
      <c r="BH489" s="2"/>
      <c r="BI489" s="2"/>
      <c r="BJ489" s="7"/>
      <c r="BK489" s="2"/>
    </row>
    <row r="490" spans="15:63" ht="12.3" x14ac:dyDescent="0.4">
      <c r="O490" s="5"/>
      <c r="BH490" s="2"/>
      <c r="BI490" s="2"/>
      <c r="BJ490" s="7"/>
      <c r="BK490" s="2"/>
    </row>
    <row r="491" spans="15:63" ht="12.3" x14ac:dyDescent="0.4">
      <c r="O491" s="5"/>
      <c r="BH491" s="2"/>
      <c r="BI491" s="2"/>
      <c r="BJ491" s="7"/>
      <c r="BK491" s="2"/>
    </row>
    <row r="492" spans="15:63" ht="12.3" x14ac:dyDescent="0.4">
      <c r="O492" s="5"/>
      <c r="BH492" s="2"/>
      <c r="BI492" s="2"/>
      <c r="BJ492" s="7"/>
      <c r="BK492" s="2"/>
    </row>
    <row r="493" spans="15:63" ht="12.3" x14ac:dyDescent="0.4">
      <c r="O493" s="5"/>
      <c r="BH493" s="2"/>
      <c r="BI493" s="2"/>
      <c r="BJ493" s="7"/>
      <c r="BK493" s="2"/>
    </row>
    <row r="494" spans="15:63" ht="12.3" x14ac:dyDescent="0.4">
      <c r="O494" s="5"/>
      <c r="BH494" s="2"/>
      <c r="BI494" s="2"/>
      <c r="BJ494" s="7"/>
      <c r="BK494" s="2"/>
    </row>
    <row r="495" spans="15:63" ht="12.3" x14ac:dyDescent="0.4">
      <c r="O495" s="5"/>
      <c r="BH495" s="2"/>
      <c r="BI495" s="2"/>
      <c r="BJ495" s="7"/>
      <c r="BK495" s="2"/>
    </row>
    <row r="496" spans="15:63" ht="12.3" x14ac:dyDescent="0.4">
      <c r="O496" s="5"/>
      <c r="BH496" s="2"/>
      <c r="BI496" s="2"/>
      <c r="BJ496" s="7"/>
      <c r="BK496" s="2"/>
    </row>
    <row r="497" spans="15:63" ht="12.3" x14ac:dyDescent="0.4">
      <c r="O497" s="5"/>
      <c r="BH497" s="2"/>
      <c r="BI497" s="2"/>
      <c r="BJ497" s="7"/>
      <c r="BK497" s="2"/>
    </row>
    <row r="498" spans="15:63" ht="12.3" x14ac:dyDescent="0.4">
      <c r="O498" s="5"/>
      <c r="BH498" s="2"/>
      <c r="BI498" s="2"/>
      <c r="BJ498" s="7"/>
      <c r="BK498" s="2"/>
    </row>
    <row r="499" spans="15:63" ht="12.3" x14ac:dyDescent="0.4">
      <c r="O499" s="5"/>
      <c r="BH499" s="2"/>
      <c r="BI499" s="2"/>
      <c r="BJ499" s="7"/>
      <c r="BK499" s="2"/>
    </row>
    <row r="500" spans="15:63" ht="12.3" x14ac:dyDescent="0.4">
      <c r="O500" s="5"/>
      <c r="BH500" s="2"/>
      <c r="BI500" s="2"/>
      <c r="BJ500" s="7"/>
      <c r="BK500" s="2"/>
    </row>
    <row r="501" spans="15:63" ht="12.3" x14ac:dyDescent="0.4">
      <c r="O501" s="5"/>
      <c r="BH501" s="2"/>
      <c r="BI501" s="2"/>
      <c r="BJ501" s="7"/>
      <c r="BK501" s="2"/>
    </row>
    <row r="502" spans="15:63" ht="12.3" x14ac:dyDescent="0.4">
      <c r="O502" s="5"/>
      <c r="BH502" s="2"/>
      <c r="BI502" s="2"/>
      <c r="BJ502" s="7"/>
      <c r="BK502" s="2"/>
    </row>
    <row r="503" spans="15:63" ht="12.3" x14ac:dyDescent="0.4">
      <c r="O503" s="5"/>
      <c r="BH503" s="2"/>
      <c r="BI503" s="2"/>
      <c r="BJ503" s="7"/>
      <c r="BK503" s="2"/>
    </row>
    <row r="504" spans="15:63" ht="12.3" x14ac:dyDescent="0.4">
      <c r="O504" s="5"/>
      <c r="BH504" s="2"/>
      <c r="BI504" s="2"/>
      <c r="BJ504" s="7"/>
      <c r="BK504" s="2"/>
    </row>
    <row r="505" spans="15:63" ht="12.3" x14ac:dyDescent="0.4">
      <c r="O505" s="5"/>
      <c r="BH505" s="2"/>
      <c r="BI505" s="2"/>
      <c r="BJ505" s="7"/>
      <c r="BK505" s="2"/>
    </row>
    <row r="506" spans="15:63" ht="12.3" x14ac:dyDescent="0.4">
      <c r="O506" s="5"/>
      <c r="BH506" s="2"/>
      <c r="BI506" s="2"/>
      <c r="BJ506" s="7"/>
      <c r="BK506" s="2"/>
    </row>
    <row r="507" spans="15:63" ht="12.3" x14ac:dyDescent="0.4">
      <c r="O507" s="5"/>
      <c r="BH507" s="2"/>
      <c r="BI507" s="2"/>
      <c r="BJ507" s="7"/>
      <c r="BK507" s="2"/>
    </row>
    <row r="508" spans="15:63" ht="12.3" x14ac:dyDescent="0.4">
      <c r="O508" s="5"/>
      <c r="BH508" s="2"/>
      <c r="BI508" s="2"/>
      <c r="BJ508" s="7"/>
      <c r="BK508" s="2"/>
    </row>
    <row r="509" spans="15:63" ht="12.3" x14ac:dyDescent="0.4">
      <c r="O509" s="5"/>
      <c r="BH509" s="2"/>
      <c r="BI509" s="2"/>
      <c r="BJ509" s="7"/>
      <c r="BK509" s="2"/>
    </row>
    <row r="510" spans="15:63" ht="12.3" x14ac:dyDescent="0.4">
      <c r="O510" s="5"/>
      <c r="BH510" s="2"/>
      <c r="BI510" s="2"/>
      <c r="BJ510" s="7"/>
      <c r="BK510" s="2"/>
    </row>
    <row r="511" spans="15:63" ht="12.3" x14ac:dyDescent="0.4">
      <c r="O511" s="5"/>
      <c r="BH511" s="2"/>
      <c r="BI511" s="2"/>
      <c r="BJ511" s="7"/>
      <c r="BK511" s="2"/>
    </row>
    <row r="512" spans="15:63" ht="12.3" x14ac:dyDescent="0.4">
      <c r="O512" s="5"/>
      <c r="BH512" s="2"/>
      <c r="BI512" s="2"/>
      <c r="BJ512" s="7"/>
      <c r="BK512" s="2"/>
    </row>
    <row r="513" spans="15:63" ht="12.3" x14ac:dyDescent="0.4">
      <c r="O513" s="5"/>
      <c r="BH513" s="2"/>
      <c r="BI513" s="2"/>
      <c r="BJ513" s="7"/>
      <c r="BK513" s="2"/>
    </row>
    <row r="514" spans="15:63" ht="12.3" x14ac:dyDescent="0.4">
      <c r="O514" s="5"/>
      <c r="BH514" s="2"/>
      <c r="BI514" s="2"/>
      <c r="BJ514" s="7"/>
      <c r="BK514" s="2"/>
    </row>
    <row r="515" spans="15:63" ht="12.3" x14ac:dyDescent="0.4">
      <c r="O515" s="5"/>
      <c r="BH515" s="2"/>
      <c r="BI515" s="2"/>
      <c r="BJ515" s="7"/>
      <c r="BK515" s="2"/>
    </row>
    <row r="516" spans="15:63" ht="12.3" x14ac:dyDescent="0.4">
      <c r="O516" s="5"/>
      <c r="BH516" s="2"/>
      <c r="BI516" s="2"/>
      <c r="BJ516" s="7"/>
      <c r="BK516" s="2"/>
    </row>
    <row r="517" spans="15:63" ht="12.3" x14ac:dyDescent="0.4">
      <c r="O517" s="5"/>
      <c r="BH517" s="2"/>
      <c r="BI517" s="2"/>
      <c r="BJ517" s="7"/>
      <c r="BK517" s="2"/>
    </row>
    <row r="518" spans="15:63" ht="12.3" x14ac:dyDescent="0.4">
      <c r="O518" s="5"/>
      <c r="BH518" s="2"/>
      <c r="BI518" s="2"/>
      <c r="BJ518" s="7"/>
      <c r="BK518" s="2"/>
    </row>
    <row r="519" spans="15:63" ht="12.3" x14ac:dyDescent="0.4">
      <c r="O519" s="5"/>
      <c r="BH519" s="2"/>
      <c r="BI519" s="2"/>
      <c r="BJ519" s="7"/>
      <c r="BK519" s="2"/>
    </row>
    <row r="520" spans="15:63" ht="12.3" x14ac:dyDescent="0.4">
      <c r="O520" s="5"/>
      <c r="BH520" s="2"/>
      <c r="BI520" s="2"/>
      <c r="BJ520" s="7"/>
      <c r="BK520" s="2"/>
    </row>
    <row r="521" spans="15:63" ht="12.3" x14ac:dyDescent="0.4">
      <c r="O521" s="5"/>
      <c r="BH521" s="2"/>
      <c r="BI521" s="2"/>
      <c r="BJ521" s="7"/>
      <c r="BK521" s="2"/>
    </row>
    <row r="522" spans="15:63" ht="12.3" x14ac:dyDescent="0.4">
      <c r="O522" s="5"/>
      <c r="BH522" s="2"/>
      <c r="BI522" s="2"/>
      <c r="BJ522" s="7"/>
      <c r="BK522" s="2"/>
    </row>
    <row r="523" spans="15:63" ht="12.3" x14ac:dyDescent="0.4">
      <c r="O523" s="5"/>
      <c r="BH523" s="2"/>
      <c r="BI523" s="2"/>
      <c r="BJ523" s="7"/>
      <c r="BK523" s="2"/>
    </row>
    <row r="524" spans="15:63" ht="12.3" x14ac:dyDescent="0.4">
      <c r="O524" s="5"/>
      <c r="BH524" s="2"/>
      <c r="BI524" s="2"/>
      <c r="BJ524" s="7"/>
      <c r="BK524" s="2"/>
    </row>
    <row r="525" spans="15:63" ht="12.3" x14ac:dyDescent="0.4">
      <c r="O525" s="5"/>
      <c r="BH525" s="2"/>
      <c r="BI525" s="2"/>
      <c r="BJ525" s="7"/>
      <c r="BK525" s="2"/>
    </row>
    <row r="526" spans="15:63" ht="12.3" x14ac:dyDescent="0.4">
      <c r="O526" s="5"/>
      <c r="BH526" s="2"/>
      <c r="BI526" s="2"/>
      <c r="BJ526" s="7"/>
      <c r="BK526" s="2"/>
    </row>
    <row r="527" spans="15:63" ht="12.3" x14ac:dyDescent="0.4">
      <c r="O527" s="5"/>
      <c r="BH527" s="2"/>
      <c r="BI527" s="2"/>
      <c r="BJ527" s="7"/>
      <c r="BK527" s="2"/>
    </row>
    <row r="528" spans="15:63" ht="12.3" x14ac:dyDescent="0.4">
      <c r="O528" s="5"/>
      <c r="BH528" s="2"/>
      <c r="BI528" s="2"/>
      <c r="BJ528" s="7"/>
      <c r="BK528" s="2"/>
    </row>
    <row r="529" spans="15:63" ht="12.3" x14ac:dyDescent="0.4">
      <c r="O529" s="5"/>
      <c r="BH529" s="2"/>
      <c r="BI529" s="2"/>
      <c r="BJ529" s="7"/>
      <c r="BK529" s="2"/>
    </row>
    <row r="530" spans="15:63" ht="12.3" x14ac:dyDescent="0.4">
      <c r="O530" s="5"/>
      <c r="BH530" s="2"/>
      <c r="BI530" s="2"/>
      <c r="BJ530" s="7"/>
      <c r="BK530" s="2"/>
    </row>
    <row r="531" spans="15:63" ht="12.3" x14ac:dyDescent="0.4">
      <c r="O531" s="5"/>
      <c r="BH531" s="2"/>
      <c r="BI531" s="2"/>
      <c r="BJ531" s="7"/>
      <c r="BK531" s="2"/>
    </row>
    <row r="532" spans="15:63" ht="12.3" x14ac:dyDescent="0.4">
      <c r="O532" s="5"/>
      <c r="BH532" s="2"/>
      <c r="BI532" s="2"/>
      <c r="BJ532" s="7"/>
      <c r="BK532" s="2"/>
    </row>
    <row r="533" spans="15:63" ht="12.3" x14ac:dyDescent="0.4">
      <c r="O533" s="5"/>
      <c r="BH533" s="2"/>
      <c r="BI533" s="2"/>
      <c r="BJ533" s="7"/>
      <c r="BK533" s="2"/>
    </row>
    <row r="534" spans="15:63" ht="12.3" x14ac:dyDescent="0.4">
      <c r="O534" s="5"/>
      <c r="BH534" s="2"/>
      <c r="BI534" s="2"/>
      <c r="BJ534" s="7"/>
      <c r="BK534" s="2"/>
    </row>
    <row r="535" spans="15:63" ht="12.3" x14ac:dyDescent="0.4">
      <c r="O535" s="5"/>
      <c r="BH535" s="2"/>
      <c r="BI535" s="2"/>
      <c r="BJ535" s="7"/>
      <c r="BK535" s="2"/>
    </row>
    <row r="536" spans="15:63" ht="12.3" x14ac:dyDescent="0.4">
      <c r="O536" s="5"/>
      <c r="BH536" s="2"/>
      <c r="BI536" s="2"/>
      <c r="BJ536" s="7"/>
      <c r="BK536" s="2"/>
    </row>
    <row r="537" spans="15:63" ht="12.3" x14ac:dyDescent="0.4">
      <c r="O537" s="5"/>
      <c r="BH537" s="2"/>
      <c r="BI537" s="2"/>
      <c r="BJ537" s="7"/>
      <c r="BK537" s="2"/>
    </row>
    <row r="538" spans="15:63" ht="12.3" x14ac:dyDescent="0.4">
      <c r="O538" s="5"/>
      <c r="BH538" s="2"/>
      <c r="BI538" s="2"/>
      <c r="BJ538" s="7"/>
      <c r="BK538" s="2"/>
    </row>
    <row r="539" spans="15:63" ht="12.3" x14ac:dyDescent="0.4">
      <c r="O539" s="5"/>
      <c r="BH539" s="2"/>
      <c r="BI539" s="2"/>
      <c r="BJ539" s="7"/>
      <c r="BK539" s="2"/>
    </row>
    <row r="540" spans="15:63" ht="12.3" x14ac:dyDescent="0.4">
      <c r="O540" s="5"/>
      <c r="BH540" s="2"/>
      <c r="BI540" s="2"/>
      <c r="BJ540" s="7"/>
      <c r="BK540" s="2"/>
    </row>
    <row r="541" spans="15:63" ht="12.3" x14ac:dyDescent="0.4">
      <c r="O541" s="5"/>
      <c r="BH541" s="2"/>
      <c r="BI541" s="2"/>
      <c r="BJ541" s="7"/>
      <c r="BK541" s="2"/>
    </row>
    <row r="542" spans="15:63" ht="12.3" x14ac:dyDescent="0.4">
      <c r="O542" s="5"/>
      <c r="BH542" s="2"/>
      <c r="BI542" s="2"/>
      <c r="BJ542" s="7"/>
      <c r="BK542" s="2"/>
    </row>
    <row r="543" spans="15:63" ht="12.3" x14ac:dyDescent="0.4">
      <c r="O543" s="5"/>
      <c r="BH543" s="2"/>
      <c r="BI543" s="2"/>
      <c r="BJ543" s="7"/>
      <c r="BK543" s="2"/>
    </row>
    <row r="544" spans="15:63" ht="12.3" x14ac:dyDescent="0.4">
      <c r="O544" s="5"/>
      <c r="BH544" s="2"/>
      <c r="BI544" s="2"/>
      <c r="BJ544" s="7"/>
      <c r="BK544" s="2"/>
    </row>
    <row r="545" spans="15:63" ht="12.3" x14ac:dyDescent="0.4">
      <c r="O545" s="5"/>
      <c r="BH545" s="2"/>
      <c r="BI545" s="2"/>
      <c r="BJ545" s="7"/>
      <c r="BK545" s="2"/>
    </row>
    <row r="546" spans="15:63" ht="12.3" x14ac:dyDescent="0.4">
      <c r="O546" s="5"/>
      <c r="BH546" s="2"/>
      <c r="BI546" s="2"/>
      <c r="BJ546" s="7"/>
      <c r="BK546" s="2"/>
    </row>
    <row r="547" spans="15:63" ht="12.3" x14ac:dyDescent="0.4">
      <c r="O547" s="5"/>
      <c r="BH547" s="2"/>
      <c r="BI547" s="2"/>
      <c r="BJ547" s="7"/>
      <c r="BK547" s="2"/>
    </row>
    <row r="548" spans="15:63" ht="12.3" x14ac:dyDescent="0.4">
      <c r="O548" s="5"/>
      <c r="BH548" s="2"/>
      <c r="BI548" s="2"/>
      <c r="BJ548" s="7"/>
      <c r="BK548" s="2"/>
    </row>
    <row r="549" spans="15:63" ht="12.3" x14ac:dyDescent="0.4">
      <c r="O549" s="5"/>
      <c r="BH549" s="2"/>
      <c r="BI549" s="2"/>
      <c r="BJ549" s="7"/>
      <c r="BK549" s="2"/>
    </row>
    <row r="550" spans="15:63" ht="12.3" x14ac:dyDescent="0.4">
      <c r="O550" s="5"/>
      <c r="BH550" s="2"/>
      <c r="BI550" s="2"/>
      <c r="BJ550" s="7"/>
      <c r="BK550" s="2"/>
    </row>
    <row r="551" spans="15:63" ht="12.3" x14ac:dyDescent="0.4">
      <c r="O551" s="5"/>
      <c r="BH551" s="2"/>
      <c r="BI551" s="2"/>
      <c r="BJ551" s="7"/>
      <c r="BK551" s="2"/>
    </row>
    <row r="552" spans="15:63" ht="12.3" x14ac:dyDescent="0.4">
      <c r="O552" s="5"/>
      <c r="BH552" s="2"/>
      <c r="BI552" s="2"/>
      <c r="BJ552" s="7"/>
      <c r="BK552" s="2"/>
    </row>
    <row r="553" spans="15:63" ht="12.3" x14ac:dyDescent="0.4">
      <c r="O553" s="5"/>
      <c r="BH553" s="2"/>
      <c r="BI553" s="2"/>
      <c r="BJ553" s="7"/>
      <c r="BK553" s="2"/>
    </row>
    <row r="554" spans="15:63" ht="12.3" x14ac:dyDescent="0.4">
      <c r="O554" s="5"/>
      <c r="BH554" s="2"/>
      <c r="BI554" s="2"/>
      <c r="BJ554" s="7"/>
      <c r="BK554" s="2"/>
    </row>
    <row r="555" spans="15:63" ht="12.3" x14ac:dyDescent="0.4">
      <c r="O555" s="5"/>
      <c r="BH555" s="2"/>
      <c r="BI555" s="2"/>
      <c r="BJ555" s="7"/>
      <c r="BK555" s="2"/>
    </row>
    <row r="556" spans="15:63" ht="12.3" x14ac:dyDescent="0.4">
      <c r="O556" s="5"/>
      <c r="BH556" s="2"/>
      <c r="BI556" s="2"/>
      <c r="BJ556" s="7"/>
      <c r="BK556" s="2"/>
    </row>
    <row r="557" spans="15:63" ht="12.3" x14ac:dyDescent="0.4">
      <c r="O557" s="5"/>
      <c r="BH557" s="2"/>
      <c r="BI557" s="2"/>
      <c r="BJ557" s="7"/>
      <c r="BK557" s="2"/>
    </row>
    <row r="558" spans="15:63" ht="12.3" x14ac:dyDescent="0.4">
      <c r="O558" s="5"/>
      <c r="BH558" s="2"/>
      <c r="BI558" s="2"/>
      <c r="BJ558" s="7"/>
      <c r="BK558" s="2"/>
    </row>
    <row r="559" spans="15:63" ht="12.3" x14ac:dyDescent="0.4">
      <c r="O559" s="5"/>
      <c r="BH559" s="2"/>
      <c r="BI559" s="2"/>
      <c r="BJ559" s="7"/>
      <c r="BK559" s="2"/>
    </row>
    <row r="560" spans="15:63" ht="12.3" x14ac:dyDescent="0.4">
      <c r="O560" s="5"/>
      <c r="BH560" s="2"/>
      <c r="BI560" s="2"/>
      <c r="BJ560" s="7"/>
      <c r="BK560" s="2"/>
    </row>
    <row r="561" spans="15:63" ht="12.3" x14ac:dyDescent="0.4">
      <c r="O561" s="5"/>
      <c r="BH561" s="2"/>
      <c r="BI561" s="2"/>
      <c r="BJ561" s="7"/>
      <c r="BK561" s="2"/>
    </row>
    <row r="562" spans="15:63" ht="12.3" x14ac:dyDescent="0.4">
      <c r="O562" s="5"/>
      <c r="BH562" s="2"/>
      <c r="BI562" s="2"/>
      <c r="BJ562" s="7"/>
      <c r="BK562" s="2"/>
    </row>
    <row r="563" spans="15:63" ht="12.3" x14ac:dyDescent="0.4">
      <c r="O563" s="5"/>
      <c r="BH563" s="2"/>
      <c r="BI563" s="2"/>
      <c r="BJ563" s="7"/>
      <c r="BK563" s="2"/>
    </row>
    <row r="564" spans="15:63" ht="12.3" x14ac:dyDescent="0.4">
      <c r="O564" s="5"/>
      <c r="BH564" s="2"/>
      <c r="BI564" s="2"/>
      <c r="BJ564" s="7"/>
      <c r="BK564" s="2"/>
    </row>
    <row r="565" spans="15:63" ht="12.3" x14ac:dyDescent="0.4">
      <c r="O565" s="5"/>
      <c r="BH565" s="2"/>
      <c r="BI565" s="2"/>
      <c r="BJ565" s="7"/>
      <c r="BK565" s="2"/>
    </row>
    <row r="566" spans="15:63" ht="12.3" x14ac:dyDescent="0.4">
      <c r="O566" s="5"/>
      <c r="BH566" s="2"/>
      <c r="BI566" s="2"/>
      <c r="BJ566" s="7"/>
      <c r="BK566" s="2"/>
    </row>
    <row r="567" spans="15:63" ht="12.3" x14ac:dyDescent="0.4">
      <c r="O567" s="5"/>
      <c r="BH567" s="2"/>
      <c r="BI567" s="2"/>
      <c r="BJ567" s="7"/>
      <c r="BK567" s="2"/>
    </row>
    <row r="568" spans="15:63" ht="12.3" x14ac:dyDescent="0.4">
      <c r="O568" s="5"/>
      <c r="BH568" s="2"/>
      <c r="BI568" s="2"/>
      <c r="BJ568" s="7"/>
      <c r="BK568" s="2"/>
    </row>
    <row r="569" spans="15:63" ht="12.3" x14ac:dyDescent="0.4">
      <c r="O569" s="5"/>
      <c r="BH569" s="2"/>
      <c r="BI569" s="2"/>
      <c r="BJ569" s="7"/>
      <c r="BK569" s="2"/>
    </row>
    <row r="570" spans="15:63" ht="12.3" x14ac:dyDescent="0.4">
      <c r="O570" s="5"/>
      <c r="BH570" s="2"/>
      <c r="BI570" s="2"/>
      <c r="BJ570" s="7"/>
      <c r="BK570" s="2"/>
    </row>
    <row r="571" spans="15:63" ht="12.3" x14ac:dyDescent="0.4">
      <c r="O571" s="5"/>
      <c r="BH571" s="2"/>
      <c r="BI571" s="2"/>
      <c r="BJ571" s="7"/>
      <c r="BK571" s="2"/>
    </row>
    <row r="572" spans="15:63" ht="12.3" x14ac:dyDescent="0.4">
      <c r="O572" s="5"/>
      <c r="BH572" s="2"/>
      <c r="BI572" s="2"/>
      <c r="BJ572" s="7"/>
      <c r="BK572" s="2"/>
    </row>
    <row r="573" spans="15:63" ht="12.3" x14ac:dyDescent="0.4">
      <c r="O573" s="5"/>
      <c r="BH573" s="2"/>
      <c r="BI573" s="2"/>
      <c r="BJ573" s="7"/>
      <c r="BK573" s="2"/>
    </row>
    <row r="574" spans="15:63" ht="12.3" x14ac:dyDescent="0.4">
      <c r="O574" s="5"/>
      <c r="BH574" s="2"/>
      <c r="BI574" s="2"/>
      <c r="BJ574" s="7"/>
      <c r="BK574" s="2"/>
    </row>
    <row r="575" spans="15:63" ht="12.3" x14ac:dyDescent="0.4">
      <c r="O575" s="5"/>
      <c r="BH575" s="2"/>
      <c r="BI575" s="2"/>
      <c r="BJ575" s="7"/>
      <c r="BK575" s="2"/>
    </row>
    <row r="576" spans="15:63" ht="12.3" x14ac:dyDescent="0.4">
      <c r="O576" s="5"/>
      <c r="BH576" s="2"/>
      <c r="BI576" s="2"/>
      <c r="BJ576" s="7"/>
      <c r="BK576" s="2"/>
    </row>
    <row r="577" spans="15:63" ht="12.3" x14ac:dyDescent="0.4">
      <c r="O577" s="5"/>
      <c r="BH577" s="2"/>
      <c r="BI577" s="2"/>
      <c r="BJ577" s="7"/>
      <c r="BK577" s="2"/>
    </row>
    <row r="578" spans="15:63" ht="12.3" x14ac:dyDescent="0.4">
      <c r="O578" s="5"/>
      <c r="BH578" s="2"/>
      <c r="BI578" s="2"/>
      <c r="BJ578" s="7"/>
      <c r="BK578" s="2"/>
    </row>
    <row r="579" spans="15:63" ht="12.3" x14ac:dyDescent="0.4">
      <c r="O579" s="5"/>
      <c r="BH579" s="2"/>
      <c r="BI579" s="2"/>
      <c r="BJ579" s="7"/>
      <c r="BK579" s="2"/>
    </row>
    <row r="580" spans="15:63" ht="12.3" x14ac:dyDescent="0.4">
      <c r="O580" s="5"/>
      <c r="BH580" s="2"/>
      <c r="BI580" s="2"/>
      <c r="BJ580" s="7"/>
      <c r="BK580" s="2"/>
    </row>
    <row r="581" spans="15:63" ht="12.3" x14ac:dyDescent="0.4">
      <c r="O581" s="5"/>
      <c r="BH581" s="2"/>
      <c r="BI581" s="2"/>
      <c r="BJ581" s="7"/>
      <c r="BK581" s="2"/>
    </row>
    <row r="582" spans="15:63" ht="12.3" x14ac:dyDescent="0.4">
      <c r="O582" s="5"/>
      <c r="BH582" s="2"/>
      <c r="BI582" s="2"/>
      <c r="BJ582" s="7"/>
      <c r="BK582" s="2"/>
    </row>
    <row r="583" spans="15:63" ht="12.3" x14ac:dyDescent="0.4">
      <c r="O583" s="5"/>
      <c r="BH583" s="2"/>
      <c r="BI583" s="2"/>
      <c r="BJ583" s="7"/>
      <c r="BK583" s="2"/>
    </row>
    <row r="584" spans="15:63" ht="12.3" x14ac:dyDescent="0.4">
      <c r="O584" s="5"/>
      <c r="BH584" s="2"/>
      <c r="BI584" s="2"/>
      <c r="BJ584" s="7"/>
      <c r="BK584" s="2"/>
    </row>
    <row r="585" spans="15:63" ht="12.3" x14ac:dyDescent="0.4">
      <c r="O585" s="5"/>
      <c r="BH585" s="2"/>
      <c r="BI585" s="2"/>
      <c r="BJ585" s="7"/>
      <c r="BK585" s="2"/>
    </row>
    <row r="586" spans="15:63" ht="12.3" x14ac:dyDescent="0.4">
      <c r="O586" s="5"/>
      <c r="BH586" s="2"/>
      <c r="BI586" s="2"/>
      <c r="BJ586" s="7"/>
      <c r="BK586" s="2"/>
    </row>
    <row r="587" spans="15:63" ht="12.3" x14ac:dyDescent="0.4">
      <c r="O587" s="5"/>
      <c r="BH587" s="2"/>
      <c r="BI587" s="2"/>
      <c r="BJ587" s="7"/>
      <c r="BK587" s="2"/>
    </row>
    <row r="588" spans="15:63" ht="12.3" x14ac:dyDescent="0.4">
      <c r="O588" s="5"/>
      <c r="BH588" s="2"/>
      <c r="BI588" s="2"/>
      <c r="BJ588" s="7"/>
      <c r="BK588" s="2"/>
    </row>
    <row r="589" spans="15:63" ht="12.3" x14ac:dyDescent="0.4">
      <c r="O589" s="5"/>
      <c r="BH589" s="2"/>
      <c r="BI589" s="2"/>
      <c r="BJ589" s="7"/>
      <c r="BK589" s="2"/>
    </row>
    <row r="590" spans="15:63" ht="12.3" x14ac:dyDescent="0.4">
      <c r="O590" s="5"/>
      <c r="BH590" s="2"/>
      <c r="BI590" s="2"/>
      <c r="BJ590" s="7"/>
      <c r="BK590" s="2"/>
    </row>
    <row r="591" spans="15:63" ht="12.3" x14ac:dyDescent="0.4">
      <c r="O591" s="5"/>
      <c r="BH591" s="2"/>
      <c r="BI591" s="2"/>
      <c r="BJ591" s="7"/>
      <c r="BK591" s="2"/>
    </row>
    <row r="592" spans="15:63" ht="12.3" x14ac:dyDescent="0.4">
      <c r="O592" s="5"/>
      <c r="BH592" s="2"/>
      <c r="BI592" s="2"/>
      <c r="BJ592" s="7"/>
      <c r="BK592" s="2"/>
    </row>
    <row r="593" spans="15:63" ht="12.3" x14ac:dyDescent="0.4">
      <c r="O593" s="5"/>
      <c r="BH593" s="2"/>
      <c r="BI593" s="2"/>
      <c r="BJ593" s="7"/>
      <c r="BK593" s="2"/>
    </row>
    <row r="594" spans="15:63" ht="12.3" x14ac:dyDescent="0.4">
      <c r="O594" s="5"/>
      <c r="BH594" s="2"/>
      <c r="BI594" s="2"/>
      <c r="BJ594" s="7"/>
      <c r="BK594" s="2"/>
    </row>
    <row r="595" spans="15:63" ht="12.3" x14ac:dyDescent="0.4">
      <c r="O595" s="5"/>
      <c r="BH595" s="2"/>
      <c r="BI595" s="2"/>
      <c r="BJ595" s="7"/>
      <c r="BK595" s="2"/>
    </row>
    <row r="596" spans="15:63" ht="12.3" x14ac:dyDescent="0.4">
      <c r="O596" s="5"/>
      <c r="BH596" s="2"/>
      <c r="BI596" s="2"/>
      <c r="BJ596" s="7"/>
      <c r="BK596" s="2"/>
    </row>
    <row r="597" spans="15:63" ht="12.3" x14ac:dyDescent="0.4">
      <c r="O597" s="5"/>
      <c r="BH597" s="2"/>
      <c r="BI597" s="2"/>
      <c r="BJ597" s="7"/>
      <c r="BK597" s="2"/>
    </row>
    <row r="598" spans="15:63" ht="12.3" x14ac:dyDescent="0.4">
      <c r="O598" s="5"/>
      <c r="BH598" s="2"/>
      <c r="BI598" s="2"/>
      <c r="BJ598" s="7"/>
      <c r="BK598" s="2"/>
    </row>
    <row r="599" spans="15:63" ht="12.3" x14ac:dyDescent="0.4">
      <c r="O599" s="5"/>
      <c r="BH599" s="2"/>
      <c r="BI599" s="2"/>
      <c r="BJ599" s="7"/>
      <c r="BK599" s="2"/>
    </row>
    <row r="600" spans="15:63" ht="12.3" x14ac:dyDescent="0.4">
      <c r="O600" s="5"/>
      <c r="BH600" s="2"/>
      <c r="BI600" s="2"/>
      <c r="BJ600" s="7"/>
      <c r="BK600" s="2"/>
    </row>
    <row r="601" spans="15:63" ht="12.3" x14ac:dyDescent="0.4">
      <c r="O601" s="5"/>
      <c r="BH601" s="2"/>
      <c r="BI601" s="2"/>
      <c r="BJ601" s="7"/>
      <c r="BK601" s="2"/>
    </row>
    <row r="602" spans="15:63" ht="12.3" x14ac:dyDescent="0.4">
      <c r="O602" s="5"/>
      <c r="BH602" s="2"/>
      <c r="BI602" s="2"/>
      <c r="BJ602" s="7"/>
      <c r="BK602" s="2"/>
    </row>
    <row r="603" spans="15:63" ht="12.3" x14ac:dyDescent="0.4">
      <c r="O603" s="5"/>
      <c r="BH603" s="2"/>
      <c r="BI603" s="2"/>
      <c r="BJ603" s="7"/>
      <c r="BK603" s="2"/>
    </row>
    <row r="604" spans="15:63" ht="12.3" x14ac:dyDescent="0.4">
      <c r="O604" s="5"/>
      <c r="BH604" s="2"/>
      <c r="BI604" s="2"/>
      <c r="BJ604" s="7"/>
      <c r="BK604" s="2"/>
    </row>
    <row r="605" spans="15:63" ht="12.3" x14ac:dyDescent="0.4">
      <c r="O605" s="5"/>
      <c r="BH605" s="2"/>
      <c r="BI605" s="2"/>
      <c r="BJ605" s="7"/>
      <c r="BK605" s="2"/>
    </row>
    <row r="606" spans="15:63" ht="12.3" x14ac:dyDescent="0.4">
      <c r="O606" s="5"/>
      <c r="BH606" s="2"/>
      <c r="BI606" s="2"/>
      <c r="BJ606" s="7"/>
      <c r="BK606" s="2"/>
    </row>
    <row r="607" spans="15:63" ht="12.3" x14ac:dyDescent="0.4">
      <c r="O607" s="5"/>
      <c r="BH607" s="2"/>
      <c r="BI607" s="2"/>
      <c r="BJ607" s="7"/>
      <c r="BK607" s="2"/>
    </row>
    <row r="608" spans="15:63" ht="12.3" x14ac:dyDescent="0.4">
      <c r="O608" s="5"/>
      <c r="BH608" s="2"/>
      <c r="BI608" s="2"/>
      <c r="BJ608" s="7"/>
      <c r="BK608" s="2"/>
    </row>
    <row r="609" spans="15:63" ht="12.3" x14ac:dyDescent="0.4">
      <c r="O609" s="5"/>
      <c r="BH609" s="2"/>
      <c r="BI609" s="2"/>
      <c r="BJ609" s="7"/>
      <c r="BK609" s="2"/>
    </row>
    <row r="610" spans="15:63" ht="12.3" x14ac:dyDescent="0.4">
      <c r="O610" s="5"/>
      <c r="BH610" s="2"/>
      <c r="BI610" s="2"/>
      <c r="BJ610" s="7"/>
      <c r="BK610" s="2"/>
    </row>
    <row r="611" spans="15:63" ht="12.3" x14ac:dyDescent="0.4">
      <c r="O611" s="5"/>
      <c r="BH611" s="2"/>
      <c r="BI611" s="2"/>
      <c r="BJ611" s="7"/>
      <c r="BK611" s="2"/>
    </row>
    <row r="612" spans="15:63" ht="12.3" x14ac:dyDescent="0.4">
      <c r="O612" s="5"/>
      <c r="BH612" s="2"/>
      <c r="BI612" s="2"/>
      <c r="BJ612" s="7"/>
      <c r="BK612" s="2"/>
    </row>
    <row r="613" spans="15:63" ht="12.3" x14ac:dyDescent="0.4">
      <c r="O613" s="5"/>
      <c r="BH613" s="2"/>
      <c r="BI613" s="2"/>
      <c r="BJ613" s="7"/>
      <c r="BK613" s="2"/>
    </row>
    <row r="614" spans="15:63" ht="12.3" x14ac:dyDescent="0.4">
      <c r="O614" s="5"/>
      <c r="BH614" s="2"/>
      <c r="BI614" s="2"/>
      <c r="BJ614" s="7"/>
      <c r="BK614" s="2"/>
    </row>
    <row r="615" spans="15:63" ht="12.3" x14ac:dyDescent="0.4">
      <c r="O615" s="5"/>
      <c r="BH615" s="2"/>
      <c r="BI615" s="2"/>
      <c r="BJ615" s="7"/>
      <c r="BK615" s="2"/>
    </row>
    <row r="616" spans="15:63" ht="12.3" x14ac:dyDescent="0.4">
      <c r="O616" s="5"/>
      <c r="BH616" s="2"/>
      <c r="BI616" s="2"/>
      <c r="BJ616" s="7"/>
      <c r="BK616" s="2"/>
    </row>
    <row r="617" spans="15:63" ht="12.3" x14ac:dyDescent="0.4">
      <c r="O617" s="5"/>
      <c r="BH617" s="2"/>
      <c r="BI617" s="2"/>
      <c r="BJ617" s="7"/>
      <c r="BK617" s="2"/>
    </row>
    <row r="618" spans="15:63" ht="12.3" x14ac:dyDescent="0.4">
      <c r="O618" s="5"/>
      <c r="BH618" s="2"/>
      <c r="BI618" s="2"/>
      <c r="BJ618" s="7"/>
      <c r="BK618" s="2"/>
    </row>
    <row r="619" spans="15:63" ht="12.3" x14ac:dyDescent="0.4">
      <c r="O619" s="5"/>
      <c r="BH619" s="2"/>
      <c r="BI619" s="2"/>
      <c r="BJ619" s="7"/>
      <c r="BK619" s="2"/>
    </row>
    <row r="620" spans="15:63" ht="12.3" x14ac:dyDescent="0.4">
      <c r="O620" s="5"/>
      <c r="BH620" s="2"/>
      <c r="BI620" s="2"/>
      <c r="BJ620" s="7"/>
      <c r="BK620" s="2"/>
    </row>
    <row r="621" spans="15:63" ht="12.3" x14ac:dyDescent="0.4">
      <c r="O621" s="5"/>
      <c r="BH621" s="2"/>
      <c r="BI621" s="2"/>
      <c r="BJ621" s="7"/>
      <c r="BK621" s="2"/>
    </row>
    <row r="622" spans="15:63" ht="12.3" x14ac:dyDescent="0.4">
      <c r="O622" s="5"/>
      <c r="BH622" s="2"/>
      <c r="BI622" s="2"/>
      <c r="BJ622" s="7"/>
      <c r="BK622" s="2"/>
    </row>
    <row r="623" spans="15:63" ht="12.3" x14ac:dyDescent="0.4">
      <c r="O623" s="5"/>
      <c r="BH623" s="2"/>
      <c r="BI623" s="2"/>
      <c r="BJ623" s="7"/>
      <c r="BK623" s="2"/>
    </row>
    <row r="624" spans="15:63" ht="12.3" x14ac:dyDescent="0.4">
      <c r="O624" s="5"/>
      <c r="BH624" s="2"/>
      <c r="BI624" s="2"/>
      <c r="BJ624" s="7"/>
      <c r="BK624" s="2"/>
    </row>
    <row r="625" spans="15:63" ht="12.3" x14ac:dyDescent="0.4">
      <c r="O625" s="5"/>
      <c r="BH625" s="2"/>
      <c r="BI625" s="2"/>
      <c r="BJ625" s="7"/>
      <c r="BK625" s="2"/>
    </row>
    <row r="626" spans="15:63" ht="12.3" x14ac:dyDescent="0.4">
      <c r="O626" s="5"/>
      <c r="BH626" s="2"/>
      <c r="BI626" s="2"/>
      <c r="BJ626" s="7"/>
      <c r="BK626" s="2"/>
    </row>
    <row r="627" spans="15:63" ht="12.3" x14ac:dyDescent="0.4">
      <c r="O627" s="5"/>
      <c r="BH627" s="2"/>
      <c r="BI627" s="2"/>
      <c r="BJ627" s="7"/>
      <c r="BK627" s="2"/>
    </row>
    <row r="628" spans="15:63" ht="12.3" x14ac:dyDescent="0.4">
      <c r="O628" s="5"/>
      <c r="BH628" s="2"/>
      <c r="BI628" s="2"/>
      <c r="BJ628" s="7"/>
      <c r="BK628" s="2"/>
    </row>
    <row r="629" spans="15:63" ht="12.3" x14ac:dyDescent="0.4">
      <c r="O629" s="5"/>
      <c r="BH629" s="2"/>
      <c r="BI629" s="2"/>
      <c r="BJ629" s="7"/>
      <c r="BK629" s="2"/>
    </row>
    <row r="630" spans="15:63" ht="12.3" x14ac:dyDescent="0.4">
      <c r="O630" s="5"/>
      <c r="BH630" s="2"/>
      <c r="BI630" s="2"/>
      <c r="BJ630" s="7"/>
      <c r="BK630" s="2"/>
    </row>
    <row r="631" spans="15:63" ht="12.3" x14ac:dyDescent="0.4">
      <c r="O631" s="5"/>
      <c r="BH631" s="2"/>
      <c r="BI631" s="2"/>
      <c r="BJ631" s="7"/>
      <c r="BK631" s="2"/>
    </row>
    <row r="632" spans="15:63" ht="12.3" x14ac:dyDescent="0.4">
      <c r="O632" s="5"/>
      <c r="BH632" s="2"/>
      <c r="BI632" s="2"/>
      <c r="BJ632" s="7"/>
      <c r="BK632" s="2"/>
    </row>
    <row r="633" spans="15:63" ht="12.3" x14ac:dyDescent="0.4">
      <c r="O633" s="5"/>
      <c r="BH633" s="2"/>
      <c r="BI633" s="2"/>
      <c r="BJ633" s="7"/>
      <c r="BK633" s="2"/>
    </row>
    <row r="634" spans="15:63" ht="12.3" x14ac:dyDescent="0.4">
      <c r="O634" s="5"/>
      <c r="BH634" s="2"/>
      <c r="BI634" s="2"/>
      <c r="BJ634" s="7"/>
      <c r="BK634" s="2"/>
    </row>
    <row r="635" spans="15:63" ht="12.3" x14ac:dyDescent="0.4">
      <c r="O635" s="5"/>
      <c r="BH635" s="2"/>
      <c r="BI635" s="2"/>
      <c r="BJ635" s="7"/>
      <c r="BK635" s="2"/>
    </row>
    <row r="636" spans="15:63" ht="12.3" x14ac:dyDescent="0.4">
      <c r="O636" s="5"/>
      <c r="BH636" s="2"/>
      <c r="BI636" s="2"/>
      <c r="BJ636" s="7"/>
      <c r="BK636" s="2"/>
    </row>
    <row r="637" spans="15:63" ht="12.3" x14ac:dyDescent="0.4">
      <c r="O637" s="5"/>
      <c r="BH637" s="2"/>
      <c r="BI637" s="2"/>
      <c r="BJ637" s="7"/>
      <c r="BK637" s="2"/>
    </row>
    <row r="638" spans="15:63" ht="12.3" x14ac:dyDescent="0.4">
      <c r="O638" s="5"/>
      <c r="BH638" s="2"/>
      <c r="BI638" s="2"/>
      <c r="BJ638" s="7"/>
      <c r="BK638" s="2"/>
    </row>
    <row r="639" spans="15:63" ht="12.3" x14ac:dyDescent="0.4">
      <c r="O639" s="5"/>
      <c r="BH639" s="2"/>
      <c r="BI639" s="2"/>
      <c r="BJ639" s="7"/>
      <c r="BK639" s="2"/>
    </row>
    <row r="640" spans="15:63" ht="12.3" x14ac:dyDescent="0.4">
      <c r="O640" s="5"/>
      <c r="BH640" s="2"/>
      <c r="BI640" s="2"/>
      <c r="BJ640" s="7"/>
      <c r="BK640" s="2"/>
    </row>
    <row r="641" spans="15:63" ht="12.3" x14ac:dyDescent="0.4">
      <c r="O641" s="5"/>
      <c r="BH641" s="2"/>
      <c r="BI641" s="2"/>
      <c r="BJ641" s="7"/>
      <c r="BK641" s="2"/>
    </row>
    <row r="642" spans="15:63" ht="12.3" x14ac:dyDescent="0.4">
      <c r="O642" s="5"/>
      <c r="BH642" s="2"/>
      <c r="BI642" s="2"/>
      <c r="BJ642" s="7"/>
      <c r="BK642" s="2"/>
    </row>
    <row r="643" spans="15:63" ht="12.3" x14ac:dyDescent="0.4">
      <c r="O643" s="5"/>
      <c r="BH643" s="2"/>
      <c r="BI643" s="2"/>
      <c r="BJ643" s="7"/>
      <c r="BK643" s="2"/>
    </row>
    <row r="644" spans="15:63" ht="12.3" x14ac:dyDescent="0.4">
      <c r="O644" s="5"/>
      <c r="BH644" s="2"/>
      <c r="BI644" s="2"/>
      <c r="BJ644" s="7"/>
      <c r="BK644" s="2"/>
    </row>
    <row r="645" spans="15:63" ht="12.3" x14ac:dyDescent="0.4">
      <c r="O645" s="5"/>
      <c r="BH645" s="2"/>
      <c r="BI645" s="2"/>
      <c r="BJ645" s="7"/>
      <c r="BK645" s="2"/>
    </row>
    <row r="646" spans="15:63" ht="12.3" x14ac:dyDescent="0.4">
      <c r="O646" s="5"/>
      <c r="BH646" s="2"/>
      <c r="BI646" s="2"/>
      <c r="BJ646" s="7"/>
      <c r="BK646" s="2"/>
    </row>
    <row r="647" spans="15:63" ht="12.3" x14ac:dyDescent="0.4">
      <c r="O647" s="5"/>
      <c r="BH647" s="2"/>
      <c r="BI647" s="2"/>
      <c r="BJ647" s="7"/>
      <c r="BK647" s="2"/>
    </row>
    <row r="648" spans="15:63" ht="12.3" x14ac:dyDescent="0.4">
      <c r="O648" s="5"/>
      <c r="BH648" s="2"/>
      <c r="BI648" s="2"/>
      <c r="BJ648" s="7"/>
      <c r="BK648" s="2"/>
    </row>
    <row r="649" spans="15:63" ht="12.3" x14ac:dyDescent="0.4">
      <c r="O649" s="5"/>
      <c r="BH649" s="2"/>
      <c r="BI649" s="2"/>
      <c r="BJ649" s="7"/>
      <c r="BK649" s="2"/>
    </row>
    <row r="650" spans="15:63" ht="12.3" x14ac:dyDescent="0.4">
      <c r="O650" s="5"/>
      <c r="BH650" s="2"/>
      <c r="BI650" s="2"/>
      <c r="BJ650" s="7"/>
      <c r="BK650" s="2"/>
    </row>
    <row r="651" spans="15:63" ht="12.3" x14ac:dyDescent="0.4">
      <c r="O651" s="5"/>
      <c r="BH651" s="2"/>
      <c r="BI651" s="2"/>
      <c r="BJ651" s="7"/>
      <c r="BK651" s="2"/>
    </row>
    <row r="652" spans="15:63" ht="12.3" x14ac:dyDescent="0.4">
      <c r="O652" s="5"/>
      <c r="BH652" s="2"/>
      <c r="BI652" s="2"/>
      <c r="BJ652" s="7"/>
      <c r="BK652" s="2"/>
    </row>
    <row r="653" spans="15:63" ht="12.3" x14ac:dyDescent="0.4">
      <c r="O653" s="5"/>
      <c r="BH653" s="2"/>
      <c r="BI653" s="2"/>
      <c r="BJ653" s="7"/>
      <c r="BK653" s="2"/>
    </row>
    <row r="654" spans="15:63" ht="12.3" x14ac:dyDescent="0.4">
      <c r="O654" s="5"/>
      <c r="BH654" s="2"/>
      <c r="BI654" s="2"/>
      <c r="BJ654" s="7"/>
      <c r="BK654" s="2"/>
    </row>
    <row r="655" spans="15:63" ht="12.3" x14ac:dyDescent="0.4">
      <c r="O655" s="5"/>
      <c r="BH655" s="2"/>
      <c r="BI655" s="2"/>
      <c r="BJ655" s="7"/>
      <c r="BK655" s="2"/>
    </row>
    <row r="656" spans="15:63" ht="12.3" x14ac:dyDescent="0.4">
      <c r="O656" s="5"/>
      <c r="BH656" s="2"/>
      <c r="BI656" s="2"/>
      <c r="BJ656" s="7"/>
      <c r="BK656" s="2"/>
    </row>
    <row r="657" spans="15:63" ht="12.3" x14ac:dyDescent="0.4">
      <c r="O657" s="5"/>
      <c r="BH657" s="2"/>
      <c r="BI657" s="2"/>
      <c r="BJ657" s="7"/>
      <c r="BK657" s="2"/>
    </row>
    <row r="658" spans="15:63" ht="12.3" x14ac:dyDescent="0.4">
      <c r="O658" s="5"/>
      <c r="BH658" s="2"/>
      <c r="BI658" s="2"/>
      <c r="BJ658" s="7"/>
      <c r="BK658" s="2"/>
    </row>
    <row r="659" spans="15:63" ht="12.3" x14ac:dyDescent="0.4">
      <c r="O659" s="5"/>
      <c r="BH659" s="2"/>
      <c r="BI659" s="2"/>
      <c r="BJ659" s="7"/>
      <c r="BK659" s="2"/>
    </row>
    <row r="660" spans="15:63" ht="12.3" x14ac:dyDescent="0.4">
      <c r="O660" s="5"/>
      <c r="BH660" s="2"/>
      <c r="BI660" s="2"/>
      <c r="BJ660" s="7"/>
      <c r="BK660" s="2"/>
    </row>
    <row r="661" spans="15:63" ht="12.3" x14ac:dyDescent="0.4">
      <c r="O661" s="5"/>
      <c r="BH661" s="2"/>
      <c r="BI661" s="2"/>
      <c r="BJ661" s="7"/>
      <c r="BK661" s="2"/>
    </row>
    <row r="662" spans="15:63" ht="12.3" x14ac:dyDescent="0.4">
      <c r="O662" s="5"/>
      <c r="BH662" s="2"/>
      <c r="BI662" s="2"/>
      <c r="BJ662" s="7"/>
      <c r="BK662" s="2"/>
    </row>
    <row r="663" spans="15:63" ht="12.3" x14ac:dyDescent="0.4">
      <c r="O663" s="5"/>
      <c r="BH663" s="2"/>
      <c r="BI663" s="2"/>
      <c r="BJ663" s="7"/>
      <c r="BK663" s="2"/>
    </row>
    <row r="664" spans="15:63" ht="12.3" x14ac:dyDescent="0.4">
      <c r="O664" s="5"/>
      <c r="BH664" s="2"/>
      <c r="BI664" s="2"/>
      <c r="BJ664" s="7"/>
      <c r="BK664" s="2"/>
    </row>
    <row r="665" spans="15:63" ht="12.3" x14ac:dyDescent="0.4">
      <c r="O665" s="5"/>
      <c r="BH665" s="2"/>
      <c r="BI665" s="2"/>
      <c r="BJ665" s="7"/>
      <c r="BK665" s="2"/>
    </row>
    <row r="666" spans="15:63" ht="12.3" x14ac:dyDescent="0.4">
      <c r="O666" s="5"/>
      <c r="BH666" s="2"/>
      <c r="BI666" s="2"/>
      <c r="BJ666" s="7"/>
      <c r="BK666" s="2"/>
    </row>
    <row r="667" spans="15:63" ht="12.3" x14ac:dyDescent="0.4">
      <c r="O667" s="5"/>
      <c r="BH667" s="2"/>
      <c r="BI667" s="2"/>
      <c r="BJ667" s="7"/>
      <c r="BK667" s="2"/>
    </row>
    <row r="668" spans="15:63" ht="12.3" x14ac:dyDescent="0.4">
      <c r="O668" s="5"/>
      <c r="BH668" s="2"/>
      <c r="BI668" s="2"/>
      <c r="BJ668" s="7"/>
      <c r="BK668" s="2"/>
    </row>
    <row r="669" spans="15:63" ht="12.3" x14ac:dyDescent="0.4">
      <c r="O669" s="5"/>
      <c r="BH669" s="2"/>
      <c r="BI669" s="2"/>
      <c r="BJ669" s="7"/>
      <c r="BK669" s="2"/>
    </row>
    <row r="670" spans="15:63" ht="12.3" x14ac:dyDescent="0.4">
      <c r="O670" s="5"/>
      <c r="BH670" s="2"/>
      <c r="BI670" s="2"/>
      <c r="BJ670" s="7"/>
      <c r="BK670" s="2"/>
    </row>
    <row r="671" spans="15:63" ht="12.3" x14ac:dyDescent="0.4">
      <c r="O671" s="5"/>
      <c r="BH671" s="2"/>
      <c r="BI671" s="2"/>
      <c r="BJ671" s="7"/>
      <c r="BK671" s="2"/>
    </row>
    <row r="672" spans="15:63" ht="12.3" x14ac:dyDescent="0.4">
      <c r="O672" s="5"/>
      <c r="BH672" s="2"/>
      <c r="BI672" s="2"/>
      <c r="BJ672" s="7"/>
      <c r="BK672" s="2"/>
    </row>
    <row r="673" spans="15:63" ht="12.3" x14ac:dyDescent="0.4">
      <c r="O673" s="5"/>
      <c r="BH673" s="2"/>
      <c r="BI673" s="2"/>
      <c r="BJ673" s="7"/>
      <c r="BK673" s="2"/>
    </row>
    <row r="674" spans="15:63" ht="12.3" x14ac:dyDescent="0.4">
      <c r="O674" s="5"/>
      <c r="BH674" s="2"/>
      <c r="BI674" s="2"/>
      <c r="BJ674" s="7"/>
      <c r="BK674" s="2"/>
    </row>
    <row r="675" spans="15:63" ht="12.3" x14ac:dyDescent="0.4">
      <c r="O675" s="5"/>
      <c r="BH675" s="2"/>
      <c r="BI675" s="2"/>
      <c r="BJ675" s="7"/>
      <c r="BK675" s="2"/>
    </row>
    <row r="676" spans="15:63" ht="12.3" x14ac:dyDescent="0.4">
      <c r="O676" s="5"/>
      <c r="BH676" s="2"/>
      <c r="BI676" s="2"/>
      <c r="BJ676" s="7"/>
      <c r="BK676" s="2"/>
    </row>
    <row r="677" spans="15:63" ht="12.3" x14ac:dyDescent="0.4">
      <c r="O677" s="5"/>
      <c r="BH677" s="2"/>
      <c r="BI677" s="2"/>
      <c r="BJ677" s="7"/>
      <c r="BK677" s="2"/>
    </row>
    <row r="678" spans="15:63" ht="12.3" x14ac:dyDescent="0.4">
      <c r="O678" s="5"/>
      <c r="BH678" s="2"/>
      <c r="BI678" s="2"/>
      <c r="BJ678" s="7"/>
      <c r="BK678" s="2"/>
    </row>
    <row r="679" spans="15:63" ht="12.3" x14ac:dyDescent="0.4">
      <c r="O679" s="5"/>
      <c r="BH679" s="2"/>
      <c r="BI679" s="2"/>
      <c r="BJ679" s="7"/>
      <c r="BK679" s="2"/>
    </row>
    <row r="680" spans="15:63" ht="12.3" x14ac:dyDescent="0.4">
      <c r="O680" s="5"/>
      <c r="BH680" s="2"/>
      <c r="BI680" s="2"/>
      <c r="BJ680" s="7"/>
      <c r="BK680" s="2"/>
    </row>
    <row r="681" spans="15:63" ht="12.3" x14ac:dyDescent="0.4">
      <c r="O681" s="5"/>
      <c r="BH681" s="2"/>
      <c r="BI681" s="2"/>
      <c r="BJ681" s="7"/>
      <c r="BK681" s="2"/>
    </row>
    <row r="682" spans="15:63" ht="12.3" x14ac:dyDescent="0.4">
      <c r="O682" s="5"/>
      <c r="BH682" s="2"/>
      <c r="BI682" s="2"/>
      <c r="BJ682" s="7"/>
      <c r="BK682" s="2"/>
    </row>
    <row r="683" spans="15:63" ht="12.3" x14ac:dyDescent="0.4">
      <c r="O683" s="5"/>
      <c r="BH683" s="2"/>
      <c r="BI683" s="2"/>
      <c r="BJ683" s="7"/>
      <c r="BK683" s="2"/>
    </row>
    <row r="684" spans="15:63" ht="12.3" x14ac:dyDescent="0.4">
      <c r="O684" s="5"/>
      <c r="BH684" s="2"/>
      <c r="BI684" s="2"/>
      <c r="BJ684" s="7"/>
      <c r="BK684" s="2"/>
    </row>
    <row r="685" spans="15:63" ht="12.3" x14ac:dyDescent="0.4">
      <c r="O685" s="5"/>
      <c r="BH685" s="2"/>
      <c r="BI685" s="2"/>
      <c r="BJ685" s="7"/>
      <c r="BK685" s="2"/>
    </row>
    <row r="686" spans="15:63" ht="12.3" x14ac:dyDescent="0.4">
      <c r="O686" s="5"/>
      <c r="BH686" s="2"/>
      <c r="BI686" s="2"/>
      <c r="BJ686" s="7"/>
      <c r="BK686" s="2"/>
    </row>
    <row r="687" spans="15:63" ht="12.3" x14ac:dyDescent="0.4">
      <c r="O687" s="5"/>
      <c r="BH687" s="2"/>
      <c r="BI687" s="2"/>
      <c r="BJ687" s="7"/>
      <c r="BK687" s="2"/>
    </row>
    <row r="688" spans="15:63" ht="12.3" x14ac:dyDescent="0.4">
      <c r="O688" s="5"/>
      <c r="BH688" s="2"/>
      <c r="BI688" s="2"/>
      <c r="BJ688" s="7"/>
      <c r="BK688" s="2"/>
    </row>
    <row r="689" spans="15:63" ht="12.3" x14ac:dyDescent="0.4">
      <c r="O689" s="5"/>
      <c r="BH689" s="2"/>
      <c r="BI689" s="2"/>
      <c r="BJ689" s="7"/>
      <c r="BK689" s="2"/>
    </row>
    <row r="690" spans="15:63" ht="12.3" x14ac:dyDescent="0.4">
      <c r="O690" s="5"/>
      <c r="BH690" s="2"/>
      <c r="BI690" s="2"/>
      <c r="BJ690" s="7"/>
      <c r="BK690" s="2"/>
    </row>
    <row r="691" spans="15:63" ht="12.3" x14ac:dyDescent="0.4">
      <c r="O691" s="5"/>
      <c r="BH691" s="2"/>
      <c r="BI691" s="2"/>
      <c r="BJ691" s="7"/>
      <c r="BK691" s="2"/>
    </row>
    <row r="692" spans="15:63" ht="12.3" x14ac:dyDescent="0.4">
      <c r="O692" s="5"/>
      <c r="BH692" s="2"/>
      <c r="BI692" s="2"/>
      <c r="BJ692" s="7"/>
      <c r="BK692" s="2"/>
    </row>
    <row r="693" spans="15:63" ht="12.3" x14ac:dyDescent="0.4">
      <c r="O693" s="5"/>
      <c r="BH693" s="2"/>
      <c r="BI693" s="2"/>
      <c r="BJ693" s="7"/>
      <c r="BK693" s="2"/>
    </row>
    <row r="694" spans="15:63" ht="12.3" x14ac:dyDescent="0.4">
      <c r="O694" s="5"/>
      <c r="BH694" s="2"/>
      <c r="BI694" s="2"/>
      <c r="BJ694" s="7"/>
      <c r="BK694" s="2"/>
    </row>
    <row r="695" spans="15:63" ht="12.3" x14ac:dyDescent="0.4">
      <c r="O695" s="5"/>
      <c r="BH695" s="2"/>
      <c r="BI695" s="2"/>
      <c r="BJ695" s="7"/>
      <c r="BK695" s="2"/>
    </row>
    <row r="696" spans="15:63" ht="12.3" x14ac:dyDescent="0.4">
      <c r="O696" s="5"/>
      <c r="BH696" s="2"/>
      <c r="BI696" s="2"/>
      <c r="BJ696" s="7"/>
      <c r="BK696" s="2"/>
    </row>
    <row r="697" spans="15:63" ht="12.3" x14ac:dyDescent="0.4">
      <c r="O697" s="5"/>
      <c r="BH697" s="2"/>
      <c r="BI697" s="2"/>
      <c r="BJ697" s="7"/>
      <c r="BK697" s="2"/>
    </row>
    <row r="698" spans="15:63" ht="12.3" x14ac:dyDescent="0.4">
      <c r="O698" s="5"/>
      <c r="BH698" s="2"/>
      <c r="BI698" s="2"/>
      <c r="BJ698" s="7"/>
      <c r="BK698" s="2"/>
    </row>
    <row r="699" spans="15:63" ht="12.3" x14ac:dyDescent="0.4">
      <c r="O699" s="5"/>
      <c r="BH699" s="2"/>
      <c r="BI699" s="2"/>
      <c r="BJ699" s="7"/>
      <c r="BK699" s="2"/>
    </row>
    <row r="700" spans="15:63" ht="12.3" x14ac:dyDescent="0.4">
      <c r="O700" s="5"/>
      <c r="BH700" s="2"/>
      <c r="BI700" s="2"/>
      <c r="BJ700" s="7"/>
      <c r="BK700" s="2"/>
    </row>
    <row r="701" spans="15:63" ht="12.3" x14ac:dyDescent="0.4">
      <c r="O701" s="5"/>
      <c r="BH701" s="2"/>
      <c r="BI701" s="2"/>
      <c r="BJ701" s="7"/>
      <c r="BK701" s="2"/>
    </row>
    <row r="702" spans="15:63" ht="12.3" x14ac:dyDescent="0.4">
      <c r="O702" s="5"/>
      <c r="BH702" s="2"/>
      <c r="BI702" s="2"/>
      <c r="BJ702" s="7"/>
      <c r="BK702" s="2"/>
    </row>
    <row r="703" spans="15:63" ht="12.3" x14ac:dyDescent="0.4">
      <c r="O703" s="5"/>
      <c r="BH703" s="2"/>
      <c r="BI703" s="2"/>
      <c r="BJ703" s="7"/>
      <c r="BK703" s="2"/>
    </row>
    <row r="704" spans="15:63" ht="12.3" x14ac:dyDescent="0.4">
      <c r="O704" s="5"/>
      <c r="BH704" s="2"/>
      <c r="BI704" s="2"/>
      <c r="BJ704" s="7"/>
      <c r="BK704" s="2"/>
    </row>
    <row r="705" spans="15:63" ht="12.3" x14ac:dyDescent="0.4">
      <c r="O705" s="5"/>
      <c r="BH705" s="2"/>
      <c r="BI705" s="2"/>
      <c r="BJ705" s="7"/>
      <c r="BK705" s="2"/>
    </row>
    <row r="706" spans="15:63" ht="12.3" x14ac:dyDescent="0.4">
      <c r="O706" s="5"/>
      <c r="BH706" s="2"/>
      <c r="BI706" s="2"/>
      <c r="BJ706" s="7"/>
      <c r="BK706" s="2"/>
    </row>
    <row r="707" spans="15:63" ht="12.3" x14ac:dyDescent="0.4">
      <c r="O707" s="5"/>
      <c r="BH707" s="2"/>
      <c r="BI707" s="2"/>
      <c r="BJ707" s="7"/>
      <c r="BK707" s="2"/>
    </row>
    <row r="708" spans="15:63" ht="12.3" x14ac:dyDescent="0.4">
      <c r="O708" s="5"/>
      <c r="BH708" s="2"/>
      <c r="BI708" s="2"/>
      <c r="BJ708" s="7"/>
      <c r="BK708" s="2"/>
    </row>
    <row r="709" spans="15:63" ht="12.3" x14ac:dyDescent="0.4">
      <c r="O709" s="5"/>
      <c r="BH709" s="2"/>
      <c r="BI709" s="2"/>
      <c r="BJ709" s="7"/>
      <c r="BK709" s="2"/>
    </row>
    <row r="710" spans="15:63" ht="12.3" x14ac:dyDescent="0.4">
      <c r="O710" s="5"/>
      <c r="BH710" s="2"/>
      <c r="BI710" s="2"/>
      <c r="BJ710" s="7"/>
      <c r="BK710" s="2"/>
    </row>
    <row r="711" spans="15:63" ht="12.3" x14ac:dyDescent="0.4">
      <c r="O711" s="5"/>
      <c r="BH711" s="2"/>
      <c r="BI711" s="2"/>
      <c r="BJ711" s="7"/>
      <c r="BK711" s="2"/>
    </row>
    <row r="712" spans="15:63" ht="12.3" x14ac:dyDescent="0.4">
      <c r="O712" s="5"/>
      <c r="BH712" s="2"/>
      <c r="BI712" s="2"/>
      <c r="BJ712" s="7"/>
      <c r="BK712" s="2"/>
    </row>
    <row r="713" spans="15:63" ht="12.3" x14ac:dyDescent="0.4">
      <c r="O713" s="5"/>
      <c r="BH713" s="2"/>
      <c r="BI713" s="2"/>
      <c r="BJ713" s="7"/>
      <c r="BK713" s="2"/>
    </row>
    <row r="714" spans="15:63" ht="12.3" x14ac:dyDescent="0.4">
      <c r="O714" s="5"/>
      <c r="BH714" s="2"/>
      <c r="BI714" s="2"/>
      <c r="BJ714" s="7"/>
      <c r="BK714" s="2"/>
    </row>
    <row r="715" spans="15:63" ht="12.3" x14ac:dyDescent="0.4">
      <c r="O715" s="5"/>
      <c r="BH715" s="2"/>
      <c r="BI715" s="2"/>
      <c r="BJ715" s="7"/>
      <c r="BK715" s="2"/>
    </row>
    <row r="716" spans="15:63" ht="12.3" x14ac:dyDescent="0.4">
      <c r="O716" s="5"/>
      <c r="BH716" s="2"/>
      <c r="BI716" s="2"/>
      <c r="BJ716" s="7"/>
      <c r="BK716" s="2"/>
    </row>
    <row r="717" spans="15:63" ht="12.3" x14ac:dyDescent="0.4">
      <c r="O717" s="5"/>
      <c r="BH717" s="2"/>
      <c r="BI717" s="2"/>
      <c r="BJ717" s="7"/>
      <c r="BK717" s="2"/>
    </row>
    <row r="718" spans="15:63" ht="12.3" x14ac:dyDescent="0.4">
      <c r="O718" s="5"/>
      <c r="BH718" s="2"/>
      <c r="BI718" s="2"/>
      <c r="BJ718" s="7"/>
      <c r="BK718" s="2"/>
    </row>
    <row r="719" spans="15:63" ht="12.3" x14ac:dyDescent="0.4">
      <c r="O719" s="5"/>
      <c r="BH719" s="2"/>
      <c r="BI719" s="2"/>
      <c r="BJ719" s="7"/>
      <c r="BK719" s="2"/>
    </row>
    <row r="720" spans="15:63" ht="12.3" x14ac:dyDescent="0.4">
      <c r="O720" s="5"/>
      <c r="BH720" s="2"/>
      <c r="BI720" s="2"/>
      <c r="BJ720" s="7"/>
      <c r="BK720" s="2"/>
    </row>
    <row r="721" spans="15:63" ht="12.3" x14ac:dyDescent="0.4">
      <c r="O721" s="5"/>
      <c r="BH721" s="2"/>
      <c r="BI721" s="2"/>
      <c r="BJ721" s="7"/>
      <c r="BK721" s="2"/>
    </row>
    <row r="722" spans="15:63" ht="12.3" x14ac:dyDescent="0.4">
      <c r="O722" s="5"/>
      <c r="BH722" s="2"/>
      <c r="BI722" s="2"/>
      <c r="BJ722" s="7"/>
      <c r="BK722" s="2"/>
    </row>
    <row r="723" spans="15:63" ht="12.3" x14ac:dyDescent="0.4">
      <c r="O723" s="5"/>
      <c r="BH723" s="2"/>
      <c r="BI723" s="2"/>
      <c r="BJ723" s="7"/>
      <c r="BK723" s="2"/>
    </row>
    <row r="724" spans="15:63" ht="12.3" x14ac:dyDescent="0.4">
      <c r="O724" s="5"/>
      <c r="BH724" s="2"/>
      <c r="BI724" s="2"/>
      <c r="BJ724" s="7"/>
      <c r="BK724" s="2"/>
    </row>
    <row r="725" spans="15:63" ht="12.3" x14ac:dyDescent="0.4">
      <c r="O725" s="5"/>
      <c r="BH725" s="2"/>
      <c r="BI725" s="2"/>
      <c r="BJ725" s="7"/>
      <c r="BK725" s="2"/>
    </row>
    <row r="726" spans="15:63" ht="12.3" x14ac:dyDescent="0.4">
      <c r="O726" s="5"/>
      <c r="BH726" s="2"/>
      <c r="BI726" s="2"/>
      <c r="BJ726" s="7"/>
      <c r="BK726" s="2"/>
    </row>
    <row r="727" spans="15:63" ht="12.3" x14ac:dyDescent="0.4">
      <c r="O727" s="5"/>
      <c r="BH727" s="2"/>
      <c r="BI727" s="2"/>
      <c r="BJ727" s="7"/>
      <c r="BK727" s="2"/>
    </row>
    <row r="728" spans="15:63" ht="12.3" x14ac:dyDescent="0.4">
      <c r="O728" s="5"/>
      <c r="BH728" s="2"/>
      <c r="BI728" s="2"/>
      <c r="BJ728" s="7"/>
      <c r="BK728" s="2"/>
    </row>
    <row r="729" spans="15:63" ht="12.3" x14ac:dyDescent="0.4">
      <c r="O729" s="5"/>
      <c r="BH729" s="2"/>
      <c r="BI729" s="2"/>
      <c r="BJ729" s="7"/>
      <c r="BK729" s="2"/>
    </row>
    <row r="730" spans="15:63" ht="12.3" x14ac:dyDescent="0.4">
      <c r="O730" s="5"/>
      <c r="BH730" s="2"/>
      <c r="BI730" s="2"/>
      <c r="BJ730" s="7"/>
      <c r="BK730" s="2"/>
    </row>
    <row r="731" spans="15:63" ht="12.3" x14ac:dyDescent="0.4">
      <c r="O731" s="5"/>
      <c r="BH731" s="2"/>
      <c r="BI731" s="2"/>
      <c r="BJ731" s="7"/>
      <c r="BK731" s="2"/>
    </row>
    <row r="732" spans="15:63" ht="12.3" x14ac:dyDescent="0.4">
      <c r="O732" s="5"/>
      <c r="BH732" s="2"/>
      <c r="BI732" s="2"/>
      <c r="BJ732" s="7"/>
      <c r="BK732" s="2"/>
    </row>
    <row r="733" spans="15:63" ht="12.3" x14ac:dyDescent="0.4">
      <c r="O733" s="5"/>
      <c r="BH733" s="2"/>
      <c r="BI733" s="2"/>
      <c r="BJ733" s="7"/>
      <c r="BK733" s="2"/>
    </row>
    <row r="734" spans="15:63" ht="12.3" x14ac:dyDescent="0.4">
      <c r="O734" s="5"/>
      <c r="BH734" s="2"/>
      <c r="BI734" s="2"/>
      <c r="BJ734" s="7"/>
      <c r="BK734" s="2"/>
    </row>
    <row r="735" spans="15:63" ht="12.3" x14ac:dyDescent="0.4">
      <c r="O735" s="5"/>
      <c r="BH735" s="2"/>
      <c r="BI735" s="2"/>
      <c r="BJ735" s="7"/>
      <c r="BK735" s="2"/>
    </row>
    <row r="736" spans="15:63" ht="12.3" x14ac:dyDescent="0.4">
      <c r="O736" s="5"/>
      <c r="BH736" s="2"/>
      <c r="BI736" s="2"/>
      <c r="BJ736" s="7"/>
      <c r="BK736" s="2"/>
    </row>
    <row r="737" spans="15:63" ht="12.3" x14ac:dyDescent="0.4">
      <c r="O737" s="5"/>
      <c r="BH737" s="2"/>
      <c r="BI737" s="2"/>
      <c r="BJ737" s="7"/>
      <c r="BK737" s="2"/>
    </row>
    <row r="738" spans="15:63" ht="12.3" x14ac:dyDescent="0.4">
      <c r="O738" s="5"/>
      <c r="BH738" s="2"/>
      <c r="BI738" s="2"/>
      <c r="BJ738" s="7"/>
      <c r="BK738" s="2"/>
    </row>
    <row r="739" spans="15:63" ht="12.3" x14ac:dyDescent="0.4">
      <c r="O739" s="5"/>
      <c r="BH739" s="2"/>
      <c r="BI739" s="2"/>
      <c r="BJ739" s="7"/>
      <c r="BK739" s="2"/>
    </row>
    <row r="740" spans="15:63" ht="12.3" x14ac:dyDescent="0.4">
      <c r="O740" s="5"/>
      <c r="BH740" s="2"/>
      <c r="BI740" s="2"/>
      <c r="BJ740" s="7"/>
      <c r="BK740" s="2"/>
    </row>
    <row r="741" spans="15:63" ht="12.3" x14ac:dyDescent="0.4">
      <c r="O741" s="5"/>
      <c r="BH741" s="2"/>
      <c r="BI741" s="2"/>
      <c r="BJ741" s="7"/>
      <c r="BK741" s="2"/>
    </row>
    <row r="742" spans="15:63" ht="12.3" x14ac:dyDescent="0.4">
      <c r="O742" s="5"/>
      <c r="BH742" s="2"/>
      <c r="BI742" s="2"/>
      <c r="BJ742" s="7"/>
      <c r="BK742" s="2"/>
    </row>
    <row r="743" spans="15:63" ht="12.3" x14ac:dyDescent="0.4">
      <c r="O743" s="5"/>
      <c r="BH743" s="2"/>
      <c r="BI743" s="2"/>
      <c r="BJ743" s="7"/>
      <c r="BK743" s="2"/>
    </row>
    <row r="744" spans="15:63" ht="12.3" x14ac:dyDescent="0.4">
      <c r="O744" s="5"/>
      <c r="BH744" s="2"/>
      <c r="BI744" s="2"/>
      <c r="BJ744" s="7"/>
      <c r="BK744" s="2"/>
    </row>
    <row r="745" spans="15:63" ht="12.3" x14ac:dyDescent="0.4">
      <c r="O745" s="5"/>
      <c r="BH745" s="2"/>
      <c r="BI745" s="2"/>
      <c r="BJ745" s="7"/>
      <c r="BK745" s="2"/>
    </row>
    <row r="746" spans="15:63" ht="12.3" x14ac:dyDescent="0.4">
      <c r="O746" s="5"/>
      <c r="BH746" s="2"/>
      <c r="BI746" s="2"/>
      <c r="BJ746" s="7"/>
      <c r="BK746" s="2"/>
    </row>
    <row r="747" spans="15:63" ht="12.3" x14ac:dyDescent="0.4">
      <c r="O747" s="5"/>
      <c r="BH747" s="2"/>
      <c r="BI747" s="2"/>
      <c r="BJ747" s="7"/>
      <c r="BK747" s="2"/>
    </row>
    <row r="748" spans="15:63" ht="12.3" x14ac:dyDescent="0.4">
      <c r="O748" s="5"/>
      <c r="BH748" s="2"/>
      <c r="BI748" s="2"/>
      <c r="BJ748" s="7"/>
      <c r="BK748" s="2"/>
    </row>
    <row r="749" spans="15:63" ht="12.3" x14ac:dyDescent="0.4">
      <c r="O749" s="5"/>
      <c r="BH749" s="2"/>
      <c r="BI749" s="2"/>
      <c r="BJ749" s="7"/>
      <c r="BK749" s="2"/>
    </row>
    <row r="750" spans="15:63" ht="12.3" x14ac:dyDescent="0.4">
      <c r="O750" s="5"/>
      <c r="BH750" s="2"/>
      <c r="BI750" s="2"/>
      <c r="BJ750" s="7"/>
      <c r="BK750" s="2"/>
    </row>
    <row r="751" spans="15:63" ht="12.3" x14ac:dyDescent="0.4">
      <c r="O751" s="5"/>
      <c r="BH751" s="2"/>
      <c r="BI751" s="2"/>
      <c r="BJ751" s="7"/>
      <c r="BK751" s="2"/>
    </row>
    <row r="752" spans="15:63" ht="12.3" x14ac:dyDescent="0.4">
      <c r="O752" s="5"/>
      <c r="BH752" s="2"/>
      <c r="BI752" s="2"/>
      <c r="BJ752" s="7"/>
      <c r="BK752" s="2"/>
    </row>
    <row r="753" spans="15:63" ht="12.3" x14ac:dyDescent="0.4">
      <c r="O753" s="5"/>
      <c r="BH753" s="2"/>
      <c r="BI753" s="2"/>
      <c r="BJ753" s="7"/>
      <c r="BK753" s="2"/>
    </row>
    <row r="754" spans="15:63" ht="12.3" x14ac:dyDescent="0.4">
      <c r="O754" s="5"/>
      <c r="BH754" s="2"/>
      <c r="BI754" s="2"/>
      <c r="BJ754" s="7"/>
      <c r="BK754" s="2"/>
    </row>
    <row r="755" spans="15:63" ht="12.3" x14ac:dyDescent="0.4">
      <c r="O755" s="5"/>
      <c r="BH755" s="2"/>
      <c r="BI755" s="2"/>
      <c r="BJ755" s="7"/>
      <c r="BK755" s="2"/>
    </row>
    <row r="756" spans="15:63" ht="12.3" x14ac:dyDescent="0.4">
      <c r="O756" s="5"/>
      <c r="BH756" s="2"/>
      <c r="BI756" s="2"/>
      <c r="BJ756" s="7"/>
      <c r="BK756" s="2"/>
    </row>
    <row r="757" spans="15:63" ht="12.3" x14ac:dyDescent="0.4">
      <c r="O757" s="5"/>
      <c r="BH757" s="2"/>
      <c r="BI757" s="2"/>
      <c r="BJ757" s="7"/>
      <c r="BK757" s="2"/>
    </row>
    <row r="758" spans="15:63" ht="12.3" x14ac:dyDescent="0.4">
      <c r="O758" s="5"/>
      <c r="BH758" s="2"/>
      <c r="BI758" s="2"/>
      <c r="BJ758" s="7"/>
      <c r="BK758" s="2"/>
    </row>
    <row r="759" spans="15:63" ht="12.3" x14ac:dyDescent="0.4">
      <c r="O759" s="5"/>
      <c r="BH759" s="2"/>
      <c r="BI759" s="2"/>
      <c r="BJ759" s="7"/>
      <c r="BK759" s="2"/>
    </row>
    <row r="760" spans="15:63" ht="12.3" x14ac:dyDescent="0.4">
      <c r="O760" s="5"/>
      <c r="BH760" s="2"/>
      <c r="BI760" s="2"/>
      <c r="BJ760" s="7"/>
      <c r="BK760" s="2"/>
    </row>
    <row r="761" spans="15:63" ht="12.3" x14ac:dyDescent="0.4">
      <c r="O761" s="5"/>
      <c r="BH761" s="2"/>
      <c r="BI761" s="2"/>
      <c r="BJ761" s="7"/>
      <c r="BK761" s="2"/>
    </row>
    <row r="762" spans="15:63" ht="12.3" x14ac:dyDescent="0.4">
      <c r="O762" s="5"/>
      <c r="BH762" s="2"/>
      <c r="BI762" s="2"/>
      <c r="BJ762" s="7"/>
      <c r="BK762" s="2"/>
    </row>
    <row r="763" spans="15:63" ht="12.3" x14ac:dyDescent="0.4">
      <c r="O763" s="5"/>
      <c r="BH763" s="2"/>
      <c r="BI763" s="2"/>
      <c r="BJ763" s="7"/>
      <c r="BK763" s="2"/>
    </row>
    <row r="764" spans="15:63" ht="12.3" x14ac:dyDescent="0.4">
      <c r="O764" s="5"/>
      <c r="BH764" s="2"/>
      <c r="BI764" s="2"/>
      <c r="BJ764" s="7"/>
      <c r="BK764" s="2"/>
    </row>
    <row r="765" spans="15:63" ht="12.3" x14ac:dyDescent="0.4">
      <c r="O765" s="5"/>
      <c r="BH765" s="2"/>
      <c r="BI765" s="2"/>
      <c r="BJ765" s="7"/>
      <c r="BK765" s="2"/>
    </row>
    <row r="766" spans="15:63" ht="12.3" x14ac:dyDescent="0.4">
      <c r="O766" s="5"/>
      <c r="BH766" s="2"/>
      <c r="BI766" s="2"/>
      <c r="BJ766" s="7"/>
      <c r="BK766" s="2"/>
    </row>
    <row r="767" spans="15:63" ht="12.3" x14ac:dyDescent="0.4">
      <c r="O767" s="5"/>
      <c r="BH767" s="2"/>
      <c r="BI767" s="2"/>
      <c r="BJ767" s="7"/>
      <c r="BK767" s="2"/>
    </row>
    <row r="768" spans="15:63" ht="12.3" x14ac:dyDescent="0.4">
      <c r="O768" s="5"/>
      <c r="BH768" s="2"/>
      <c r="BI768" s="2"/>
      <c r="BJ768" s="7"/>
      <c r="BK768" s="2"/>
    </row>
    <row r="769" spans="15:63" ht="12.3" x14ac:dyDescent="0.4">
      <c r="O769" s="5"/>
      <c r="BH769" s="2"/>
      <c r="BI769" s="2"/>
      <c r="BJ769" s="7"/>
      <c r="BK769" s="2"/>
    </row>
    <row r="770" spans="15:63" ht="12.3" x14ac:dyDescent="0.4">
      <c r="O770" s="5"/>
      <c r="BH770" s="2"/>
      <c r="BI770" s="2"/>
      <c r="BJ770" s="7"/>
      <c r="BK770" s="2"/>
    </row>
    <row r="771" spans="15:63" ht="12.3" x14ac:dyDescent="0.4">
      <c r="O771" s="5"/>
      <c r="BH771" s="2"/>
      <c r="BI771" s="2"/>
      <c r="BJ771" s="7"/>
      <c r="BK771" s="2"/>
    </row>
    <row r="772" spans="15:63" ht="12.3" x14ac:dyDescent="0.4">
      <c r="O772" s="5"/>
      <c r="BH772" s="2"/>
      <c r="BI772" s="2"/>
      <c r="BJ772" s="7"/>
      <c r="BK772" s="2"/>
    </row>
    <row r="773" spans="15:63" ht="12.3" x14ac:dyDescent="0.4">
      <c r="O773" s="5"/>
      <c r="BH773" s="2"/>
      <c r="BI773" s="2"/>
      <c r="BJ773" s="7"/>
      <c r="BK773" s="2"/>
    </row>
    <row r="774" spans="15:63" ht="12.3" x14ac:dyDescent="0.4">
      <c r="O774" s="5"/>
      <c r="BH774" s="2"/>
      <c r="BI774" s="2"/>
      <c r="BJ774" s="7"/>
      <c r="BK774" s="2"/>
    </row>
    <row r="775" spans="15:63" ht="12.3" x14ac:dyDescent="0.4">
      <c r="O775" s="5"/>
      <c r="BH775" s="2"/>
      <c r="BI775" s="2"/>
      <c r="BJ775" s="7"/>
      <c r="BK775" s="2"/>
    </row>
    <row r="776" spans="15:63" ht="12.3" x14ac:dyDescent="0.4">
      <c r="O776" s="5"/>
      <c r="BH776" s="2"/>
      <c r="BI776" s="2"/>
      <c r="BJ776" s="7"/>
      <c r="BK776" s="2"/>
    </row>
    <row r="777" spans="15:63" ht="12.3" x14ac:dyDescent="0.4">
      <c r="O777" s="5"/>
      <c r="BH777" s="2"/>
      <c r="BI777" s="2"/>
      <c r="BJ777" s="7"/>
      <c r="BK777" s="2"/>
    </row>
    <row r="778" spans="15:63" ht="12.3" x14ac:dyDescent="0.4">
      <c r="O778" s="5"/>
      <c r="BH778" s="2"/>
      <c r="BI778" s="2"/>
      <c r="BJ778" s="7"/>
      <c r="BK778" s="2"/>
    </row>
    <row r="779" spans="15:63" ht="12.3" x14ac:dyDescent="0.4">
      <c r="O779" s="5"/>
      <c r="BH779" s="2"/>
      <c r="BI779" s="2"/>
      <c r="BJ779" s="7"/>
      <c r="BK779" s="2"/>
    </row>
    <row r="780" spans="15:63" ht="12.3" x14ac:dyDescent="0.4">
      <c r="O780" s="5"/>
      <c r="BH780" s="2"/>
      <c r="BI780" s="2"/>
      <c r="BJ780" s="7"/>
      <c r="BK780" s="2"/>
    </row>
    <row r="781" spans="15:63" ht="12.3" x14ac:dyDescent="0.4">
      <c r="O781" s="5"/>
      <c r="BH781" s="2"/>
      <c r="BI781" s="2"/>
      <c r="BJ781" s="7"/>
      <c r="BK781" s="2"/>
    </row>
    <row r="782" spans="15:63" ht="12.3" x14ac:dyDescent="0.4">
      <c r="O782" s="5"/>
      <c r="BH782" s="2"/>
      <c r="BI782" s="2"/>
      <c r="BJ782" s="7"/>
      <c r="BK782" s="2"/>
    </row>
    <row r="783" spans="15:63" ht="12.3" x14ac:dyDescent="0.4">
      <c r="O783" s="5"/>
      <c r="BH783" s="2"/>
      <c r="BI783" s="2"/>
      <c r="BJ783" s="7"/>
      <c r="BK783" s="2"/>
    </row>
    <row r="784" spans="15:63" ht="12.3" x14ac:dyDescent="0.4">
      <c r="O784" s="5"/>
      <c r="BH784" s="2"/>
      <c r="BI784" s="2"/>
      <c r="BJ784" s="7"/>
      <c r="BK784" s="2"/>
    </row>
    <row r="785" spans="15:63" ht="12.3" x14ac:dyDescent="0.4">
      <c r="O785" s="5"/>
      <c r="BH785" s="2"/>
      <c r="BI785" s="2"/>
      <c r="BJ785" s="7"/>
      <c r="BK785" s="2"/>
    </row>
    <row r="786" spans="15:63" ht="12.3" x14ac:dyDescent="0.4">
      <c r="O786" s="5"/>
      <c r="BH786" s="2"/>
      <c r="BI786" s="2"/>
      <c r="BJ786" s="7"/>
      <c r="BK786" s="2"/>
    </row>
    <row r="787" spans="15:63" ht="12.3" x14ac:dyDescent="0.4">
      <c r="O787" s="5"/>
      <c r="BH787" s="2"/>
      <c r="BI787" s="2"/>
      <c r="BJ787" s="7"/>
      <c r="BK787" s="2"/>
    </row>
    <row r="788" spans="15:63" ht="12.3" x14ac:dyDescent="0.4">
      <c r="O788" s="5"/>
      <c r="BH788" s="2"/>
      <c r="BI788" s="2"/>
      <c r="BJ788" s="7"/>
      <c r="BK788" s="2"/>
    </row>
    <row r="789" spans="15:63" ht="12.3" x14ac:dyDescent="0.4">
      <c r="O789" s="5"/>
      <c r="BH789" s="2"/>
      <c r="BI789" s="2"/>
      <c r="BJ789" s="7"/>
      <c r="BK789" s="2"/>
    </row>
    <row r="790" spans="15:63" ht="12.3" x14ac:dyDescent="0.4">
      <c r="O790" s="5"/>
      <c r="BH790" s="2"/>
      <c r="BI790" s="2"/>
      <c r="BJ790" s="7"/>
      <c r="BK790" s="2"/>
    </row>
    <row r="791" spans="15:63" ht="12.3" x14ac:dyDescent="0.4">
      <c r="O791" s="5"/>
      <c r="BH791" s="2"/>
      <c r="BI791" s="2"/>
      <c r="BJ791" s="7"/>
      <c r="BK791" s="2"/>
    </row>
    <row r="792" spans="15:63" ht="12.3" x14ac:dyDescent="0.4">
      <c r="O792" s="5"/>
      <c r="BH792" s="2"/>
      <c r="BI792" s="2"/>
      <c r="BJ792" s="7"/>
      <c r="BK792" s="2"/>
    </row>
    <row r="793" spans="15:63" ht="12.3" x14ac:dyDescent="0.4">
      <c r="O793" s="5"/>
      <c r="BH793" s="2"/>
      <c r="BI793" s="2"/>
      <c r="BJ793" s="7"/>
      <c r="BK793" s="2"/>
    </row>
    <row r="794" spans="15:63" ht="12.3" x14ac:dyDescent="0.4">
      <c r="O794" s="5"/>
      <c r="BH794" s="2"/>
      <c r="BI794" s="2"/>
      <c r="BJ794" s="7"/>
      <c r="BK794" s="2"/>
    </row>
    <row r="795" spans="15:63" ht="12.3" x14ac:dyDescent="0.4">
      <c r="O795" s="5"/>
      <c r="BH795" s="2"/>
      <c r="BI795" s="2"/>
      <c r="BJ795" s="7"/>
      <c r="BK795" s="2"/>
    </row>
    <row r="796" spans="15:63" ht="12.3" x14ac:dyDescent="0.4">
      <c r="O796" s="5"/>
      <c r="BH796" s="2"/>
      <c r="BI796" s="2"/>
      <c r="BJ796" s="7"/>
      <c r="BK796" s="2"/>
    </row>
    <row r="797" spans="15:63" ht="12.3" x14ac:dyDescent="0.4">
      <c r="O797" s="5"/>
      <c r="BH797" s="2"/>
      <c r="BI797" s="2"/>
      <c r="BJ797" s="7"/>
      <c r="BK797" s="2"/>
    </row>
    <row r="798" spans="15:63" ht="12.3" x14ac:dyDescent="0.4">
      <c r="O798" s="5"/>
      <c r="BH798" s="2"/>
      <c r="BI798" s="2"/>
      <c r="BJ798" s="7"/>
      <c r="BK798" s="2"/>
    </row>
    <row r="799" spans="15:63" ht="12.3" x14ac:dyDescent="0.4">
      <c r="O799" s="5"/>
      <c r="BH799" s="2"/>
      <c r="BI799" s="2"/>
      <c r="BJ799" s="7"/>
      <c r="BK799" s="2"/>
    </row>
    <row r="800" spans="15:63" ht="12.3" x14ac:dyDescent="0.4">
      <c r="O800" s="5"/>
      <c r="BH800" s="2"/>
      <c r="BI800" s="2"/>
      <c r="BJ800" s="7"/>
      <c r="BK800" s="2"/>
    </row>
    <row r="801" spans="15:63" ht="12.3" x14ac:dyDescent="0.4">
      <c r="O801" s="5"/>
      <c r="BH801" s="2"/>
      <c r="BI801" s="2"/>
      <c r="BJ801" s="7"/>
      <c r="BK801" s="2"/>
    </row>
    <row r="802" spans="15:63" ht="12.3" x14ac:dyDescent="0.4">
      <c r="O802" s="5"/>
      <c r="BH802" s="2"/>
      <c r="BI802" s="2"/>
      <c r="BJ802" s="7"/>
      <c r="BK802" s="2"/>
    </row>
    <row r="803" spans="15:63" ht="12.3" x14ac:dyDescent="0.4">
      <c r="O803" s="5"/>
      <c r="BH803" s="2"/>
      <c r="BI803" s="2"/>
      <c r="BJ803" s="7"/>
      <c r="BK803" s="2"/>
    </row>
    <row r="804" spans="15:63" ht="12.3" x14ac:dyDescent="0.4">
      <c r="O804" s="5"/>
      <c r="BH804" s="2"/>
      <c r="BI804" s="2"/>
      <c r="BJ804" s="7"/>
      <c r="BK804" s="2"/>
    </row>
    <row r="805" spans="15:63" ht="12.3" x14ac:dyDescent="0.4">
      <c r="O805" s="5"/>
      <c r="BH805" s="2"/>
      <c r="BI805" s="2"/>
      <c r="BJ805" s="7"/>
      <c r="BK805" s="2"/>
    </row>
    <row r="806" spans="15:63" ht="12.3" x14ac:dyDescent="0.4">
      <c r="O806" s="5"/>
      <c r="BH806" s="2"/>
      <c r="BI806" s="2"/>
      <c r="BJ806" s="7"/>
      <c r="BK806" s="2"/>
    </row>
    <row r="807" spans="15:63" ht="12.3" x14ac:dyDescent="0.4">
      <c r="O807" s="5"/>
      <c r="BH807" s="2"/>
      <c r="BI807" s="2"/>
      <c r="BJ807" s="7"/>
      <c r="BK807" s="2"/>
    </row>
    <row r="808" spans="15:63" ht="12.3" x14ac:dyDescent="0.4">
      <c r="O808" s="5"/>
      <c r="BH808" s="2"/>
      <c r="BI808" s="2"/>
      <c r="BJ808" s="7"/>
      <c r="BK808" s="2"/>
    </row>
    <row r="809" spans="15:63" ht="12.3" x14ac:dyDescent="0.4">
      <c r="O809" s="5"/>
      <c r="BH809" s="2"/>
      <c r="BI809" s="2"/>
      <c r="BJ809" s="7"/>
      <c r="BK809" s="2"/>
    </row>
    <row r="810" spans="15:63" ht="12.3" x14ac:dyDescent="0.4">
      <c r="O810" s="5"/>
      <c r="BH810" s="2"/>
      <c r="BI810" s="2"/>
      <c r="BJ810" s="7"/>
      <c r="BK810" s="2"/>
    </row>
    <row r="811" spans="15:63" ht="12.3" x14ac:dyDescent="0.4">
      <c r="O811" s="5"/>
      <c r="BH811" s="2"/>
      <c r="BI811" s="2"/>
      <c r="BJ811" s="7"/>
      <c r="BK811" s="2"/>
    </row>
    <row r="812" spans="15:63" ht="12.3" x14ac:dyDescent="0.4">
      <c r="O812" s="5"/>
      <c r="BH812" s="2"/>
      <c r="BI812" s="2"/>
      <c r="BJ812" s="7"/>
      <c r="BK812" s="2"/>
    </row>
    <row r="813" spans="15:63" ht="12.3" x14ac:dyDescent="0.4">
      <c r="O813" s="5"/>
      <c r="BH813" s="2"/>
      <c r="BI813" s="2"/>
      <c r="BJ813" s="7"/>
      <c r="BK813" s="2"/>
    </row>
    <row r="814" spans="15:63" ht="12.3" x14ac:dyDescent="0.4">
      <c r="O814" s="5"/>
      <c r="BH814" s="2"/>
      <c r="BI814" s="2"/>
      <c r="BJ814" s="7"/>
      <c r="BK814" s="2"/>
    </row>
    <row r="815" spans="15:63" ht="12.3" x14ac:dyDescent="0.4">
      <c r="O815" s="5"/>
      <c r="BH815" s="2"/>
      <c r="BI815" s="2"/>
      <c r="BJ815" s="7"/>
      <c r="BK815" s="2"/>
    </row>
    <row r="816" spans="15:63" ht="12.3" x14ac:dyDescent="0.4">
      <c r="O816" s="5"/>
      <c r="BH816" s="2"/>
      <c r="BI816" s="2"/>
      <c r="BJ816" s="7"/>
      <c r="BK816" s="2"/>
    </row>
    <row r="817" spans="15:63" ht="12.3" x14ac:dyDescent="0.4">
      <c r="O817" s="5"/>
      <c r="BH817" s="2"/>
      <c r="BI817" s="2"/>
      <c r="BJ817" s="7"/>
      <c r="BK817" s="2"/>
    </row>
    <row r="818" spans="15:63" ht="12.3" x14ac:dyDescent="0.4">
      <c r="O818" s="5"/>
      <c r="BH818" s="2"/>
      <c r="BI818" s="2"/>
      <c r="BJ818" s="7"/>
      <c r="BK818" s="2"/>
    </row>
    <row r="819" spans="15:63" ht="12.3" x14ac:dyDescent="0.4">
      <c r="O819" s="5"/>
      <c r="BH819" s="2"/>
      <c r="BI819" s="2"/>
      <c r="BJ819" s="7"/>
      <c r="BK819" s="2"/>
    </row>
    <row r="820" spans="15:63" ht="12.3" x14ac:dyDescent="0.4">
      <c r="O820" s="5"/>
      <c r="BH820" s="2"/>
      <c r="BI820" s="2"/>
      <c r="BJ820" s="7"/>
      <c r="BK820" s="2"/>
    </row>
    <row r="821" spans="15:63" ht="12.3" x14ac:dyDescent="0.4">
      <c r="O821" s="5"/>
      <c r="BH821" s="2"/>
      <c r="BI821" s="2"/>
      <c r="BJ821" s="7"/>
      <c r="BK821" s="2"/>
    </row>
    <row r="822" spans="15:63" ht="12.3" x14ac:dyDescent="0.4">
      <c r="O822" s="5"/>
      <c r="BH822" s="2"/>
      <c r="BI822" s="2"/>
      <c r="BJ822" s="7"/>
      <c r="BK822" s="2"/>
    </row>
    <row r="823" spans="15:63" ht="12.3" x14ac:dyDescent="0.4">
      <c r="O823" s="5"/>
      <c r="BH823" s="2"/>
      <c r="BI823" s="2"/>
      <c r="BJ823" s="7"/>
      <c r="BK823" s="2"/>
    </row>
    <row r="824" spans="15:63" ht="12.3" x14ac:dyDescent="0.4">
      <c r="O824" s="5"/>
      <c r="BH824" s="2"/>
      <c r="BI824" s="2"/>
      <c r="BJ824" s="7"/>
      <c r="BK824" s="2"/>
    </row>
    <row r="825" spans="15:63" ht="12.3" x14ac:dyDescent="0.4">
      <c r="O825" s="5"/>
      <c r="BH825" s="2"/>
      <c r="BI825" s="2"/>
      <c r="BJ825" s="7"/>
      <c r="BK825" s="2"/>
    </row>
    <row r="826" spans="15:63" ht="12.3" x14ac:dyDescent="0.4">
      <c r="O826" s="5"/>
      <c r="BH826" s="2"/>
      <c r="BI826" s="2"/>
      <c r="BJ826" s="7"/>
      <c r="BK826" s="2"/>
    </row>
    <row r="827" spans="15:63" ht="12.3" x14ac:dyDescent="0.4">
      <c r="O827" s="5"/>
      <c r="BH827" s="2"/>
      <c r="BI827" s="2"/>
      <c r="BJ827" s="7"/>
      <c r="BK827" s="2"/>
    </row>
    <row r="828" spans="15:63" ht="12.3" x14ac:dyDescent="0.4">
      <c r="O828" s="5"/>
      <c r="BH828" s="2"/>
      <c r="BI828" s="2"/>
      <c r="BJ828" s="7"/>
      <c r="BK828" s="2"/>
    </row>
    <row r="829" spans="15:63" ht="12.3" x14ac:dyDescent="0.4">
      <c r="O829" s="5"/>
      <c r="BH829" s="2"/>
      <c r="BI829" s="2"/>
      <c r="BJ829" s="7"/>
      <c r="BK829" s="2"/>
    </row>
    <row r="830" spans="15:63" ht="12.3" x14ac:dyDescent="0.4">
      <c r="O830" s="5"/>
      <c r="BH830" s="2"/>
      <c r="BI830" s="2"/>
      <c r="BJ830" s="7"/>
      <c r="BK830" s="2"/>
    </row>
    <row r="831" spans="15:63" ht="12.3" x14ac:dyDescent="0.4">
      <c r="O831" s="5"/>
      <c r="BH831" s="2"/>
      <c r="BI831" s="2"/>
      <c r="BJ831" s="7"/>
      <c r="BK831" s="2"/>
    </row>
    <row r="832" spans="15:63" ht="12.3" x14ac:dyDescent="0.4">
      <c r="O832" s="5"/>
      <c r="BH832" s="2"/>
      <c r="BI832" s="2"/>
      <c r="BJ832" s="7"/>
      <c r="BK832" s="2"/>
    </row>
    <row r="833" spans="15:63" ht="12.3" x14ac:dyDescent="0.4">
      <c r="O833" s="5"/>
      <c r="BH833" s="2"/>
      <c r="BI833" s="2"/>
      <c r="BJ833" s="7"/>
      <c r="BK833" s="2"/>
    </row>
    <row r="834" spans="15:63" ht="12.3" x14ac:dyDescent="0.4">
      <c r="O834" s="5"/>
      <c r="BH834" s="2"/>
      <c r="BI834" s="2"/>
      <c r="BJ834" s="7"/>
      <c r="BK834" s="2"/>
    </row>
    <row r="835" spans="15:63" ht="12.3" x14ac:dyDescent="0.4">
      <c r="O835" s="5"/>
      <c r="BH835" s="2"/>
      <c r="BI835" s="2"/>
      <c r="BJ835" s="7"/>
      <c r="BK835" s="2"/>
    </row>
    <row r="836" spans="15:63" ht="12.3" x14ac:dyDescent="0.4">
      <c r="O836" s="5"/>
      <c r="BH836" s="2"/>
      <c r="BI836" s="2"/>
      <c r="BJ836" s="7"/>
      <c r="BK836" s="2"/>
    </row>
    <row r="837" spans="15:63" ht="12.3" x14ac:dyDescent="0.4">
      <c r="O837" s="5"/>
      <c r="BH837" s="2"/>
      <c r="BI837" s="2"/>
      <c r="BJ837" s="7"/>
      <c r="BK837" s="2"/>
    </row>
    <row r="838" spans="15:63" ht="12.3" x14ac:dyDescent="0.4">
      <c r="O838" s="5"/>
      <c r="BH838" s="2"/>
      <c r="BI838" s="2"/>
      <c r="BJ838" s="7"/>
      <c r="BK838" s="2"/>
    </row>
    <row r="839" spans="15:63" ht="12.3" x14ac:dyDescent="0.4">
      <c r="O839" s="5"/>
      <c r="BH839" s="2"/>
      <c r="BI839" s="2"/>
      <c r="BJ839" s="7"/>
      <c r="BK839" s="2"/>
    </row>
    <row r="840" spans="15:63" ht="12.3" x14ac:dyDescent="0.4">
      <c r="O840" s="5"/>
      <c r="BH840" s="2"/>
      <c r="BI840" s="2"/>
      <c r="BJ840" s="7"/>
      <c r="BK840" s="2"/>
    </row>
    <row r="841" spans="15:63" ht="12.3" x14ac:dyDescent="0.4">
      <c r="O841" s="5"/>
      <c r="BH841" s="2"/>
      <c r="BI841" s="2"/>
      <c r="BJ841" s="7"/>
      <c r="BK841" s="2"/>
    </row>
    <row r="842" spans="15:63" ht="12.3" x14ac:dyDescent="0.4">
      <c r="O842" s="5"/>
      <c r="BH842" s="2"/>
      <c r="BI842" s="2"/>
      <c r="BJ842" s="7"/>
      <c r="BK842" s="2"/>
    </row>
    <row r="843" spans="15:63" ht="12.3" x14ac:dyDescent="0.4">
      <c r="O843" s="5"/>
      <c r="BH843" s="2"/>
      <c r="BI843" s="2"/>
      <c r="BJ843" s="7"/>
      <c r="BK843" s="2"/>
    </row>
    <row r="844" spans="15:63" ht="12.3" x14ac:dyDescent="0.4">
      <c r="O844" s="5"/>
      <c r="BH844" s="2"/>
      <c r="BI844" s="2"/>
      <c r="BJ844" s="7"/>
      <c r="BK844" s="2"/>
    </row>
    <row r="845" spans="15:63" ht="12.3" x14ac:dyDescent="0.4">
      <c r="O845" s="5"/>
      <c r="BH845" s="2"/>
      <c r="BI845" s="2"/>
      <c r="BJ845" s="7"/>
      <c r="BK845" s="2"/>
    </row>
    <row r="846" spans="15:63" ht="12.3" x14ac:dyDescent="0.4">
      <c r="O846" s="5"/>
      <c r="BH846" s="2"/>
      <c r="BI846" s="2"/>
      <c r="BJ846" s="7"/>
      <c r="BK846" s="2"/>
    </row>
    <row r="847" spans="15:63" ht="12.3" x14ac:dyDescent="0.4">
      <c r="O847" s="5"/>
      <c r="BH847" s="2"/>
      <c r="BI847" s="2"/>
      <c r="BJ847" s="7"/>
      <c r="BK847" s="2"/>
    </row>
    <row r="848" spans="15:63" ht="12.3" x14ac:dyDescent="0.4">
      <c r="O848" s="5"/>
      <c r="BH848" s="2"/>
      <c r="BI848" s="2"/>
      <c r="BJ848" s="7"/>
      <c r="BK848" s="2"/>
    </row>
    <row r="849" spans="15:63" ht="12.3" x14ac:dyDescent="0.4">
      <c r="O849" s="5"/>
      <c r="BH849" s="2"/>
      <c r="BI849" s="2"/>
      <c r="BJ849" s="7"/>
      <c r="BK849" s="2"/>
    </row>
    <row r="850" spans="15:63" ht="12.3" x14ac:dyDescent="0.4">
      <c r="O850" s="5"/>
      <c r="BH850" s="2"/>
      <c r="BI850" s="2"/>
      <c r="BJ850" s="7"/>
      <c r="BK850" s="2"/>
    </row>
    <row r="851" spans="15:63" ht="12.3" x14ac:dyDescent="0.4">
      <c r="O851" s="5"/>
      <c r="BH851" s="2"/>
      <c r="BI851" s="2"/>
      <c r="BJ851" s="7"/>
      <c r="BK851" s="2"/>
    </row>
    <row r="852" spans="15:63" ht="12.3" x14ac:dyDescent="0.4">
      <c r="O852" s="5"/>
      <c r="BH852" s="2"/>
      <c r="BI852" s="2"/>
      <c r="BJ852" s="7"/>
      <c r="BK852" s="2"/>
    </row>
    <row r="853" spans="15:63" ht="12.3" x14ac:dyDescent="0.4">
      <c r="O853" s="5"/>
      <c r="BH853" s="2"/>
      <c r="BI853" s="2"/>
      <c r="BJ853" s="7"/>
      <c r="BK853" s="2"/>
    </row>
    <row r="854" spans="15:63" ht="12.3" x14ac:dyDescent="0.4">
      <c r="O854" s="5"/>
      <c r="BH854" s="2"/>
      <c r="BI854" s="2"/>
      <c r="BJ854" s="7"/>
      <c r="BK854" s="2"/>
    </row>
    <row r="855" spans="15:63" ht="12.3" x14ac:dyDescent="0.4">
      <c r="O855" s="5"/>
      <c r="BH855" s="2"/>
      <c r="BI855" s="2"/>
      <c r="BJ855" s="7"/>
      <c r="BK855" s="2"/>
    </row>
    <row r="856" spans="15:63" ht="12.3" x14ac:dyDescent="0.4">
      <c r="O856" s="5"/>
      <c r="BH856" s="2"/>
      <c r="BI856" s="2"/>
      <c r="BJ856" s="7"/>
      <c r="BK856" s="2"/>
    </row>
    <row r="857" spans="15:63" ht="12.3" x14ac:dyDescent="0.4">
      <c r="O857" s="5"/>
      <c r="BH857" s="2"/>
      <c r="BI857" s="2"/>
      <c r="BJ857" s="7"/>
      <c r="BK857" s="2"/>
    </row>
    <row r="858" spans="15:63" ht="12.3" x14ac:dyDescent="0.4">
      <c r="O858" s="5"/>
      <c r="BH858" s="2"/>
      <c r="BI858" s="2"/>
      <c r="BJ858" s="7"/>
      <c r="BK858" s="2"/>
    </row>
    <row r="859" spans="15:63" ht="12.3" x14ac:dyDescent="0.4">
      <c r="O859" s="5"/>
      <c r="BH859" s="2"/>
      <c r="BI859" s="2"/>
      <c r="BJ859" s="7"/>
      <c r="BK859" s="2"/>
    </row>
    <row r="860" spans="15:63" ht="12.3" x14ac:dyDescent="0.4">
      <c r="O860" s="5"/>
      <c r="BH860" s="2"/>
      <c r="BI860" s="2"/>
      <c r="BJ860" s="7"/>
      <c r="BK860" s="2"/>
    </row>
    <row r="861" spans="15:63" ht="12.3" x14ac:dyDescent="0.4">
      <c r="O861" s="5"/>
      <c r="BH861" s="2"/>
      <c r="BI861" s="2"/>
      <c r="BJ861" s="7"/>
      <c r="BK861" s="2"/>
    </row>
    <row r="862" spans="15:63" ht="12.3" x14ac:dyDescent="0.4">
      <c r="O862" s="5"/>
      <c r="BH862" s="2"/>
      <c r="BI862" s="2"/>
      <c r="BJ862" s="7"/>
      <c r="BK862" s="2"/>
    </row>
    <row r="863" spans="15:63" ht="12.3" x14ac:dyDescent="0.4">
      <c r="O863" s="5"/>
      <c r="BH863" s="2"/>
      <c r="BI863" s="2"/>
      <c r="BJ863" s="7"/>
      <c r="BK863" s="2"/>
    </row>
    <row r="864" spans="15:63" ht="12.3" x14ac:dyDescent="0.4">
      <c r="O864" s="5"/>
      <c r="BH864" s="2"/>
      <c r="BI864" s="2"/>
      <c r="BJ864" s="7"/>
      <c r="BK864" s="2"/>
    </row>
    <row r="865" spans="15:63" ht="12.3" x14ac:dyDescent="0.4">
      <c r="O865" s="5"/>
      <c r="BH865" s="2"/>
      <c r="BI865" s="2"/>
      <c r="BJ865" s="7"/>
      <c r="BK865" s="2"/>
    </row>
    <row r="866" spans="15:63" ht="12.3" x14ac:dyDescent="0.4">
      <c r="O866" s="5"/>
      <c r="BH866" s="2"/>
      <c r="BI866" s="2"/>
      <c r="BJ866" s="7"/>
      <c r="BK866" s="2"/>
    </row>
    <row r="867" spans="15:63" ht="12.3" x14ac:dyDescent="0.4">
      <c r="O867" s="5"/>
      <c r="BH867" s="2"/>
      <c r="BI867" s="2"/>
      <c r="BJ867" s="7"/>
      <c r="BK867" s="2"/>
    </row>
    <row r="868" spans="15:63" ht="12.3" x14ac:dyDescent="0.4">
      <c r="O868" s="5"/>
      <c r="BH868" s="2"/>
      <c r="BI868" s="2"/>
      <c r="BJ868" s="7"/>
      <c r="BK868" s="2"/>
    </row>
    <row r="869" spans="15:63" ht="12.3" x14ac:dyDescent="0.4">
      <c r="O869" s="5"/>
      <c r="BH869" s="2"/>
      <c r="BI869" s="2"/>
      <c r="BJ869" s="7"/>
      <c r="BK869" s="2"/>
    </row>
    <row r="870" spans="15:63" ht="12.3" x14ac:dyDescent="0.4">
      <c r="O870" s="5"/>
      <c r="BH870" s="2"/>
      <c r="BI870" s="2"/>
      <c r="BJ870" s="7"/>
      <c r="BK870" s="2"/>
    </row>
    <row r="871" spans="15:63" ht="12.3" x14ac:dyDescent="0.4">
      <c r="O871" s="5"/>
      <c r="BH871" s="2"/>
      <c r="BI871" s="2"/>
      <c r="BJ871" s="7"/>
      <c r="BK871" s="2"/>
    </row>
    <row r="872" spans="15:63" ht="12.3" x14ac:dyDescent="0.4">
      <c r="O872" s="5"/>
      <c r="BH872" s="2"/>
      <c r="BI872" s="2"/>
      <c r="BJ872" s="7"/>
      <c r="BK872" s="2"/>
    </row>
    <row r="873" spans="15:63" ht="12.3" x14ac:dyDescent="0.4">
      <c r="O873" s="5"/>
      <c r="BH873" s="2"/>
      <c r="BI873" s="2"/>
      <c r="BJ873" s="7"/>
      <c r="BK873" s="2"/>
    </row>
    <row r="874" spans="15:63" ht="12.3" x14ac:dyDescent="0.4">
      <c r="O874" s="5"/>
      <c r="BH874" s="2"/>
      <c r="BI874" s="2"/>
      <c r="BJ874" s="7"/>
      <c r="BK874" s="2"/>
    </row>
    <row r="875" spans="15:63" ht="12.3" x14ac:dyDescent="0.4">
      <c r="O875" s="5"/>
      <c r="BH875" s="2"/>
      <c r="BI875" s="2"/>
      <c r="BJ875" s="7"/>
      <c r="BK875" s="2"/>
    </row>
    <row r="876" spans="15:63" ht="12.3" x14ac:dyDescent="0.4">
      <c r="O876" s="5"/>
      <c r="BH876" s="2"/>
      <c r="BI876" s="2"/>
      <c r="BJ876" s="7"/>
      <c r="BK876" s="2"/>
    </row>
    <row r="877" spans="15:63" ht="12.3" x14ac:dyDescent="0.4">
      <c r="O877" s="5"/>
      <c r="BH877" s="2"/>
      <c r="BI877" s="2"/>
      <c r="BJ877" s="7"/>
      <c r="BK877" s="2"/>
    </row>
    <row r="878" spans="15:63" ht="12.3" x14ac:dyDescent="0.4">
      <c r="O878" s="5"/>
      <c r="BH878" s="2"/>
      <c r="BI878" s="2"/>
      <c r="BJ878" s="7"/>
      <c r="BK878" s="2"/>
    </row>
    <row r="879" spans="15:63" ht="12.3" x14ac:dyDescent="0.4">
      <c r="O879" s="5"/>
      <c r="BH879" s="2"/>
      <c r="BI879" s="2"/>
      <c r="BJ879" s="7"/>
      <c r="BK879" s="2"/>
    </row>
    <row r="880" spans="15:63" ht="12.3" x14ac:dyDescent="0.4">
      <c r="O880" s="5"/>
      <c r="BH880" s="2"/>
      <c r="BI880" s="2"/>
      <c r="BJ880" s="7"/>
      <c r="BK880" s="2"/>
    </row>
    <row r="881" spans="15:63" ht="12.3" x14ac:dyDescent="0.4">
      <c r="O881" s="5"/>
      <c r="BH881" s="2"/>
      <c r="BI881" s="2"/>
      <c r="BJ881" s="7"/>
      <c r="BK881" s="2"/>
    </row>
    <row r="882" spans="15:63" ht="12.3" x14ac:dyDescent="0.4">
      <c r="O882" s="5"/>
      <c r="BH882" s="2"/>
      <c r="BI882" s="2"/>
      <c r="BJ882" s="7"/>
      <c r="BK882" s="2"/>
    </row>
    <row r="883" spans="15:63" ht="12.3" x14ac:dyDescent="0.4">
      <c r="O883" s="5"/>
      <c r="BH883" s="2"/>
      <c r="BI883" s="2"/>
      <c r="BJ883" s="7"/>
      <c r="BK883" s="2"/>
    </row>
    <row r="884" spans="15:63" ht="12.3" x14ac:dyDescent="0.4">
      <c r="O884" s="5"/>
      <c r="BH884" s="2"/>
      <c r="BI884" s="2"/>
      <c r="BJ884" s="7"/>
      <c r="BK884" s="2"/>
    </row>
    <row r="885" spans="15:63" ht="12.3" x14ac:dyDescent="0.4">
      <c r="O885" s="5"/>
      <c r="BH885" s="2"/>
      <c r="BI885" s="2"/>
      <c r="BJ885" s="7"/>
      <c r="BK885" s="2"/>
    </row>
    <row r="886" spans="15:63" ht="12.3" x14ac:dyDescent="0.4">
      <c r="O886" s="5"/>
      <c r="BH886" s="2"/>
      <c r="BI886" s="2"/>
      <c r="BJ886" s="7"/>
      <c r="BK886" s="2"/>
    </row>
    <row r="887" spans="15:63" ht="12.3" x14ac:dyDescent="0.4">
      <c r="O887" s="5"/>
      <c r="BH887" s="2"/>
      <c r="BI887" s="2"/>
      <c r="BJ887" s="7"/>
      <c r="BK887" s="2"/>
    </row>
    <row r="888" spans="15:63" ht="12.3" x14ac:dyDescent="0.4">
      <c r="O888" s="5"/>
      <c r="BH888" s="2"/>
      <c r="BI888" s="2"/>
      <c r="BJ888" s="7"/>
      <c r="BK888" s="2"/>
    </row>
    <row r="889" spans="15:63" ht="12.3" x14ac:dyDescent="0.4">
      <c r="O889" s="5"/>
      <c r="BH889" s="2"/>
      <c r="BI889" s="2"/>
      <c r="BJ889" s="7"/>
      <c r="BK889" s="2"/>
    </row>
    <row r="890" spans="15:63" ht="12.3" x14ac:dyDescent="0.4">
      <c r="O890" s="5"/>
      <c r="BH890" s="2"/>
      <c r="BI890" s="2"/>
      <c r="BJ890" s="7"/>
      <c r="BK890" s="2"/>
    </row>
    <row r="891" spans="15:63" ht="12.3" x14ac:dyDescent="0.4">
      <c r="O891" s="5"/>
      <c r="BH891" s="2"/>
      <c r="BI891" s="2"/>
      <c r="BJ891" s="7"/>
      <c r="BK891" s="2"/>
    </row>
    <row r="892" spans="15:63" ht="12.3" x14ac:dyDescent="0.4">
      <c r="O892" s="5"/>
      <c r="BH892" s="2"/>
      <c r="BI892" s="2"/>
      <c r="BJ892" s="7"/>
      <c r="BK892" s="2"/>
    </row>
    <row r="893" spans="15:63" ht="12.3" x14ac:dyDescent="0.4">
      <c r="O893" s="5"/>
      <c r="BH893" s="2"/>
      <c r="BI893" s="2"/>
      <c r="BJ893" s="7"/>
      <c r="BK893" s="2"/>
    </row>
    <row r="894" spans="15:63" ht="12.3" x14ac:dyDescent="0.4">
      <c r="O894" s="5"/>
      <c r="BH894" s="2"/>
      <c r="BI894" s="2"/>
      <c r="BJ894" s="7"/>
      <c r="BK894" s="2"/>
    </row>
    <row r="895" spans="15:63" ht="12.3" x14ac:dyDescent="0.4">
      <c r="O895" s="5"/>
      <c r="BH895" s="2"/>
      <c r="BI895" s="2"/>
      <c r="BJ895" s="7"/>
      <c r="BK895" s="2"/>
    </row>
    <row r="896" spans="15:63" ht="12.3" x14ac:dyDescent="0.4">
      <c r="O896" s="5"/>
      <c r="BH896" s="2"/>
      <c r="BI896" s="2"/>
      <c r="BJ896" s="7"/>
      <c r="BK896" s="2"/>
    </row>
    <row r="897" spans="15:63" ht="12.3" x14ac:dyDescent="0.4">
      <c r="O897" s="5"/>
      <c r="BH897" s="2"/>
      <c r="BI897" s="2"/>
      <c r="BJ897" s="7"/>
      <c r="BK897" s="2"/>
    </row>
    <row r="898" spans="15:63" ht="12.3" x14ac:dyDescent="0.4">
      <c r="O898" s="5"/>
      <c r="BH898" s="2"/>
      <c r="BI898" s="2"/>
      <c r="BJ898" s="7"/>
      <c r="BK898" s="2"/>
    </row>
    <row r="899" spans="15:63" ht="12.3" x14ac:dyDescent="0.4">
      <c r="O899" s="5"/>
      <c r="BH899" s="2"/>
      <c r="BI899" s="2"/>
      <c r="BJ899" s="7"/>
      <c r="BK899" s="2"/>
    </row>
    <row r="900" spans="15:63" ht="12.3" x14ac:dyDescent="0.4">
      <c r="O900" s="5"/>
      <c r="BH900" s="2"/>
      <c r="BI900" s="2"/>
      <c r="BJ900" s="7"/>
      <c r="BK900" s="2"/>
    </row>
    <row r="901" spans="15:63" ht="12.3" x14ac:dyDescent="0.4">
      <c r="O901" s="5"/>
      <c r="BH901" s="2"/>
      <c r="BI901" s="2"/>
      <c r="BJ901" s="7"/>
      <c r="BK901" s="2"/>
    </row>
    <row r="902" spans="15:63" ht="12.3" x14ac:dyDescent="0.4">
      <c r="O902" s="5"/>
      <c r="BH902" s="2"/>
      <c r="BI902" s="2"/>
      <c r="BJ902" s="7"/>
      <c r="BK902" s="2"/>
    </row>
    <row r="903" spans="15:63" ht="12.3" x14ac:dyDescent="0.4">
      <c r="O903" s="5"/>
      <c r="BH903" s="2"/>
      <c r="BI903" s="2"/>
      <c r="BJ903" s="7"/>
      <c r="BK903" s="2"/>
    </row>
    <row r="904" spans="15:63" ht="12.3" x14ac:dyDescent="0.4">
      <c r="O904" s="5"/>
      <c r="BH904" s="2"/>
      <c r="BI904" s="2"/>
      <c r="BJ904" s="7"/>
      <c r="BK904" s="2"/>
    </row>
    <row r="905" spans="15:63" ht="12.3" x14ac:dyDescent="0.4">
      <c r="O905" s="5"/>
      <c r="BH905" s="2"/>
      <c r="BI905" s="2"/>
      <c r="BJ905" s="7"/>
      <c r="BK905" s="2"/>
    </row>
    <row r="906" spans="15:63" ht="12.3" x14ac:dyDescent="0.4">
      <c r="O906" s="5"/>
      <c r="BH906" s="2"/>
      <c r="BI906" s="2"/>
      <c r="BJ906" s="7"/>
      <c r="BK906" s="2"/>
    </row>
    <row r="907" spans="15:63" ht="12.3" x14ac:dyDescent="0.4">
      <c r="O907" s="5"/>
      <c r="BH907" s="2"/>
      <c r="BI907" s="2"/>
      <c r="BJ907" s="7"/>
      <c r="BK907" s="2"/>
    </row>
    <row r="908" spans="15:63" ht="12.3" x14ac:dyDescent="0.4">
      <c r="O908" s="5"/>
      <c r="BH908" s="2"/>
      <c r="BI908" s="2"/>
      <c r="BJ908" s="7"/>
      <c r="BK908" s="2"/>
    </row>
    <row r="909" spans="15:63" ht="12.3" x14ac:dyDescent="0.4">
      <c r="O909" s="5"/>
      <c r="BH909" s="2"/>
      <c r="BI909" s="2"/>
      <c r="BJ909" s="7"/>
      <c r="BK909" s="2"/>
    </row>
    <row r="910" spans="15:63" ht="12.3" x14ac:dyDescent="0.4">
      <c r="O910" s="5"/>
      <c r="BH910" s="2"/>
      <c r="BI910" s="2"/>
      <c r="BJ910" s="7"/>
      <c r="BK910" s="2"/>
    </row>
    <row r="911" spans="15:63" ht="12.3" x14ac:dyDescent="0.4">
      <c r="O911" s="5"/>
      <c r="BH911" s="2"/>
      <c r="BI911" s="2"/>
      <c r="BJ911" s="7"/>
      <c r="BK911" s="2"/>
    </row>
    <row r="912" spans="15:63" ht="12.3" x14ac:dyDescent="0.4">
      <c r="O912" s="5"/>
      <c r="BH912" s="2"/>
      <c r="BI912" s="2"/>
      <c r="BJ912" s="7"/>
      <c r="BK912" s="2"/>
    </row>
    <row r="913" spans="15:63" ht="12.3" x14ac:dyDescent="0.4">
      <c r="O913" s="5"/>
      <c r="BH913" s="2"/>
      <c r="BI913" s="2"/>
      <c r="BJ913" s="7"/>
      <c r="BK913" s="2"/>
    </row>
    <row r="914" spans="15:63" ht="12.3" x14ac:dyDescent="0.4">
      <c r="O914" s="5"/>
      <c r="BH914" s="2"/>
      <c r="BI914" s="2"/>
      <c r="BJ914" s="7"/>
      <c r="BK914" s="2"/>
    </row>
    <row r="915" spans="15:63" ht="12.3" x14ac:dyDescent="0.4">
      <c r="O915" s="5"/>
      <c r="BH915" s="2"/>
      <c r="BI915" s="2"/>
      <c r="BJ915" s="7"/>
      <c r="BK915" s="2"/>
    </row>
    <row r="916" spans="15:63" ht="12.3" x14ac:dyDescent="0.4">
      <c r="O916" s="5"/>
      <c r="BH916" s="2"/>
      <c r="BI916" s="2"/>
      <c r="BJ916" s="7"/>
      <c r="BK916" s="2"/>
    </row>
    <row r="917" spans="15:63" ht="12.3" x14ac:dyDescent="0.4">
      <c r="O917" s="5"/>
      <c r="BH917" s="2"/>
      <c r="BI917" s="2"/>
      <c r="BJ917" s="7"/>
      <c r="BK917" s="2"/>
    </row>
    <row r="918" spans="15:63" ht="12.3" x14ac:dyDescent="0.4">
      <c r="O918" s="5"/>
      <c r="BH918" s="2"/>
      <c r="BI918" s="2"/>
      <c r="BJ918" s="7"/>
      <c r="BK918" s="2"/>
    </row>
    <row r="919" spans="15:63" ht="12.3" x14ac:dyDescent="0.4">
      <c r="O919" s="5"/>
      <c r="BH919" s="2"/>
      <c r="BI919" s="2"/>
      <c r="BJ919" s="7"/>
      <c r="BK919" s="2"/>
    </row>
    <row r="920" spans="15:63" ht="12.3" x14ac:dyDescent="0.4">
      <c r="O920" s="5"/>
      <c r="BH920" s="2"/>
      <c r="BI920" s="2"/>
      <c r="BJ920" s="7"/>
      <c r="BK920" s="2"/>
    </row>
    <row r="921" spans="15:63" ht="12.3" x14ac:dyDescent="0.4">
      <c r="O921" s="5"/>
      <c r="BH921" s="2"/>
      <c r="BI921" s="2"/>
      <c r="BJ921" s="7"/>
      <c r="BK921" s="2"/>
    </row>
    <row r="922" spans="15:63" ht="12.3" x14ac:dyDescent="0.4">
      <c r="O922" s="5"/>
      <c r="BH922" s="2"/>
      <c r="BI922" s="2"/>
      <c r="BJ922" s="7"/>
      <c r="BK922" s="2"/>
    </row>
    <row r="923" spans="15:63" ht="12.3" x14ac:dyDescent="0.4">
      <c r="O923" s="5"/>
      <c r="BH923" s="2"/>
      <c r="BI923" s="2"/>
      <c r="BJ923" s="7"/>
      <c r="BK923" s="2"/>
    </row>
    <row r="924" spans="15:63" ht="12.3" x14ac:dyDescent="0.4">
      <c r="O924" s="5"/>
      <c r="BH924" s="2"/>
      <c r="BI924" s="2"/>
      <c r="BJ924" s="7"/>
      <c r="BK924" s="2"/>
    </row>
    <row r="925" spans="15:63" ht="12.3" x14ac:dyDescent="0.4">
      <c r="O925" s="5"/>
      <c r="BH925" s="2"/>
      <c r="BI925" s="2"/>
      <c r="BJ925" s="7"/>
      <c r="BK925" s="2"/>
    </row>
    <row r="926" spans="15:63" ht="12.3" x14ac:dyDescent="0.4">
      <c r="O926" s="5"/>
      <c r="BH926" s="2"/>
      <c r="BI926" s="2"/>
      <c r="BJ926" s="7"/>
      <c r="BK926" s="2"/>
    </row>
    <row r="927" spans="15:63" ht="12.3" x14ac:dyDescent="0.4">
      <c r="O927" s="5"/>
      <c r="BH927" s="2"/>
      <c r="BI927" s="2"/>
      <c r="BJ927" s="7"/>
      <c r="BK927" s="2"/>
    </row>
    <row r="928" spans="15:63" ht="12.3" x14ac:dyDescent="0.4">
      <c r="O928" s="5"/>
      <c r="BH928" s="2"/>
      <c r="BI928" s="2"/>
      <c r="BJ928" s="7"/>
      <c r="BK928" s="2"/>
    </row>
    <row r="929" spans="15:63" ht="12.3" x14ac:dyDescent="0.4">
      <c r="O929" s="5"/>
      <c r="BH929" s="2"/>
      <c r="BI929" s="2"/>
      <c r="BJ929" s="7"/>
      <c r="BK929" s="2"/>
    </row>
    <row r="930" spans="15:63" ht="12.3" x14ac:dyDescent="0.4">
      <c r="O930" s="5"/>
      <c r="BH930" s="2"/>
      <c r="BI930" s="2"/>
      <c r="BJ930" s="7"/>
      <c r="BK930" s="2"/>
    </row>
    <row r="931" spans="15:63" ht="12.3" x14ac:dyDescent="0.4">
      <c r="O931" s="5"/>
      <c r="BH931" s="2"/>
      <c r="BI931" s="2"/>
      <c r="BJ931" s="7"/>
      <c r="BK931" s="2"/>
    </row>
    <row r="932" spans="15:63" ht="12.3" x14ac:dyDescent="0.4">
      <c r="O932" s="5"/>
      <c r="BH932" s="2"/>
      <c r="BI932" s="2"/>
      <c r="BJ932" s="7"/>
      <c r="BK932" s="2"/>
    </row>
    <row r="933" spans="15:63" ht="12.3" x14ac:dyDescent="0.4">
      <c r="O933" s="5"/>
      <c r="BH933" s="2"/>
      <c r="BI933" s="2"/>
      <c r="BJ933" s="7"/>
      <c r="BK933" s="2"/>
    </row>
    <row r="934" spans="15:63" ht="12.3" x14ac:dyDescent="0.4">
      <c r="O934" s="5"/>
      <c r="BH934" s="2"/>
      <c r="BI934" s="2"/>
      <c r="BJ934" s="7"/>
      <c r="BK934" s="2"/>
    </row>
    <row r="935" spans="15:63" ht="12.3" x14ac:dyDescent="0.4">
      <c r="O935" s="5"/>
      <c r="BH935" s="2"/>
      <c r="BI935" s="2"/>
      <c r="BJ935" s="7"/>
      <c r="BK935" s="2"/>
    </row>
    <row r="936" spans="15:63" ht="12.3" x14ac:dyDescent="0.4">
      <c r="O936" s="5"/>
      <c r="BH936" s="2"/>
      <c r="BI936" s="2"/>
      <c r="BJ936" s="7"/>
      <c r="BK936" s="2"/>
    </row>
    <row r="937" spans="15:63" ht="12.3" x14ac:dyDescent="0.4">
      <c r="O937" s="5"/>
      <c r="BH937" s="2"/>
      <c r="BI937" s="2"/>
      <c r="BJ937" s="7"/>
      <c r="BK937" s="2"/>
    </row>
    <row r="938" spans="15:63" ht="12.3" x14ac:dyDescent="0.4">
      <c r="O938" s="5"/>
      <c r="BH938" s="2"/>
      <c r="BI938" s="2"/>
      <c r="BJ938" s="7"/>
      <c r="BK938" s="2"/>
    </row>
    <row r="939" spans="15:63" ht="12.3" x14ac:dyDescent="0.4">
      <c r="O939" s="5"/>
      <c r="BH939" s="2"/>
      <c r="BI939" s="2"/>
      <c r="BJ939" s="7"/>
      <c r="BK939" s="2"/>
    </row>
    <row r="940" spans="15:63" ht="12.3" x14ac:dyDescent="0.4">
      <c r="O940" s="5"/>
      <c r="BH940" s="2"/>
      <c r="BI940" s="2"/>
      <c r="BJ940" s="7"/>
      <c r="BK940" s="2"/>
    </row>
    <row r="941" spans="15:63" ht="12.3" x14ac:dyDescent="0.4">
      <c r="O941" s="5"/>
      <c r="BH941" s="2"/>
      <c r="BI941" s="2"/>
      <c r="BJ941" s="7"/>
      <c r="BK941" s="2"/>
    </row>
    <row r="942" spans="15:63" ht="12.3" x14ac:dyDescent="0.4">
      <c r="O942" s="5"/>
      <c r="BH942" s="2"/>
      <c r="BI942" s="2"/>
      <c r="BJ942" s="7"/>
      <c r="BK942" s="2"/>
    </row>
    <row r="943" spans="15:63" ht="12.3" x14ac:dyDescent="0.4">
      <c r="O943" s="5"/>
      <c r="BH943" s="2"/>
      <c r="BI943" s="2"/>
      <c r="BJ943" s="7"/>
      <c r="BK943" s="2"/>
    </row>
    <row r="944" spans="15:63" ht="12.3" x14ac:dyDescent="0.4">
      <c r="O944" s="5"/>
      <c r="BH944" s="2"/>
      <c r="BI944" s="2"/>
      <c r="BJ944" s="7"/>
      <c r="BK944" s="2"/>
    </row>
    <row r="945" spans="15:63" ht="12.3" x14ac:dyDescent="0.4">
      <c r="O945" s="5"/>
      <c r="BH945" s="2"/>
      <c r="BI945" s="2"/>
      <c r="BJ945" s="7"/>
      <c r="BK945" s="2"/>
    </row>
    <row r="946" spans="15:63" ht="12.3" x14ac:dyDescent="0.4">
      <c r="O946" s="5"/>
      <c r="BH946" s="2"/>
      <c r="BI946" s="2"/>
      <c r="BJ946" s="7"/>
      <c r="BK946" s="2"/>
    </row>
    <row r="947" spans="15:63" ht="12.3" x14ac:dyDescent="0.4">
      <c r="O947" s="5"/>
      <c r="BH947" s="2"/>
      <c r="BI947" s="2"/>
      <c r="BJ947" s="7"/>
      <c r="BK947" s="2"/>
    </row>
    <row r="948" spans="15:63" ht="12.3" x14ac:dyDescent="0.4">
      <c r="O948" s="5"/>
      <c r="BH948" s="2"/>
      <c r="BI948" s="2"/>
      <c r="BJ948" s="7"/>
      <c r="BK948" s="2"/>
    </row>
    <row r="949" spans="15:63" ht="12.3" x14ac:dyDescent="0.4">
      <c r="O949" s="5"/>
      <c r="BH949" s="2"/>
      <c r="BI949" s="2"/>
      <c r="BJ949" s="7"/>
      <c r="BK949" s="2"/>
    </row>
    <row r="950" spans="15:63" ht="12.3" x14ac:dyDescent="0.4">
      <c r="O950" s="5"/>
      <c r="BH950" s="2"/>
      <c r="BI950" s="2"/>
      <c r="BJ950" s="7"/>
      <c r="BK950" s="2"/>
    </row>
    <row r="951" spans="15:63" ht="12.3" x14ac:dyDescent="0.4">
      <c r="O951" s="5"/>
      <c r="BH951" s="2"/>
      <c r="BI951" s="2"/>
      <c r="BJ951" s="7"/>
      <c r="BK951" s="2"/>
    </row>
    <row r="952" spans="15:63" ht="12.3" x14ac:dyDescent="0.4">
      <c r="O952" s="5"/>
      <c r="BH952" s="2"/>
      <c r="BI952" s="2"/>
      <c r="BJ952" s="7"/>
      <c r="BK952" s="2"/>
    </row>
    <row r="953" spans="15:63" ht="12.3" x14ac:dyDescent="0.4">
      <c r="O953" s="5"/>
      <c r="BH953" s="2"/>
      <c r="BI953" s="2"/>
      <c r="BJ953" s="7"/>
      <c r="BK953" s="2"/>
    </row>
    <row r="954" spans="15:63" ht="12.3" x14ac:dyDescent="0.4">
      <c r="O954" s="5"/>
      <c r="BH954" s="2"/>
      <c r="BI954" s="2"/>
      <c r="BJ954" s="7"/>
      <c r="BK954" s="2"/>
    </row>
    <row r="955" spans="15:63" ht="12.3" x14ac:dyDescent="0.4">
      <c r="O955" s="5"/>
      <c r="BH955" s="2"/>
      <c r="BI955" s="2"/>
      <c r="BJ955" s="7"/>
      <c r="BK955" s="2"/>
    </row>
    <row r="956" spans="15:63" ht="12.3" x14ac:dyDescent="0.4">
      <c r="O956" s="5"/>
      <c r="BH956" s="2"/>
      <c r="BI956" s="2"/>
      <c r="BJ956" s="7"/>
      <c r="BK956" s="2"/>
    </row>
    <row r="957" spans="15:63" ht="12.3" x14ac:dyDescent="0.4">
      <c r="O957" s="5"/>
      <c r="BH957" s="2"/>
      <c r="BI957" s="2"/>
      <c r="BJ957" s="7"/>
      <c r="BK957" s="2"/>
    </row>
    <row r="958" spans="15:63" ht="12.3" x14ac:dyDescent="0.4">
      <c r="O958" s="5"/>
      <c r="BH958" s="2"/>
      <c r="BI958" s="2"/>
      <c r="BJ958" s="7"/>
      <c r="BK958" s="2"/>
    </row>
    <row r="959" spans="15:63" ht="12.3" x14ac:dyDescent="0.4">
      <c r="O959" s="5"/>
      <c r="BH959" s="2"/>
      <c r="BI959" s="2"/>
      <c r="BJ959" s="7"/>
      <c r="BK959" s="2"/>
    </row>
    <row r="960" spans="15:63" ht="12.3" x14ac:dyDescent="0.4">
      <c r="O960" s="5"/>
      <c r="BH960" s="2"/>
      <c r="BI960" s="2"/>
      <c r="BJ960" s="7"/>
      <c r="BK960" s="2"/>
    </row>
    <row r="961" spans="15:63" ht="12.3" x14ac:dyDescent="0.4">
      <c r="O961" s="5"/>
      <c r="BH961" s="2"/>
      <c r="BI961" s="2"/>
      <c r="BJ961" s="7"/>
      <c r="BK961" s="2"/>
    </row>
    <row r="962" spans="15:63" ht="12.3" x14ac:dyDescent="0.4">
      <c r="O962" s="5"/>
      <c r="BH962" s="2"/>
      <c r="BI962" s="2"/>
      <c r="BJ962" s="7"/>
      <c r="BK962" s="2"/>
    </row>
    <row r="963" spans="15:63" ht="12.3" x14ac:dyDescent="0.4">
      <c r="O963" s="5"/>
      <c r="BH963" s="2"/>
      <c r="BI963" s="2"/>
      <c r="BJ963" s="7"/>
      <c r="BK963" s="2"/>
    </row>
    <row r="964" spans="15:63" ht="12.3" x14ac:dyDescent="0.4">
      <c r="O964" s="5"/>
      <c r="BH964" s="2"/>
      <c r="BI964" s="2"/>
      <c r="BJ964" s="7"/>
      <c r="BK964" s="2"/>
    </row>
    <row r="965" spans="15:63" ht="12.3" x14ac:dyDescent="0.4">
      <c r="O965" s="5"/>
      <c r="BH965" s="2"/>
      <c r="BI965" s="2"/>
      <c r="BJ965" s="7"/>
      <c r="BK965" s="2"/>
    </row>
    <row r="966" spans="15:63" ht="12.3" x14ac:dyDescent="0.4">
      <c r="O966" s="5"/>
      <c r="BH966" s="2"/>
      <c r="BI966" s="2"/>
      <c r="BJ966" s="7"/>
      <c r="BK966" s="2"/>
    </row>
    <row r="967" spans="15:63" ht="12.3" x14ac:dyDescent="0.4">
      <c r="O967" s="5"/>
      <c r="BH967" s="2"/>
      <c r="BI967" s="2"/>
      <c r="BJ967" s="7"/>
      <c r="BK967" s="2"/>
    </row>
    <row r="968" spans="15:63" ht="12.3" x14ac:dyDescent="0.4">
      <c r="O968" s="5"/>
      <c r="BH968" s="2"/>
      <c r="BI968" s="2"/>
      <c r="BJ968" s="7"/>
      <c r="BK968" s="2"/>
    </row>
    <row r="969" spans="15:63" ht="12.3" x14ac:dyDescent="0.4">
      <c r="O969" s="5"/>
      <c r="BH969" s="2"/>
      <c r="BI969" s="2"/>
      <c r="BJ969" s="7"/>
      <c r="BK969" s="2"/>
    </row>
    <row r="970" spans="15:63" ht="12.3" x14ac:dyDescent="0.4">
      <c r="O970" s="5"/>
      <c r="BH970" s="2"/>
      <c r="BI970" s="2"/>
      <c r="BJ970" s="7"/>
      <c r="BK970" s="2"/>
    </row>
    <row r="971" spans="15:63" ht="12.3" x14ac:dyDescent="0.4">
      <c r="O971" s="5"/>
      <c r="BH971" s="2"/>
      <c r="BI971" s="2"/>
      <c r="BJ971" s="7"/>
      <c r="BK971" s="2"/>
    </row>
    <row r="972" spans="15:63" ht="12.3" x14ac:dyDescent="0.4">
      <c r="O972" s="5"/>
      <c r="BH972" s="2"/>
      <c r="BI972" s="2"/>
      <c r="BJ972" s="7"/>
      <c r="BK972" s="2"/>
    </row>
    <row r="973" spans="15:63" ht="12.3" x14ac:dyDescent="0.4">
      <c r="O973" s="5"/>
      <c r="BH973" s="2"/>
      <c r="BI973" s="2"/>
      <c r="BJ973" s="7"/>
      <c r="BK973" s="2"/>
    </row>
    <row r="974" spans="15:63" ht="12.3" x14ac:dyDescent="0.4">
      <c r="O974" s="5"/>
      <c r="BH974" s="2"/>
      <c r="BI974" s="2"/>
      <c r="BJ974" s="7"/>
      <c r="BK974" s="2"/>
    </row>
    <row r="975" spans="15:63" ht="12.3" x14ac:dyDescent="0.4">
      <c r="O975" s="5"/>
      <c r="BH975" s="2"/>
      <c r="BI975" s="2"/>
      <c r="BJ975" s="7"/>
      <c r="BK975" s="2"/>
    </row>
    <row r="976" spans="15:63" ht="12.3" x14ac:dyDescent="0.4">
      <c r="O976" s="5"/>
      <c r="BH976" s="2"/>
      <c r="BI976" s="2"/>
      <c r="BJ976" s="7"/>
      <c r="BK976" s="2"/>
    </row>
    <row r="977" spans="15:63" ht="12.3" x14ac:dyDescent="0.4">
      <c r="O977" s="5"/>
      <c r="BH977" s="2"/>
      <c r="BI977" s="2"/>
      <c r="BJ977" s="7"/>
      <c r="BK977" s="2"/>
    </row>
    <row r="978" spans="15:63" ht="12.3" x14ac:dyDescent="0.4">
      <c r="O978" s="5"/>
      <c r="BH978" s="2"/>
      <c r="BI978" s="2"/>
      <c r="BJ978" s="7"/>
      <c r="BK978" s="2"/>
    </row>
    <row r="979" spans="15:63" ht="12.3" x14ac:dyDescent="0.4">
      <c r="O979" s="5"/>
      <c r="BH979" s="2"/>
      <c r="BI979" s="2"/>
      <c r="BJ979" s="7"/>
      <c r="BK979" s="2"/>
    </row>
    <row r="980" spans="15:63" ht="12.3" x14ac:dyDescent="0.4">
      <c r="O980" s="5"/>
      <c r="BH980" s="2"/>
      <c r="BI980" s="2"/>
      <c r="BJ980" s="7"/>
      <c r="BK980" s="2"/>
    </row>
    <row r="981" spans="15:63" ht="12.3" x14ac:dyDescent="0.4">
      <c r="O981" s="5"/>
      <c r="BH981" s="2"/>
      <c r="BI981" s="2"/>
      <c r="BJ981" s="7"/>
      <c r="BK981" s="2"/>
    </row>
    <row r="982" spans="15:63" ht="12.3" x14ac:dyDescent="0.4">
      <c r="O982" s="5"/>
      <c r="BH982" s="2"/>
      <c r="BI982" s="2"/>
      <c r="BJ982" s="7"/>
      <c r="BK982" s="2"/>
    </row>
    <row r="983" spans="15:63" ht="12.3" x14ac:dyDescent="0.4">
      <c r="O983" s="5"/>
      <c r="BH983" s="2"/>
      <c r="BI983" s="2"/>
      <c r="BJ983" s="7"/>
      <c r="BK983" s="2"/>
    </row>
    <row r="984" spans="15:63" ht="12.3" x14ac:dyDescent="0.4">
      <c r="O984" s="5"/>
      <c r="BH984" s="2"/>
      <c r="BI984" s="2"/>
      <c r="BJ984" s="7"/>
      <c r="BK984" s="2"/>
    </row>
    <row r="985" spans="15:63" ht="12.3" x14ac:dyDescent="0.4">
      <c r="O985" s="5"/>
      <c r="BH985" s="2"/>
      <c r="BI985" s="2"/>
      <c r="BJ985" s="7"/>
      <c r="BK985" s="2"/>
    </row>
    <row r="986" spans="15:63" ht="12.3" x14ac:dyDescent="0.4">
      <c r="O986" s="5"/>
      <c r="BH986" s="2"/>
      <c r="BI986" s="2"/>
      <c r="BJ986" s="7"/>
      <c r="BK986" s="2"/>
    </row>
    <row r="987" spans="15:63" ht="12.3" x14ac:dyDescent="0.4">
      <c r="O987" s="5"/>
      <c r="BH987" s="2"/>
      <c r="BI987" s="2"/>
      <c r="BJ987" s="7"/>
      <c r="BK987" s="2"/>
    </row>
    <row r="988" spans="15:63" ht="12.3" x14ac:dyDescent="0.4">
      <c r="O988" s="5"/>
      <c r="BH988" s="2"/>
      <c r="BI988" s="2"/>
      <c r="BJ988" s="7"/>
      <c r="BK988" s="2"/>
    </row>
    <row r="989" spans="15:63" ht="12.3" x14ac:dyDescent="0.4">
      <c r="O989" s="5"/>
      <c r="BH989" s="2"/>
      <c r="BI989" s="2"/>
      <c r="BJ989" s="7"/>
      <c r="BK989" s="2"/>
    </row>
    <row r="990" spans="15:63" ht="12.3" x14ac:dyDescent="0.4">
      <c r="O990" s="5"/>
      <c r="BH990" s="2"/>
      <c r="BI990" s="2"/>
      <c r="BJ990" s="7"/>
      <c r="BK990" s="2"/>
    </row>
    <row r="991" spans="15:63" ht="12.3" x14ac:dyDescent="0.4">
      <c r="O991" s="5"/>
      <c r="BH991" s="2"/>
      <c r="BI991" s="2"/>
      <c r="BJ991" s="7"/>
      <c r="BK991" s="2"/>
    </row>
    <row r="992" spans="15:63" ht="12.3" x14ac:dyDescent="0.4">
      <c r="O992" s="5"/>
      <c r="BH992" s="2"/>
      <c r="BI992" s="2"/>
      <c r="BJ992" s="7"/>
      <c r="BK992" s="2"/>
    </row>
    <row r="993" spans="15:63" ht="12.3" x14ac:dyDescent="0.4">
      <c r="O993" s="5"/>
      <c r="BH993" s="2"/>
      <c r="BI993" s="2"/>
      <c r="BJ993" s="7"/>
      <c r="BK993" s="2"/>
    </row>
    <row r="994" spans="15:63" ht="12.3" x14ac:dyDescent="0.4">
      <c r="O994" s="5"/>
      <c r="BH994" s="2"/>
      <c r="BI994" s="2"/>
      <c r="BJ994" s="7"/>
      <c r="BK994" s="2"/>
    </row>
    <row r="995" spans="15:63" ht="12.3" x14ac:dyDescent="0.4">
      <c r="O995" s="5"/>
      <c r="BH995" s="2"/>
      <c r="BI995" s="2"/>
      <c r="BJ995" s="7"/>
      <c r="BK995" s="2"/>
    </row>
    <row r="996" spans="15:63" ht="12.3" x14ac:dyDescent="0.4">
      <c r="O996" s="5"/>
      <c r="BH996" s="2"/>
      <c r="BI996" s="2"/>
      <c r="BJ996" s="7"/>
      <c r="BK996" s="2"/>
    </row>
    <row r="997" spans="15:63" ht="12.3" x14ac:dyDescent="0.4">
      <c r="O997" s="5"/>
      <c r="BH997" s="2"/>
      <c r="BI997" s="2"/>
      <c r="BJ997" s="7"/>
      <c r="BK997" s="2"/>
    </row>
    <row r="998" spans="15:63" ht="12.3" x14ac:dyDescent="0.4">
      <c r="O998" s="5"/>
      <c r="BH998" s="2"/>
      <c r="BI998" s="2"/>
      <c r="BJ998" s="7"/>
      <c r="BK998" s="2"/>
    </row>
    <row r="999" spans="15:63" ht="12.3" x14ac:dyDescent="0.4">
      <c r="O999" s="5"/>
      <c r="BH999" s="2"/>
      <c r="BI999" s="2"/>
      <c r="BJ999" s="7"/>
      <c r="BK999" s="2"/>
    </row>
    <row r="1000" spans="15:63" ht="12.3" x14ac:dyDescent="0.4">
      <c r="O1000" s="5"/>
      <c r="BH1000" s="2"/>
      <c r="BI1000" s="2"/>
      <c r="BJ1000" s="7"/>
      <c r="BK1000" s="2"/>
    </row>
    <row r="1001" spans="15:63" ht="12.3" x14ac:dyDescent="0.4">
      <c r="O1001" s="5"/>
      <c r="BH1001" s="2"/>
      <c r="BI1001" s="2"/>
      <c r="BJ1001" s="7"/>
      <c r="BK100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609375" defaultRowHeight="15.75" customHeight="1" x14ac:dyDescent="0.4"/>
  <cols>
    <col min="1" max="1" width="3.88671875" customWidth="1"/>
    <col min="3" max="3" width="6.38671875" customWidth="1"/>
    <col min="6" max="6" width="0.71875" customWidth="1"/>
    <col min="8" max="8" width="6.38671875" customWidth="1"/>
    <col min="10" max="12" width="0.71875" customWidth="1"/>
  </cols>
  <sheetData>
    <row r="1" spans="1:26" ht="15.75" customHeight="1" x14ac:dyDescent="0.4">
      <c r="A1" s="3" t="s">
        <v>8</v>
      </c>
      <c r="B1" s="3" t="s">
        <v>15</v>
      </c>
      <c r="C1" s="3" t="s">
        <v>309</v>
      </c>
      <c r="D1" s="12" t="s">
        <v>310</v>
      </c>
      <c r="E1" s="13" t="s">
        <v>311</v>
      </c>
      <c r="F1" s="14"/>
      <c r="M1" s="3" t="s">
        <v>312</v>
      </c>
      <c r="N1" s="3" t="s">
        <v>313</v>
      </c>
      <c r="O1" s="3" t="s">
        <v>314</v>
      </c>
      <c r="P1" s="3" t="s">
        <v>315</v>
      </c>
      <c r="Q1" s="3" t="s">
        <v>316</v>
      </c>
      <c r="R1" s="3" t="s">
        <v>317</v>
      </c>
      <c r="S1" s="3" t="s">
        <v>318</v>
      </c>
      <c r="T1" s="3" t="s">
        <v>319</v>
      </c>
      <c r="U1" s="3" t="s">
        <v>320</v>
      </c>
      <c r="V1" s="15" t="s">
        <v>321</v>
      </c>
      <c r="W1" s="2" t="str">
        <f t="shared" ref="W1:W2" si="0">M1</f>
        <v>Countries</v>
      </c>
      <c r="X1" s="2" t="str">
        <f t="shared" ref="X1:Y1" si="1">U1</f>
        <v>Num of Teams</v>
      </c>
      <c r="Y1" s="2" t="str">
        <f t="shared" si="1"/>
        <v>Overall Pts.</v>
      </c>
      <c r="Z1" s="3" t="s">
        <v>311</v>
      </c>
    </row>
    <row r="2" spans="1:26" ht="15.75" customHeight="1" x14ac:dyDescent="0.4">
      <c r="A2" s="2">
        <f>1</f>
        <v>1</v>
      </c>
      <c r="B2" s="2" t="s">
        <v>16</v>
      </c>
      <c r="C2" s="2">
        <v>7</v>
      </c>
      <c r="D2" s="7">
        <v>95.435617559523806</v>
      </c>
      <c r="E2" s="7">
        <v>13.633659651360544</v>
      </c>
      <c r="F2" s="14"/>
      <c r="G2" s="2" t="str">
        <f>'Overall Rankings'!BM3</f>
        <v>Chelsea</v>
      </c>
      <c r="H2" s="7">
        <f>'Overall Rankings'!BN3</f>
        <v>20.614903846153847</v>
      </c>
      <c r="I2" s="2" t="str">
        <f>'Overall Rankings'!BS3</f>
        <v>England</v>
      </c>
      <c r="J2" s="2" t="s">
        <v>147</v>
      </c>
      <c r="K2" s="7">
        <v>3.5308333333333337</v>
      </c>
      <c r="L2" s="2" t="s">
        <v>148</v>
      </c>
      <c r="M2" s="16" t="s">
        <v>148</v>
      </c>
      <c r="N2" s="2" t="str">
        <f>J2</f>
        <v>Tirana</v>
      </c>
      <c r="O2" s="2" t="str">
        <f>J3</f>
        <v>Teuta</v>
      </c>
      <c r="P2" s="2" t="str">
        <f>J4</f>
        <v>Kukësi</v>
      </c>
      <c r="Q2" s="2" t="str">
        <f>J5</f>
        <v>Laçi</v>
      </c>
      <c r="U2" s="23">
        <f>COUNTA(N2:T2)</f>
        <v>4</v>
      </c>
      <c r="V2" s="24">
        <f>SUM(N3:T3)</f>
        <v>10.230208333333334</v>
      </c>
      <c r="W2" s="2" t="str">
        <f t="shared" si="0"/>
        <v>Albania</v>
      </c>
      <c r="X2" s="2">
        <f t="shared" ref="X2:Y2" si="2">U2</f>
        <v>4</v>
      </c>
      <c r="Y2" s="7">
        <f t="shared" si="2"/>
        <v>10.230208333333334</v>
      </c>
      <c r="Z2" s="2">
        <f t="shared" ref="Z2:Z56" si="3">Y2/X2</f>
        <v>2.5575520833333334</v>
      </c>
    </row>
    <row r="3" spans="1:26" ht="15.75" customHeight="1" x14ac:dyDescent="0.4">
      <c r="A3" s="2">
        <f t="shared" ref="A3:A56" si="4">A2+1</f>
        <v>2</v>
      </c>
      <c r="B3" s="2" t="s">
        <v>19</v>
      </c>
      <c r="C3" s="2">
        <v>7</v>
      </c>
      <c r="D3" s="7">
        <v>80.890583333333325</v>
      </c>
      <c r="E3" s="7">
        <v>11.555797619047619</v>
      </c>
      <c r="F3" s="14"/>
      <c r="G3" s="2" t="str">
        <f>'Overall Rankings'!BM4</f>
        <v>Manchester City</v>
      </c>
      <c r="H3" s="7">
        <f>'Overall Rankings'!BN4</f>
        <v>19.128557692307691</v>
      </c>
      <c r="I3" s="2" t="str">
        <f>'Overall Rankings'!BS4</f>
        <v>England</v>
      </c>
      <c r="J3" s="2" t="s">
        <v>192</v>
      </c>
      <c r="K3" s="7">
        <v>2.32375</v>
      </c>
      <c r="L3" s="2" t="s">
        <v>148</v>
      </c>
      <c r="M3" s="3" t="s">
        <v>322</v>
      </c>
      <c r="N3" s="7">
        <f>K2</f>
        <v>3.5308333333333337</v>
      </c>
      <c r="O3" s="7">
        <f>K3</f>
        <v>2.32375</v>
      </c>
      <c r="P3" s="7">
        <f>K4</f>
        <v>2.223125</v>
      </c>
      <c r="Q3" s="7">
        <f>K5</f>
        <v>2.1524999999999999</v>
      </c>
      <c r="U3" s="22"/>
      <c r="V3" s="25"/>
      <c r="W3" s="2" t="str">
        <f>M4</f>
        <v>Andorra</v>
      </c>
      <c r="X3" s="2">
        <f t="shared" ref="X3:Y3" si="5">U4</f>
        <v>3</v>
      </c>
      <c r="Y3" s="7">
        <f t="shared" si="5"/>
        <v>2.1949999999999998</v>
      </c>
      <c r="Z3" s="2">
        <f t="shared" si="3"/>
        <v>0.73166666666666658</v>
      </c>
    </row>
    <row r="4" spans="1:26" ht="15.75" customHeight="1" x14ac:dyDescent="0.4">
      <c r="A4" s="2">
        <f t="shared" si="4"/>
        <v>3</v>
      </c>
      <c r="B4" s="2" t="s">
        <v>23</v>
      </c>
      <c r="C4" s="2">
        <v>7</v>
      </c>
      <c r="D4" s="7">
        <v>71.756187499999996</v>
      </c>
      <c r="E4" s="7">
        <v>10.250883928571428</v>
      </c>
      <c r="F4" s="14"/>
      <c r="G4" s="2" t="str">
        <f>'Overall Rankings'!BM5</f>
        <v>Real Madrid</v>
      </c>
      <c r="H4" s="7">
        <f>'Overall Rankings'!BN5</f>
        <v>16.264895833333334</v>
      </c>
      <c r="I4" s="2" t="str">
        <f>'Overall Rankings'!BS5</f>
        <v>Spain</v>
      </c>
      <c r="J4" s="2" t="s">
        <v>199</v>
      </c>
      <c r="K4" s="7">
        <v>2.223125</v>
      </c>
      <c r="L4" s="2" t="s">
        <v>148</v>
      </c>
      <c r="M4" s="16" t="s">
        <v>247</v>
      </c>
      <c r="N4" s="2" t="str">
        <f>J6</f>
        <v>Inter Club d'Escaldes</v>
      </c>
      <c r="O4" s="2" t="str">
        <f>J7</f>
        <v>FC Santa Coloma</v>
      </c>
      <c r="P4" s="2" t="str">
        <f>J8</f>
        <v>Engordany</v>
      </c>
      <c r="U4" s="23">
        <f>COUNTA(N4:T4)</f>
        <v>3</v>
      </c>
      <c r="V4" s="24">
        <f>SUM(N5:T5)</f>
        <v>2.1949999999999998</v>
      </c>
      <c r="W4" s="2" t="str">
        <f>M6</f>
        <v>Armenia</v>
      </c>
      <c r="X4" s="2">
        <f t="shared" ref="X4:Y4" si="6">U6</f>
        <v>4</v>
      </c>
      <c r="Y4" s="7">
        <f t="shared" si="6"/>
        <v>5.8393750000000004</v>
      </c>
      <c r="Z4" s="2">
        <f t="shared" si="3"/>
        <v>1.4598437500000001</v>
      </c>
    </row>
    <row r="5" spans="1:26" ht="15.75" customHeight="1" x14ac:dyDescent="0.4">
      <c r="A5" s="2">
        <f t="shared" si="4"/>
        <v>4</v>
      </c>
      <c r="B5" s="2" t="s">
        <v>33</v>
      </c>
      <c r="C5" s="2">
        <v>7</v>
      </c>
      <c r="D5" s="7">
        <v>70.501795444139191</v>
      </c>
      <c r="E5" s="7">
        <v>10.071685063448456</v>
      </c>
      <c r="F5" s="14"/>
      <c r="G5" s="2" t="str">
        <f>'Overall Rankings'!BM6</f>
        <v>Paris Saint-Germain</v>
      </c>
      <c r="H5" s="7">
        <f>'Overall Rankings'!BN6</f>
        <v>16.107499999999998</v>
      </c>
      <c r="I5" s="2" t="str">
        <f>'Overall Rankings'!BS6</f>
        <v>France</v>
      </c>
      <c r="J5" s="2" t="s">
        <v>204</v>
      </c>
      <c r="K5" s="7">
        <v>2.1524999999999999</v>
      </c>
      <c r="L5" s="2" t="s">
        <v>148</v>
      </c>
      <c r="M5" s="3" t="s">
        <v>322</v>
      </c>
      <c r="N5" s="7">
        <f>K6</f>
        <v>1.175</v>
      </c>
      <c r="O5" s="7">
        <f>K7</f>
        <v>0.64</v>
      </c>
      <c r="P5" s="7">
        <f>K8</f>
        <v>0.38</v>
      </c>
      <c r="U5" s="22"/>
      <c r="V5" s="25"/>
      <c r="W5" s="2" t="str">
        <f>M8</f>
        <v>Austria</v>
      </c>
      <c r="X5" s="2">
        <f t="shared" ref="X5:Y5" si="7">U8</f>
        <v>5</v>
      </c>
      <c r="Y5" s="7">
        <f t="shared" si="7"/>
        <v>29.402843750000002</v>
      </c>
      <c r="Z5" s="2">
        <f t="shared" si="3"/>
        <v>5.8805687500000001</v>
      </c>
    </row>
    <row r="6" spans="1:26" ht="15.75" customHeight="1" x14ac:dyDescent="0.4">
      <c r="A6" s="2">
        <f t="shared" si="4"/>
        <v>5</v>
      </c>
      <c r="B6" s="2" t="s">
        <v>21</v>
      </c>
      <c r="C6" s="2">
        <v>6</v>
      </c>
      <c r="D6" s="7">
        <v>45.602291666666659</v>
      </c>
      <c r="E6" s="7">
        <v>7.6003819444444431</v>
      </c>
      <c r="F6" s="14"/>
      <c r="G6" s="2" t="str">
        <f>'Overall Rankings'!BM7</f>
        <v>Bayern Munich</v>
      </c>
      <c r="H6" s="7">
        <f>'Overall Rankings'!BN7</f>
        <v>15.05275</v>
      </c>
      <c r="I6" s="2" t="str">
        <f>'Overall Rankings'!BS7</f>
        <v>Germany</v>
      </c>
      <c r="J6" s="2" t="s">
        <v>246</v>
      </c>
      <c r="K6" s="7">
        <v>1.175</v>
      </c>
      <c r="L6" s="2" t="s">
        <v>247</v>
      </c>
      <c r="M6" s="16" t="s">
        <v>144</v>
      </c>
      <c r="N6" s="2" t="str">
        <f>J9</f>
        <v>Ararat-Armenia</v>
      </c>
      <c r="O6" s="2" t="str">
        <f>J10</f>
        <v>Alashkert</v>
      </c>
      <c r="P6" s="2" t="str">
        <f>J11</f>
        <v>Noah</v>
      </c>
      <c r="Q6" s="2" t="str">
        <f>J12</f>
        <v>Shirak</v>
      </c>
      <c r="U6" s="23">
        <f>COUNTA(N6:T6)</f>
        <v>4</v>
      </c>
      <c r="V6" s="24">
        <f>SUM(N7:T7)</f>
        <v>5.8393750000000004</v>
      </c>
      <c r="W6" s="2" t="str">
        <f>M10</f>
        <v>Azerbaijan</v>
      </c>
      <c r="X6" s="2">
        <f t="shared" ref="X6:Y6" si="8">U10</f>
        <v>4</v>
      </c>
      <c r="Y6" s="7">
        <f t="shared" si="8"/>
        <v>9.5749999999999975</v>
      </c>
      <c r="Z6" s="2">
        <f t="shared" si="3"/>
        <v>2.3937499999999994</v>
      </c>
    </row>
    <row r="7" spans="1:26" ht="15.75" customHeight="1" x14ac:dyDescent="0.4">
      <c r="A7" s="2">
        <f t="shared" si="4"/>
        <v>6</v>
      </c>
      <c r="B7" s="2" t="s">
        <v>27</v>
      </c>
      <c r="C7" s="2">
        <v>5</v>
      </c>
      <c r="D7" s="7">
        <v>36.93860763888889</v>
      </c>
      <c r="E7" s="7">
        <v>7.3877215277777779</v>
      </c>
      <c r="F7" s="14"/>
      <c r="G7" s="2" t="str">
        <f>'Overall Rankings'!BM8</f>
        <v>Manchester United</v>
      </c>
      <c r="H7" s="7">
        <f>'Overall Rankings'!BN8</f>
        <v>14.803916666666666</v>
      </c>
      <c r="I7" s="2" t="str">
        <f>'Overall Rankings'!BS8</f>
        <v>England</v>
      </c>
      <c r="J7" s="2" t="s">
        <v>291</v>
      </c>
      <c r="K7" s="7">
        <v>0.64</v>
      </c>
      <c r="L7" s="2" t="s">
        <v>247</v>
      </c>
      <c r="M7" s="3" t="s">
        <v>322</v>
      </c>
      <c r="N7" s="7">
        <f>K9</f>
        <v>3.7443750000000002</v>
      </c>
      <c r="O7" s="7">
        <f>K10</f>
        <v>0.80499999999999994</v>
      </c>
      <c r="P7" s="7">
        <f>K11</f>
        <v>0.67500000000000004</v>
      </c>
      <c r="Q7" s="7">
        <f>K12</f>
        <v>0.61499999999999999</v>
      </c>
      <c r="U7" s="22"/>
      <c r="V7" s="25"/>
      <c r="W7" s="2" t="str">
        <f>M12</f>
        <v>Belarus</v>
      </c>
      <c r="X7" s="2">
        <f t="shared" ref="X7:Y7" si="9">U12</f>
        <v>4</v>
      </c>
      <c r="Y7" s="7">
        <f t="shared" si="9"/>
        <v>7.3487499999999999</v>
      </c>
      <c r="Z7" s="2">
        <f t="shared" si="3"/>
        <v>1.8371875</v>
      </c>
    </row>
    <row r="8" spans="1:26" ht="15.75" customHeight="1" x14ac:dyDescent="0.4">
      <c r="A8" s="2">
        <f t="shared" si="4"/>
        <v>7</v>
      </c>
      <c r="B8" s="2" t="s">
        <v>31</v>
      </c>
      <c r="C8" s="2">
        <v>5</v>
      </c>
      <c r="D8" s="7">
        <v>33.701749999999997</v>
      </c>
      <c r="E8" s="7">
        <v>6.7403499999999994</v>
      </c>
      <c r="F8" s="14"/>
      <c r="G8" s="2" t="str">
        <f>'Overall Rankings'!BM9</f>
        <v>Liverpool</v>
      </c>
      <c r="H8" s="7">
        <f>'Overall Rankings'!BN9</f>
        <v>14.439624999999999</v>
      </c>
      <c r="I8" s="2" t="str">
        <f>'Overall Rankings'!BS9</f>
        <v>England</v>
      </c>
      <c r="J8" s="2" t="s">
        <v>305</v>
      </c>
      <c r="K8" s="7">
        <v>0.38</v>
      </c>
      <c r="L8" s="2" t="s">
        <v>247</v>
      </c>
      <c r="M8" s="16" t="s">
        <v>60</v>
      </c>
      <c r="N8" s="2" t="str">
        <f>J13</f>
        <v>Red Bull Salzburg</v>
      </c>
      <c r="O8" s="2" t="str">
        <f>J14</f>
        <v>Wolfsberger AC</v>
      </c>
      <c r="P8" s="2" t="str">
        <f>J15</f>
        <v>Rapid Wien</v>
      </c>
      <c r="Q8" s="2" t="str">
        <f>J16</f>
        <v>LASK</v>
      </c>
      <c r="R8" s="2" t="str">
        <f>J17</f>
        <v>Hartberg</v>
      </c>
      <c r="U8" s="23">
        <f>COUNTA(N8:T8)</f>
        <v>5</v>
      </c>
      <c r="V8" s="24">
        <f>SUM(N9:T9)</f>
        <v>29.402843750000002</v>
      </c>
      <c r="W8" s="2" t="str">
        <f>M14</f>
        <v>Belgium</v>
      </c>
      <c r="X8" s="2">
        <f t="shared" ref="X8:Y8" si="10">U14</f>
        <v>5</v>
      </c>
      <c r="Y8" s="7">
        <f t="shared" si="10"/>
        <v>31.646788194444444</v>
      </c>
      <c r="Z8" s="2">
        <f t="shared" si="3"/>
        <v>6.3293576388888884</v>
      </c>
    </row>
    <row r="9" spans="1:26" ht="15.75" customHeight="1" x14ac:dyDescent="0.4">
      <c r="A9" s="2">
        <f t="shared" si="4"/>
        <v>8</v>
      </c>
      <c r="B9" s="2" t="s">
        <v>43</v>
      </c>
      <c r="C9" s="2">
        <v>5</v>
      </c>
      <c r="D9" s="7">
        <v>31.86236538461538</v>
      </c>
      <c r="E9" s="7">
        <v>6.3724730769230762</v>
      </c>
      <c r="F9" s="14"/>
      <c r="G9" s="2" t="str">
        <f>'Overall Rankings'!BM10</f>
        <v>Porto</v>
      </c>
      <c r="H9" s="7">
        <f>'Overall Rankings'!BN10</f>
        <v>14.35425</v>
      </c>
      <c r="I9" s="2" t="str">
        <f>'Overall Rankings'!BS10</f>
        <v>Portugal</v>
      </c>
      <c r="J9" s="2" t="s">
        <v>143</v>
      </c>
      <c r="K9" s="7">
        <v>3.7443750000000002</v>
      </c>
      <c r="L9" s="2" t="s">
        <v>144</v>
      </c>
      <c r="M9" s="3" t="s">
        <v>322</v>
      </c>
      <c r="N9" s="7">
        <f>K13</f>
        <v>9.7186249999999994</v>
      </c>
      <c r="O9" s="7">
        <f>K14</f>
        <v>6.6942187499999992</v>
      </c>
      <c r="P9" s="7">
        <f>K15</f>
        <v>5.9839062499999995</v>
      </c>
      <c r="Q9" s="7">
        <f>K16</f>
        <v>5.8010937499999997</v>
      </c>
      <c r="R9" s="7">
        <f>K17</f>
        <v>1.2050000000000001</v>
      </c>
      <c r="U9" s="22"/>
      <c r="V9" s="25"/>
      <c r="W9" s="2" t="str">
        <f>M16</f>
        <v>Bosnia and Herzegovina</v>
      </c>
      <c r="X9" s="2">
        <f t="shared" ref="X9:Y9" si="11">U16</f>
        <v>4</v>
      </c>
      <c r="Y9" s="7">
        <f t="shared" si="11"/>
        <v>9.5746874999999996</v>
      </c>
      <c r="Z9" s="2">
        <f t="shared" si="3"/>
        <v>2.3936718749999999</v>
      </c>
    </row>
    <row r="10" spans="1:26" ht="15.75" customHeight="1" x14ac:dyDescent="0.4">
      <c r="A10" s="2">
        <f t="shared" si="4"/>
        <v>9</v>
      </c>
      <c r="B10" s="2" t="s">
        <v>54</v>
      </c>
      <c r="C10" s="2">
        <v>5</v>
      </c>
      <c r="D10" s="7">
        <v>31.646788194444444</v>
      </c>
      <c r="E10" s="7">
        <v>6.3293576388888884</v>
      </c>
      <c r="F10" s="14"/>
      <c r="G10" s="2" t="str">
        <f>'Overall Rankings'!BM11</f>
        <v>Borussia Dortmund</v>
      </c>
      <c r="H10" s="7">
        <f>'Overall Rankings'!BN11</f>
        <v>14.206250000000001</v>
      </c>
      <c r="I10" s="2" t="str">
        <f>'Overall Rankings'!BS11</f>
        <v>Germany</v>
      </c>
      <c r="J10" s="2" t="s">
        <v>271</v>
      </c>
      <c r="K10" s="7">
        <v>0.80499999999999994</v>
      </c>
      <c r="L10" s="2" t="s">
        <v>144</v>
      </c>
      <c r="M10" s="16" t="s">
        <v>102</v>
      </c>
      <c r="N10" s="2" t="str">
        <f>J18</f>
        <v>Qarabağ</v>
      </c>
      <c r="O10" s="2" t="str">
        <f>J19</f>
        <v>Neftçi Baku</v>
      </c>
      <c r="P10" s="2" t="str">
        <f>J20</f>
        <v>Keşla</v>
      </c>
      <c r="Q10" s="2" t="str">
        <f>J21</f>
        <v>Sumgayit</v>
      </c>
      <c r="U10" s="23">
        <f>COUNTA(N10:T10)</f>
        <v>4</v>
      </c>
      <c r="V10" s="24">
        <f>SUM(N11:T11)</f>
        <v>9.5749999999999975</v>
      </c>
      <c r="W10" s="2" t="str">
        <f>M18</f>
        <v>Bulgaria</v>
      </c>
      <c r="X10" s="2">
        <f t="shared" ref="X10:Y10" si="12">U18</f>
        <v>4</v>
      </c>
      <c r="Y10" s="7">
        <f t="shared" si="12"/>
        <v>13.117625000000002</v>
      </c>
      <c r="Z10" s="2">
        <f t="shared" si="3"/>
        <v>3.2794062500000005</v>
      </c>
    </row>
    <row r="11" spans="1:26" ht="15.75" customHeight="1" x14ac:dyDescent="0.4">
      <c r="A11" s="2">
        <f t="shared" si="4"/>
        <v>10</v>
      </c>
      <c r="B11" s="2" t="s">
        <v>60</v>
      </c>
      <c r="C11" s="2">
        <v>5</v>
      </c>
      <c r="D11" s="7">
        <v>29.402843750000002</v>
      </c>
      <c r="E11" s="7">
        <v>5.8805687500000001</v>
      </c>
      <c r="F11" s="14"/>
      <c r="G11" s="2" t="str">
        <f>'Overall Rankings'!BM12</f>
        <v>Villarreal</v>
      </c>
      <c r="H11" s="7">
        <f>'Overall Rankings'!BN12</f>
        <v>13.068166666666666</v>
      </c>
      <c r="I11" s="2" t="str">
        <f>'Overall Rankings'!BS12</f>
        <v>Spain</v>
      </c>
      <c r="J11" s="2" t="s">
        <v>285</v>
      </c>
      <c r="K11" s="7">
        <v>0.67500000000000004</v>
      </c>
      <c r="L11" s="2" t="s">
        <v>144</v>
      </c>
      <c r="M11" s="3" t="s">
        <v>322</v>
      </c>
      <c r="N11" s="7">
        <f>K18</f>
        <v>5.786249999999999</v>
      </c>
      <c r="O11" s="7">
        <f>K19</f>
        <v>2.1787499999999995</v>
      </c>
      <c r="P11" s="7">
        <f>K20</f>
        <v>0.91999999999999993</v>
      </c>
      <c r="Q11" s="7">
        <f>K21</f>
        <v>0.69</v>
      </c>
      <c r="U11" s="22"/>
      <c r="V11" s="25"/>
      <c r="W11" s="2" t="str">
        <f>M20</f>
        <v>Croatia</v>
      </c>
      <c r="X11" s="2">
        <f t="shared" ref="X11:Y11" si="13">U20</f>
        <v>5</v>
      </c>
      <c r="Y11" s="7">
        <f t="shared" si="13"/>
        <v>21.622989583333332</v>
      </c>
      <c r="Z11" s="2">
        <f t="shared" si="3"/>
        <v>4.3245979166666668</v>
      </c>
    </row>
    <row r="12" spans="1:26" ht="15.75" customHeight="1" x14ac:dyDescent="0.4">
      <c r="A12" s="2">
        <f t="shared" si="4"/>
        <v>11</v>
      </c>
      <c r="B12" s="2" t="s">
        <v>56</v>
      </c>
      <c r="C12" s="2">
        <v>6</v>
      </c>
      <c r="D12" s="7">
        <v>32.432041666666663</v>
      </c>
      <c r="E12" s="7">
        <v>5.4053402777777775</v>
      </c>
      <c r="F12" s="14"/>
      <c r="G12" s="2" t="str">
        <f>'Overall Rankings'!BM13</f>
        <v>Ajax</v>
      </c>
      <c r="H12" s="7">
        <f>'Overall Rankings'!BN13</f>
        <v>12.506979166666666</v>
      </c>
      <c r="I12" s="2" t="str">
        <f>'Overall Rankings'!BS13</f>
        <v>Netherlands</v>
      </c>
      <c r="J12" s="2" t="s">
        <v>294</v>
      </c>
      <c r="K12" s="7">
        <v>0.61499999999999999</v>
      </c>
      <c r="L12" s="2" t="s">
        <v>144</v>
      </c>
      <c r="M12" s="16" t="s">
        <v>123</v>
      </c>
      <c r="N12" s="2" t="str">
        <f>J22</f>
        <v>Dynamo Brest</v>
      </c>
      <c r="O12" s="2" t="str">
        <f>J23</f>
        <v>BATE Borisov</v>
      </c>
      <c r="P12" s="2" t="str">
        <f>J24</f>
        <v>Shakhtyor Soligorsk</v>
      </c>
      <c r="Q12" s="2" t="str">
        <f>J25</f>
        <v>Dinamo Minsk</v>
      </c>
      <c r="U12" s="23">
        <f>COUNTA(N12:T12)</f>
        <v>4</v>
      </c>
      <c r="V12" s="24">
        <f>SUM(N13:T13)</f>
        <v>7.3487499999999999</v>
      </c>
      <c r="W12" s="2" t="str">
        <f>M22</f>
        <v>Cyprus</v>
      </c>
      <c r="X12" s="2">
        <f t="shared" ref="X12:Y12" si="14">U22</f>
        <v>4</v>
      </c>
      <c r="Y12" s="7">
        <f t="shared" si="14"/>
        <v>15.541117424242424</v>
      </c>
      <c r="Z12" s="2">
        <f t="shared" si="3"/>
        <v>3.885279356060606</v>
      </c>
    </row>
    <row r="13" spans="1:26" ht="15.75" customHeight="1" x14ac:dyDescent="0.4">
      <c r="A13" s="2">
        <f t="shared" si="4"/>
        <v>12</v>
      </c>
      <c r="B13" s="2" t="s">
        <v>48</v>
      </c>
      <c r="C13" s="2">
        <v>5</v>
      </c>
      <c r="D13" s="7">
        <v>26.164563492063493</v>
      </c>
      <c r="E13" s="7">
        <v>5.232912698412699</v>
      </c>
      <c r="F13" s="14"/>
      <c r="G13" s="2" t="str">
        <f>'Overall Rankings'!BM14</f>
        <v>Juventus</v>
      </c>
      <c r="H13" s="7">
        <f>'Overall Rankings'!BN14</f>
        <v>12.489531249999999</v>
      </c>
      <c r="I13" s="2" t="str">
        <f>'Overall Rankings'!BS14</f>
        <v>Italy</v>
      </c>
      <c r="J13" s="2" t="s">
        <v>59</v>
      </c>
      <c r="K13" s="7">
        <v>9.7186249999999994</v>
      </c>
      <c r="L13" s="2" t="s">
        <v>60</v>
      </c>
      <c r="M13" s="3" t="s">
        <v>322</v>
      </c>
      <c r="N13" s="7">
        <f>K22</f>
        <v>4.5687500000000005</v>
      </c>
      <c r="O13" s="7">
        <f>K23</f>
        <v>1.06</v>
      </c>
      <c r="P13" s="7">
        <f>K24</f>
        <v>0.94</v>
      </c>
      <c r="Q13" s="7">
        <f>K25</f>
        <v>0.78</v>
      </c>
      <c r="U13" s="22"/>
      <c r="V13" s="25"/>
      <c r="W13" s="2" t="str">
        <f>M24</f>
        <v>Czech Republic</v>
      </c>
      <c r="X13" s="2">
        <f t="shared" ref="X13:Y13" si="15">U24</f>
        <v>5</v>
      </c>
      <c r="Y13" s="7">
        <f t="shared" si="15"/>
        <v>26.164563492063493</v>
      </c>
      <c r="Z13" s="2">
        <f t="shared" si="3"/>
        <v>5.232912698412699</v>
      </c>
    </row>
    <row r="14" spans="1:26" ht="15.75" customHeight="1" x14ac:dyDescent="0.4">
      <c r="A14" s="2">
        <f t="shared" si="4"/>
        <v>13</v>
      </c>
      <c r="B14" s="2" t="s">
        <v>46</v>
      </c>
      <c r="C14" s="2">
        <v>5</v>
      </c>
      <c r="D14" s="7">
        <v>25.646864583333329</v>
      </c>
      <c r="E14" s="7">
        <v>5.1293729166666662</v>
      </c>
      <c r="F14" s="14"/>
      <c r="G14" s="2" t="str">
        <f>'Overall Rankings'!BM15</f>
        <v>Barcelona</v>
      </c>
      <c r="H14" s="7">
        <f>'Overall Rankings'!BN15</f>
        <v>12.212656249999998</v>
      </c>
      <c r="I14" s="2" t="str">
        <f>'Overall Rankings'!BS15</f>
        <v>Spain</v>
      </c>
      <c r="J14" s="2" t="s">
        <v>96</v>
      </c>
      <c r="K14" s="7">
        <v>6.6942187499999992</v>
      </c>
      <c r="L14" s="2" t="s">
        <v>60</v>
      </c>
      <c r="M14" s="16" t="s">
        <v>54</v>
      </c>
      <c r="N14" s="2" t="str">
        <f>J26</f>
        <v>Club Brugge</v>
      </c>
      <c r="O14" s="2" t="str">
        <f>J27</f>
        <v>Antwerp</v>
      </c>
      <c r="P14" s="2" t="str">
        <f>J28</f>
        <v>Gent</v>
      </c>
      <c r="Q14" s="2" t="str">
        <f>J29</f>
        <v>Standard Liège</v>
      </c>
      <c r="R14" s="2" t="str">
        <f>J30</f>
        <v>Charleroi</v>
      </c>
      <c r="U14" s="23">
        <f>COUNTA(N14:T14)</f>
        <v>5</v>
      </c>
      <c r="V14" s="24">
        <f>SUM(N15:T15)</f>
        <v>31.646788194444444</v>
      </c>
      <c r="W14" s="2" t="str">
        <f>M26</f>
        <v>Denmark</v>
      </c>
      <c r="X14" s="2">
        <f t="shared" ref="X14:Y14" si="16">U26</f>
        <v>4</v>
      </c>
      <c r="Y14" s="7">
        <f t="shared" si="16"/>
        <v>16.173625000000001</v>
      </c>
      <c r="Z14" s="2">
        <f t="shared" si="3"/>
        <v>4.0434062500000003</v>
      </c>
    </row>
    <row r="15" spans="1:26" ht="15.75" customHeight="1" x14ac:dyDescent="0.4">
      <c r="A15" s="2">
        <f t="shared" si="4"/>
        <v>14</v>
      </c>
      <c r="B15" s="2" t="s">
        <v>66</v>
      </c>
      <c r="C15" s="2">
        <v>4</v>
      </c>
      <c r="D15" s="7">
        <v>19.688679487179485</v>
      </c>
      <c r="E15" s="7">
        <v>4.9221698717948712</v>
      </c>
      <c r="F15" s="14"/>
      <c r="G15" s="2" t="str">
        <f>'Overall Rankings'!BM16</f>
        <v>Sevilla</v>
      </c>
      <c r="H15" s="7">
        <f>'Overall Rankings'!BN16</f>
        <v>12.15671875</v>
      </c>
      <c r="I15" s="2" t="str">
        <f>'Overall Rankings'!BS16</f>
        <v>Spain</v>
      </c>
      <c r="J15" s="2" t="s">
        <v>99</v>
      </c>
      <c r="K15" s="7">
        <v>5.9839062499999995</v>
      </c>
      <c r="L15" s="2" t="s">
        <v>60</v>
      </c>
      <c r="M15" s="3" t="s">
        <v>322</v>
      </c>
      <c r="N15" s="7">
        <f>K26</f>
        <v>10.034374999999999</v>
      </c>
      <c r="O15" s="7">
        <f>K27</f>
        <v>6.7954687499999995</v>
      </c>
      <c r="P15" s="7">
        <f>K28</f>
        <v>6.0570833333333329</v>
      </c>
      <c r="Q15" s="7">
        <f>K29</f>
        <v>5.002361111111111</v>
      </c>
      <c r="R15" s="7">
        <f>K30</f>
        <v>3.7575000000000003</v>
      </c>
      <c r="U15" s="22"/>
      <c r="V15" s="25"/>
      <c r="W15" s="2" t="str">
        <f>M28</f>
        <v>England</v>
      </c>
      <c r="X15" s="2">
        <f t="shared" ref="X15:Y15" si="17">U28</f>
        <v>7</v>
      </c>
      <c r="Y15" s="7">
        <f t="shared" si="17"/>
        <v>95.435617559523806</v>
      </c>
      <c r="Z15" s="2">
        <f t="shared" si="3"/>
        <v>13.633659651360544</v>
      </c>
    </row>
    <row r="16" spans="1:26" ht="15.75" customHeight="1" x14ac:dyDescent="0.4">
      <c r="A16" s="2">
        <f t="shared" si="4"/>
        <v>15</v>
      </c>
      <c r="B16" s="2" t="s">
        <v>68</v>
      </c>
      <c r="C16" s="2">
        <v>4</v>
      </c>
      <c r="D16" s="7">
        <v>18.886639423076922</v>
      </c>
      <c r="E16" s="7">
        <v>4.7216598557692304</v>
      </c>
      <c r="F16" s="14"/>
      <c r="G16" s="2" t="str">
        <f>'Overall Rankings'!BM17</f>
        <v>RB Leipzig</v>
      </c>
      <c r="H16" s="7">
        <f>'Overall Rankings'!BN17</f>
        <v>11.854531249999999</v>
      </c>
      <c r="I16" s="2" t="str">
        <f>'Overall Rankings'!BS17</f>
        <v>Germany</v>
      </c>
      <c r="J16" s="2" t="s">
        <v>100</v>
      </c>
      <c r="K16" s="7">
        <v>5.8010937499999997</v>
      </c>
      <c r="L16" s="2" t="s">
        <v>60</v>
      </c>
      <c r="M16" s="16" t="s">
        <v>141</v>
      </c>
      <c r="N16" s="2" t="str">
        <f>J31</f>
        <v>Zrinjski Mostar</v>
      </c>
      <c r="O16" s="2" t="str">
        <f>J32</f>
        <v>Sarajevo</v>
      </c>
      <c r="P16" s="2" t="str">
        <f>J33</f>
        <v>Borac Banja Luka</v>
      </c>
      <c r="Q16" s="2" t="str">
        <f>J34</f>
        <v>Željezničar</v>
      </c>
      <c r="U16" s="23">
        <f>COUNTA(N16:T16)</f>
        <v>4</v>
      </c>
      <c r="V16" s="24">
        <f>SUM(N17:T17)</f>
        <v>9.5746874999999996</v>
      </c>
      <c r="W16" s="2" t="str">
        <f>M30</f>
        <v>Estonia</v>
      </c>
      <c r="X16" s="2">
        <f t="shared" ref="X16:Y16" si="18">U30</f>
        <v>4</v>
      </c>
      <c r="Y16" s="7">
        <f t="shared" si="18"/>
        <v>5.2728124999999997</v>
      </c>
      <c r="Z16" s="2">
        <f t="shared" si="3"/>
        <v>1.3182031249999999</v>
      </c>
    </row>
    <row r="17" spans="1:26" ht="12.3" x14ac:dyDescent="0.4">
      <c r="A17" s="2">
        <f t="shared" si="4"/>
        <v>16</v>
      </c>
      <c r="B17" s="2" t="s">
        <v>58</v>
      </c>
      <c r="C17" s="2">
        <v>4</v>
      </c>
      <c r="D17" s="7">
        <v>18.020375000000001</v>
      </c>
      <c r="E17" s="7">
        <v>4.5050937500000003</v>
      </c>
      <c r="F17" s="14"/>
      <c r="G17" s="2" t="str">
        <f>'Overall Rankings'!BM18</f>
        <v>Atalanta</v>
      </c>
      <c r="H17" s="7">
        <f>'Overall Rankings'!BN18</f>
        <v>11.729531249999999</v>
      </c>
      <c r="I17" s="2" t="str">
        <f>'Overall Rankings'!BS18</f>
        <v>Italy</v>
      </c>
      <c r="J17" s="2" t="s">
        <v>245</v>
      </c>
      <c r="K17" s="7">
        <v>1.2050000000000001</v>
      </c>
      <c r="L17" s="2" t="s">
        <v>60</v>
      </c>
      <c r="M17" s="3" t="s">
        <v>322</v>
      </c>
      <c r="N17" s="7">
        <f>K31</f>
        <v>3.04</v>
      </c>
      <c r="O17" s="7">
        <f>K32</f>
        <v>3.8134375</v>
      </c>
      <c r="P17" s="7">
        <f>K33</f>
        <v>1.9512499999999999</v>
      </c>
      <c r="Q17" s="7">
        <f>K34</f>
        <v>0.77</v>
      </c>
      <c r="U17" s="22"/>
      <c r="V17" s="25"/>
      <c r="W17" s="2" t="str">
        <f>M32</f>
        <v>Faroe Islands</v>
      </c>
      <c r="X17" s="2">
        <f t="shared" ref="X17:Y17" si="19">U32</f>
        <v>4</v>
      </c>
      <c r="Y17" s="7">
        <f t="shared" si="19"/>
        <v>8.666249999999998</v>
      </c>
      <c r="Z17" s="2">
        <f t="shared" si="3"/>
        <v>2.1665624999999995</v>
      </c>
    </row>
    <row r="18" spans="1:26" ht="12.3" x14ac:dyDescent="0.4">
      <c r="A18" s="2">
        <f t="shared" si="4"/>
        <v>17</v>
      </c>
      <c r="B18" s="2" t="s">
        <v>52</v>
      </c>
      <c r="C18" s="2">
        <v>5</v>
      </c>
      <c r="D18" s="7">
        <v>21.622989583333332</v>
      </c>
      <c r="E18" s="7">
        <v>4.3245979166666668</v>
      </c>
      <c r="F18" s="14"/>
      <c r="G18" s="2" t="str">
        <f>'Overall Rankings'!BM19</f>
        <v>Lazio</v>
      </c>
      <c r="H18" s="7">
        <f>'Overall Rankings'!BN19</f>
        <v>11.714062499999999</v>
      </c>
      <c r="I18" s="2" t="str">
        <f>'Overall Rankings'!BS19</f>
        <v>Italy</v>
      </c>
      <c r="J18" s="2" t="s">
        <v>101</v>
      </c>
      <c r="K18" s="7">
        <v>5.786249999999999</v>
      </c>
      <c r="L18" s="2" t="s">
        <v>102</v>
      </c>
      <c r="M18" s="16" t="s">
        <v>111</v>
      </c>
      <c r="N18" s="2" t="str">
        <f>J35</f>
        <v>CSKA Sofia</v>
      </c>
      <c r="O18" s="2" t="str">
        <f>J36</f>
        <v>Ludogorets Razgrad</v>
      </c>
      <c r="P18" s="2" t="str">
        <f>J37</f>
        <v>Lokomotiv Plovdiv</v>
      </c>
      <c r="Q18" s="2" t="str">
        <f>J38</f>
        <v>Slavia Sofia</v>
      </c>
      <c r="U18" s="23">
        <f>COUNTA(N18:T18)</f>
        <v>4</v>
      </c>
      <c r="V18" s="24">
        <f>SUM(N19:T19)</f>
        <v>13.117625000000002</v>
      </c>
      <c r="W18" s="2" t="str">
        <f>M34</f>
        <v>Finland</v>
      </c>
      <c r="X18" s="2">
        <f t="shared" ref="X18:Y18" si="20">U34</f>
        <v>4</v>
      </c>
      <c r="Y18" s="7">
        <f t="shared" si="20"/>
        <v>5.9606250000000003</v>
      </c>
      <c r="Z18" s="2">
        <f t="shared" si="3"/>
        <v>1.4901562500000001</v>
      </c>
    </row>
    <row r="19" spans="1:26" ht="12.3" x14ac:dyDescent="0.4">
      <c r="A19" s="2">
        <f t="shared" si="4"/>
        <v>18</v>
      </c>
      <c r="B19" s="2" t="s">
        <v>63</v>
      </c>
      <c r="C19" s="2">
        <v>4</v>
      </c>
      <c r="D19" s="7">
        <v>17.27184294871795</v>
      </c>
      <c r="E19" s="7">
        <v>4.3179607371794875</v>
      </c>
      <c r="F19" s="14"/>
      <c r="G19" s="2" t="str">
        <f>'Overall Rankings'!BM20</f>
        <v>Borussia Mönchengladbach</v>
      </c>
      <c r="H19" s="7">
        <f>'Overall Rankings'!BN20</f>
        <v>11.516562499999999</v>
      </c>
      <c r="I19" s="2" t="str">
        <f>'Overall Rankings'!BS20</f>
        <v>Germany</v>
      </c>
      <c r="J19" s="2" t="s">
        <v>202</v>
      </c>
      <c r="K19" s="7">
        <v>2.1787499999999995</v>
      </c>
      <c r="L19" s="2" t="s">
        <v>102</v>
      </c>
      <c r="M19" s="3" t="s">
        <v>322</v>
      </c>
      <c r="N19" s="7">
        <f>K35</f>
        <v>5.2795000000000005</v>
      </c>
      <c r="O19" s="7">
        <f>K36</f>
        <v>5.0200000000000005</v>
      </c>
      <c r="P19" s="7">
        <f>K37</f>
        <v>2.0131250000000001</v>
      </c>
      <c r="Q19" s="7">
        <f>K38</f>
        <v>0.80499999999999994</v>
      </c>
      <c r="U19" s="22"/>
      <c r="V19" s="25"/>
      <c r="W19" s="2" t="str">
        <f>M36</f>
        <v>France</v>
      </c>
      <c r="X19" s="2">
        <f t="shared" ref="X19:Y19" si="21">U36</f>
        <v>6</v>
      </c>
      <c r="Y19" s="7">
        <f t="shared" si="21"/>
        <v>45.602291666666659</v>
      </c>
      <c r="Z19" s="2">
        <f t="shared" si="3"/>
        <v>7.6003819444444431</v>
      </c>
    </row>
    <row r="20" spans="1:26" ht="12.3" x14ac:dyDescent="0.4">
      <c r="A20" s="2">
        <f t="shared" si="4"/>
        <v>19</v>
      </c>
      <c r="B20" s="2" t="s">
        <v>80</v>
      </c>
      <c r="C20" s="2">
        <v>5</v>
      </c>
      <c r="D20" s="7">
        <v>20.862083333333331</v>
      </c>
      <c r="E20" s="7">
        <v>4.172416666666666</v>
      </c>
      <c r="F20" s="14"/>
      <c r="G20" s="2" t="str">
        <f>'Overall Rankings'!BM21</f>
        <v>Atlético Madrid</v>
      </c>
      <c r="H20" s="7">
        <f>'Overall Rankings'!BN21</f>
        <v>11.474375</v>
      </c>
      <c r="I20" s="2" t="str">
        <f>'Overall Rankings'!BS21</f>
        <v>Spain</v>
      </c>
      <c r="J20" s="2" t="s">
        <v>261</v>
      </c>
      <c r="K20" s="7">
        <v>0.91999999999999993</v>
      </c>
      <c r="L20" s="2" t="s">
        <v>102</v>
      </c>
      <c r="M20" s="16" t="s">
        <v>52</v>
      </c>
      <c r="N20" s="2" t="str">
        <f>J39</f>
        <v>Dinamo Zagreb</v>
      </c>
      <c r="O20" s="2" t="str">
        <f>J40</f>
        <v>Rijeka</v>
      </c>
      <c r="P20" s="2" t="str">
        <f>J41</f>
        <v>Hajduk Split</v>
      </c>
      <c r="Q20" s="2" t="str">
        <f>J42</f>
        <v>Lokomotiva</v>
      </c>
      <c r="R20" s="2" t="str">
        <f>J43</f>
        <v>Osijek</v>
      </c>
      <c r="U20" s="23">
        <f>COUNTA(N20:T20)</f>
        <v>5</v>
      </c>
      <c r="V20" s="24">
        <f>SUM(N21:T21)</f>
        <v>21.622989583333332</v>
      </c>
      <c r="W20" s="2" t="str">
        <f>M38</f>
        <v>Georgia</v>
      </c>
      <c r="X20" s="2">
        <f t="shared" ref="X20:Y20" si="22">U38</f>
        <v>4</v>
      </c>
      <c r="Y20" s="7">
        <f t="shared" si="22"/>
        <v>6.8412499999999996</v>
      </c>
      <c r="Z20" s="2">
        <f t="shared" si="3"/>
        <v>1.7103124999999999</v>
      </c>
    </row>
    <row r="21" spans="1:26" ht="12.3" x14ac:dyDescent="0.4">
      <c r="A21" s="2">
        <f t="shared" si="4"/>
        <v>20</v>
      </c>
      <c r="B21" s="2" t="s">
        <v>70</v>
      </c>
      <c r="C21" s="2">
        <v>4</v>
      </c>
      <c r="D21" s="7">
        <v>16.173625000000001</v>
      </c>
      <c r="E21" s="7">
        <v>4.0434062500000003</v>
      </c>
      <c r="F21" s="14"/>
      <c r="G21" s="2" t="str">
        <f>'Overall Rankings'!BM22</f>
        <v>Shakhtar Donetsk</v>
      </c>
      <c r="H21" s="7">
        <f>'Overall Rankings'!BN22</f>
        <v>11.121499999999999</v>
      </c>
      <c r="I21" s="2" t="str">
        <f>'Overall Rankings'!BS22</f>
        <v>Ukraine</v>
      </c>
      <c r="J21" s="2" t="s">
        <v>283</v>
      </c>
      <c r="K21" s="7">
        <v>0.69</v>
      </c>
      <c r="L21" s="2" t="s">
        <v>102</v>
      </c>
      <c r="M21" s="3" t="s">
        <v>322</v>
      </c>
      <c r="N21" s="7">
        <f>K39</f>
        <v>10.366583333333333</v>
      </c>
      <c r="O21" s="7">
        <f>K40</f>
        <v>5.2270312499999996</v>
      </c>
      <c r="P21" s="7">
        <f>K41</f>
        <v>2.649375</v>
      </c>
      <c r="Q21" s="7">
        <f>K42</f>
        <v>2.0949999999999998</v>
      </c>
      <c r="R21" s="7">
        <f>K43</f>
        <v>1.2849999999999999</v>
      </c>
      <c r="U21" s="22"/>
      <c r="V21" s="25"/>
      <c r="W21" s="2" t="str">
        <f>M40</f>
        <v>Germany</v>
      </c>
      <c r="X21" s="2">
        <f t="shared" ref="X21:Y21" si="23">U40</f>
        <v>7</v>
      </c>
      <c r="Y21" s="7">
        <f t="shared" si="23"/>
        <v>71.756187499999996</v>
      </c>
      <c r="Z21" s="2">
        <f t="shared" si="3"/>
        <v>10.250883928571428</v>
      </c>
    </row>
    <row r="22" spans="1:26" ht="12.3" x14ac:dyDescent="0.4">
      <c r="A22" s="2">
        <f t="shared" si="4"/>
        <v>21</v>
      </c>
      <c r="B22" s="2" t="s">
        <v>94</v>
      </c>
      <c r="C22" s="2">
        <v>4</v>
      </c>
      <c r="D22" s="7">
        <v>15.541117424242424</v>
      </c>
      <c r="E22" s="7">
        <v>3.885279356060606</v>
      </c>
      <c r="F22" s="14"/>
      <c r="G22" s="2" t="str">
        <f>'Overall Rankings'!BM23</f>
        <v>Dynamo Kyiv</v>
      </c>
      <c r="H22" s="7">
        <f>'Overall Rankings'!BN23</f>
        <v>11.043365384615385</v>
      </c>
      <c r="I22" s="2" t="str">
        <f>'Overall Rankings'!BS23</f>
        <v>Ukraine</v>
      </c>
      <c r="J22" s="2" t="s">
        <v>122</v>
      </c>
      <c r="K22" s="7">
        <v>4.5687500000000005</v>
      </c>
      <c r="L22" s="2" t="s">
        <v>123</v>
      </c>
      <c r="M22" s="16" t="s">
        <v>94</v>
      </c>
      <c r="N22" s="2" t="str">
        <f>J44</f>
        <v>Omonia</v>
      </c>
      <c r="O22" s="2" t="str">
        <f>J45</f>
        <v>APOEL</v>
      </c>
      <c r="P22" s="2" t="str">
        <f>J46</f>
        <v>Apollon Limassol</v>
      </c>
      <c r="Q22" s="2" t="str">
        <f>J47</f>
        <v>Anorthosis</v>
      </c>
      <c r="U22" s="23">
        <f>COUNTA(N22:T22)</f>
        <v>4</v>
      </c>
      <c r="V22" s="24">
        <f>SUM(N23:T23)</f>
        <v>15.541117424242424</v>
      </c>
      <c r="W22" s="2" t="str">
        <f>M42</f>
        <v>Gibraltar</v>
      </c>
      <c r="X22" s="2">
        <f t="shared" ref="X22:Y22" si="24">U42</f>
        <v>3</v>
      </c>
      <c r="Y22" s="7">
        <f t="shared" si="24"/>
        <v>3.9258333333333328</v>
      </c>
      <c r="Z22" s="2">
        <f t="shared" si="3"/>
        <v>1.3086111111111109</v>
      </c>
    </row>
    <row r="23" spans="1:26" ht="12.3" x14ac:dyDescent="0.4">
      <c r="A23" s="2">
        <f t="shared" si="4"/>
        <v>22</v>
      </c>
      <c r="B23" s="2" t="s">
        <v>76</v>
      </c>
      <c r="C23" s="2">
        <v>4</v>
      </c>
      <c r="D23" s="7">
        <v>15.164791666666666</v>
      </c>
      <c r="E23" s="7">
        <v>3.7911979166666665</v>
      </c>
      <c r="F23" s="14"/>
      <c r="G23" s="2" t="str">
        <f>'Overall Rankings'!BM24</f>
        <v>Olympiacos</v>
      </c>
      <c r="H23" s="7">
        <f>'Overall Rankings'!BN24</f>
        <v>10.893645833333332</v>
      </c>
      <c r="I23" s="2" t="str">
        <f>'Overall Rankings'!BS24</f>
        <v>Greece</v>
      </c>
      <c r="J23" s="2" t="s">
        <v>254</v>
      </c>
      <c r="K23" s="7">
        <v>1.06</v>
      </c>
      <c r="L23" s="2" t="s">
        <v>123</v>
      </c>
      <c r="M23" s="3" t="s">
        <v>322</v>
      </c>
      <c r="N23" s="7">
        <f>K44</f>
        <v>6.7771590909090911</v>
      </c>
      <c r="O23" s="7">
        <f>K45</f>
        <v>4.0618749999999997</v>
      </c>
      <c r="P23" s="7">
        <f>K46</f>
        <v>2.9670833333333335</v>
      </c>
      <c r="Q23" s="7">
        <f>K47</f>
        <v>1.7349999999999999</v>
      </c>
      <c r="U23" s="22"/>
      <c r="V23" s="25"/>
      <c r="W23" s="2" t="str">
        <f>M44</f>
        <v>Greece</v>
      </c>
      <c r="X23" s="2">
        <f t="shared" ref="X23:Y23" si="25">U44</f>
        <v>5</v>
      </c>
      <c r="Y23" s="7">
        <f t="shared" si="25"/>
        <v>25.646864583333329</v>
      </c>
      <c r="Z23" s="2">
        <f t="shared" si="3"/>
        <v>5.1293729166666662</v>
      </c>
    </row>
    <row r="24" spans="1:26" ht="12.3" x14ac:dyDescent="0.4">
      <c r="A24" s="2">
        <f t="shared" si="4"/>
        <v>23</v>
      </c>
      <c r="B24" s="2" t="s">
        <v>73</v>
      </c>
      <c r="C24" s="2">
        <v>4</v>
      </c>
      <c r="D24" s="7">
        <v>14.8921875</v>
      </c>
      <c r="E24" s="7">
        <v>3.7230468750000001</v>
      </c>
      <c r="F24" s="14"/>
      <c r="G24" s="2" t="str">
        <f>'Overall Rankings'!BM25</f>
        <v>Slavia Prague</v>
      </c>
      <c r="H24" s="7">
        <f>'Overall Rankings'!BN25</f>
        <v>10.789285714285715</v>
      </c>
      <c r="I24" s="2" t="str">
        <f>'Overall Rankings'!BS25</f>
        <v>Czech Republic</v>
      </c>
      <c r="J24" s="2" t="s">
        <v>260</v>
      </c>
      <c r="K24" s="7">
        <v>0.94</v>
      </c>
      <c r="L24" s="2" t="s">
        <v>123</v>
      </c>
      <c r="M24" s="16" t="s">
        <v>48</v>
      </c>
      <c r="N24" s="2" t="str">
        <f>J48</f>
        <v>Slavia Prague</v>
      </c>
      <c r="O24" s="2" t="str">
        <f>J49</f>
        <v>Slovan Liberec</v>
      </c>
      <c r="P24" s="2" t="str">
        <f>J50</f>
        <v>Sparta Prague</v>
      </c>
      <c r="Q24" s="2" t="str">
        <f>J51</f>
        <v>Viktoria Plzeň</v>
      </c>
      <c r="R24" s="2" t="str">
        <f>J52</f>
        <v>Jablonec</v>
      </c>
      <c r="U24" s="23">
        <f>COUNTA(N24:T24)</f>
        <v>5</v>
      </c>
      <c r="V24" s="24">
        <f>SUM(N25:T25)</f>
        <v>26.164563492063493</v>
      </c>
      <c r="W24" s="2" t="str">
        <f>M46</f>
        <v>Hungary</v>
      </c>
      <c r="X24" s="2">
        <f t="shared" ref="X24:Y24" si="26">U46</f>
        <v>4</v>
      </c>
      <c r="Y24" s="7">
        <f t="shared" si="26"/>
        <v>14.8921875</v>
      </c>
      <c r="Z24" s="2">
        <f t="shared" si="3"/>
        <v>3.7230468750000001</v>
      </c>
    </row>
    <row r="25" spans="1:26" ht="12.3" x14ac:dyDescent="0.4">
      <c r="A25" s="2">
        <f t="shared" si="4"/>
        <v>24</v>
      </c>
      <c r="B25" s="2" t="s">
        <v>109</v>
      </c>
      <c r="C25" s="2">
        <v>4</v>
      </c>
      <c r="D25" s="7">
        <v>13.170208333333335</v>
      </c>
      <c r="E25" s="7">
        <v>3.2925520833333337</v>
      </c>
      <c r="F25" s="14"/>
      <c r="G25" s="2" t="str">
        <f>'Overall Rankings'!BM26</f>
        <v>Roma</v>
      </c>
      <c r="H25" s="7">
        <f>'Overall Rankings'!BN26</f>
        <v>10.690982142857143</v>
      </c>
      <c r="I25" s="2" t="str">
        <f>'Overall Rankings'!BS26</f>
        <v>Italy</v>
      </c>
      <c r="J25" s="2" t="s">
        <v>274</v>
      </c>
      <c r="K25" s="7">
        <v>0.78</v>
      </c>
      <c r="L25" s="2" t="s">
        <v>123</v>
      </c>
      <c r="M25" s="3" t="s">
        <v>322</v>
      </c>
      <c r="N25" s="7">
        <f>K48</f>
        <v>10.789285714285715</v>
      </c>
      <c r="O25" s="7">
        <f>K49</f>
        <v>5.431111111111111</v>
      </c>
      <c r="P25" s="7">
        <f>K50</f>
        <v>4.9133333333333331</v>
      </c>
      <c r="Q25" s="7">
        <f>K51</f>
        <v>4.0008333333333326</v>
      </c>
      <c r="R25" s="7">
        <f>K52</f>
        <v>1.0299999999999998</v>
      </c>
      <c r="U25" s="22"/>
      <c r="V25" s="25"/>
      <c r="W25" s="2" t="str">
        <f>M48</f>
        <v>Iceland</v>
      </c>
      <c r="X25" s="2">
        <f t="shared" ref="X25:Y25" si="27">U48</f>
        <v>4</v>
      </c>
      <c r="Y25" s="7">
        <f t="shared" si="27"/>
        <v>3.5074999999999998</v>
      </c>
      <c r="Z25" s="2">
        <f t="shared" si="3"/>
        <v>0.87687499999999996</v>
      </c>
    </row>
    <row r="26" spans="1:26" ht="12.3" x14ac:dyDescent="0.4">
      <c r="A26" s="2">
        <f t="shared" si="4"/>
        <v>25</v>
      </c>
      <c r="B26" s="2" t="s">
        <v>111</v>
      </c>
      <c r="C26" s="2">
        <v>4</v>
      </c>
      <c r="D26" s="7">
        <v>13.117625000000002</v>
      </c>
      <c r="E26" s="7">
        <v>3.2794062500000005</v>
      </c>
      <c r="F26" s="14"/>
      <c r="G26" s="2" t="str">
        <f>'Overall Rankings'!BM27</f>
        <v>Arsenal</v>
      </c>
      <c r="H26" s="7">
        <f>'Overall Rankings'!BN27</f>
        <v>10.512232142857144</v>
      </c>
      <c r="I26" s="2" t="str">
        <f>'Overall Rankings'!BS27</f>
        <v>England</v>
      </c>
      <c r="J26" s="2" t="s">
        <v>53</v>
      </c>
      <c r="K26" s="7">
        <v>10.034374999999999</v>
      </c>
      <c r="L26" s="2" t="s">
        <v>54</v>
      </c>
      <c r="M26" s="16" t="s">
        <v>70</v>
      </c>
      <c r="N26" s="2" t="str">
        <f>J53</f>
        <v>Midtjylland</v>
      </c>
      <c r="O26" s="2" t="str">
        <f>J54</f>
        <v>Copenhagen</v>
      </c>
      <c r="P26" s="2" t="str">
        <f>J55</f>
        <v>AGF</v>
      </c>
      <c r="Q26" s="2" t="str">
        <f>J56</f>
        <v>SønderjyskE</v>
      </c>
      <c r="U26" s="23">
        <f>COUNTA(N26:T26)</f>
        <v>4</v>
      </c>
      <c r="V26" s="24">
        <f>SUM(N27:T27)</f>
        <v>16.173625000000001</v>
      </c>
      <c r="W26" s="2" t="str">
        <f>M50</f>
        <v>Israel</v>
      </c>
      <c r="X26" s="2">
        <f t="shared" ref="X26:Y26" si="28">U50</f>
        <v>4</v>
      </c>
      <c r="Y26" s="7">
        <f t="shared" si="28"/>
        <v>18.886639423076922</v>
      </c>
      <c r="Z26" s="2">
        <f t="shared" si="3"/>
        <v>4.7216598557692304</v>
      </c>
    </row>
    <row r="27" spans="1:26" ht="12.3" x14ac:dyDescent="0.4">
      <c r="A27" s="2">
        <f t="shared" si="4"/>
        <v>26</v>
      </c>
      <c r="B27" s="2" t="s">
        <v>104</v>
      </c>
      <c r="C27" s="2">
        <v>4</v>
      </c>
      <c r="D27" s="7">
        <v>11.56775</v>
      </c>
      <c r="E27" s="7">
        <v>2.8919375</v>
      </c>
      <c r="F27" s="14"/>
      <c r="G27" s="2" t="str">
        <f>'Overall Rankings'!BM28</f>
        <v>Dinamo Zagreb</v>
      </c>
      <c r="H27" s="7">
        <f>'Overall Rankings'!BN28</f>
        <v>10.366583333333333</v>
      </c>
      <c r="I27" s="2" t="str">
        <f>'Overall Rankings'!BS28</f>
        <v>Croatia</v>
      </c>
      <c r="J27" s="2" t="s">
        <v>92</v>
      </c>
      <c r="K27" s="7">
        <v>6.7954687499999995</v>
      </c>
      <c r="L27" s="2" t="s">
        <v>54</v>
      </c>
      <c r="M27" s="3" t="s">
        <v>322</v>
      </c>
      <c r="N27" s="7">
        <f>K53</f>
        <v>8.459249999999999</v>
      </c>
      <c r="O27" s="7">
        <f>K54</f>
        <v>4.1412500000000003</v>
      </c>
      <c r="P27" s="7">
        <f>K55</f>
        <v>2.038125</v>
      </c>
      <c r="Q27" s="7">
        <f>K56</f>
        <v>1.5350000000000001</v>
      </c>
      <c r="U27" s="22"/>
      <c r="V27" s="25"/>
      <c r="W27" s="2" t="str">
        <f>M52</f>
        <v>Italy</v>
      </c>
      <c r="X27" s="2">
        <f t="shared" ref="X27:Y27" si="29">U52</f>
        <v>7</v>
      </c>
      <c r="Y27" s="7">
        <f t="shared" si="29"/>
        <v>70.501795444139191</v>
      </c>
      <c r="Z27" s="2">
        <f t="shared" si="3"/>
        <v>10.071685063448456</v>
      </c>
    </row>
    <row r="28" spans="1:26" ht="12.3" x14ac:dyDescent="0.4">
      <c r="A28" s="2">
        <f t="shared" si="4"/>
        <v>27</v>
      </c>
      <c r="B28" s="2" t="s">
        <v>126</v>
      </c>
      <c r="C28" s="2">
        <v>4</v>
      </c>
      <c r="D28" s="7">
        <v>10.275624999999998</v>
      </c>
      <c r="E28" s="7">
        <v>2.5689062499999995</v>
      </c>
      <c r="F28" s="14"/>
      <c r="G28" s="2" t="str">
        <f>'Overall Rankings'!BM29</f>
        <v>Club Brugge</v>
      </c>
      <c r="H28" s="7">
        <f>'Overall Rankings'!BN29</f>
        <v>10.034374999999999</v>
      </c>
      <c r="I28" s="2" t="str">
        <f>'Overall Rankings'!BS29</f>
        <v>Belgium</v>
      </c>
      <c r="J28" s="2" t="s">
        <v>98</v>
      </c>
      <c r="K28" s="7">
        <v>6.0570833333333329</v>
      </c>
      <c r="L28" s="2" t="s">
        <v>54</v>
      </c>
      <c r="M28" s="16" t="s">
        <v>16</v>
      </c>
      <c r="N28" s="2" t="str">
        <f>J57</f>
        <v>Chelsea</v>
      </c>
      <c r="O28" s="2" t="str">
        <f>J58</f>
        <v>Manchester City</v>
      </c>
      <c r="P28" s="2" t="str">
        <f>J59</f>
        <v>Manchester United</v>
      </c>
      <c r="Q28" s="2" t="str">
        <f>J60</f>
        <v>Liverpool</v>
      </c>
      <c r="R28" s="2" t="str">
        <f>J61</f>
        <v>Arsenal</v>
      </c>
      <c r="S28" s="2" t="str">
        <f>J62</f>
        <v>Tottenham Hotspur</v>
      </c>
      <c r="T28" s="2" t="str">
        <f>J63</f>
        <v>Leicester City</v>
      </c>
      <c r="U28" s="23">
        <f>COUNTA(N28:T28)</f>
        <v>7</v>
      </c>
      <c r="V28" s="24">
        <f>SUM(N29:T29)</f>
        <v>95.435617559523806</v>
      </c>
      <c r="W28" s="2" t="str">
        <f>M54</f>
        <v>Kazakhstan</v>
      </c>
      <c r="X28" s="2">
        <f t="shared" ref="X28:Y28" si="30">U54</f>
        <v>4</v>
      </c>
      <c r="Y28" s="7">
        <f t="shared" si="30"/>
        <v>5.2587500000000009</v>
      </c>
      <c r="Z28" s="2">
        <f t="shared" si="3"/>
        <v>1.3146875000000002</v>
      </c>
    </row>
    <row r="29" spans="1:26" ht="12.3" x14ac:dyDescent="0.4">
      <c r="A29" s="2">
        <f t="shared" si="4"/>
        <v>28</v>
      </c>
      <c r="B29" s="2" t="s">
        <v>148</v>
      </c>
      <c r="C29" s="2">
        <v>4</v>
      </c>
      <c r="D29" s="7">
        <v>10.230208333333334</v>
      </c>
      <c r="E29" s="7">
        <v>2.5575520833333334</v>
      </c>
      <c r="F29" s="14"/>
      <c r="G29" s="2" t="str">
        <f>'Overall Rankings'!BM30</f>
        <v>Krasnodar</v>
      </c>
      <c r="H29" s="7">
        <f>'Overall Rankings'!BN30</f>
        <v>9.9178749999999987</v>
      </c>
      <c r="I29" s="2" t="str">
        <f>'Overall Rankings'!BS30</f>
        <v>Russia</v>
      </c>
      <c r="J29" s="2" t="s">
        <v>115</v>
      </c>
      <c r="K29" s="7">
        <v>5.002361111111111</v>
      </c>
      <c r="L29" s="2" t="s">
        <v>54</v>
      </c>
      <c r="M29" s="3" t="s">
        <v>322</v>
      </c>
      <c r="N29" s="7">
        <f>K57</f>
        <v>20.614903846153847</v>
      </c>
      <c r="O29" s="7">
        <f>K58</f>
        <v>19.128557692307691</v>
      </c>
      <c r="P29" s="7">
        <f>K59</f>
        <v>14.803916666666666</v>
      </c>
      <c r="Q29" s="7">
        <f>K60</f>
        <v>14.439624999999999</v>
      </c>
      <c r="R29" s="7">
        <f>K61</f>
        <v>10.512232142857144</v>
      </c>
      <c r="S29" s="7">
        <f>K62</f>
        <v>8.6402884615384608</v>
      </c>
      <c r="T29" s="7">
        <f>K63</f>
        <v>7.2960937499999998</v>
      </c>
      <c r="U29" s="22"/>
      <c r="V29" s="25"/>
      <c r="W29" s="2" t="str">
        <f>M56</f>
        <v>Kosovo</v>
      </c>
      <c r="X29" s="2">
        <f t="shared" ref="X29:Y29" si="31">U56</f>
        <v>3</v>
      </c>
      <c r="Y29" s="7">
        <f t="shared" si="31"/>
        <v>4.25</v>
      </c>
      <c r="Z29" s="2">
        <f t="shared" si="3"/>
        <v>1.4166666666666667</v>
      </c>
    </row>
    <row r="30" spans="1:26" ht="12.3" x14ac:dyDescent="0.4">
      <c r="A30" s="2">
        <f t="shared" si="4"/>
        <v>29</v>
      </c>
      <c r="B30" s="2" t="s">
        <v>102</v>
      </c>
      <c r="C30" s="2">
        <v>4</v>
      </c>
      <c r="D30" s="7">
        <v>9.5749999999999975</v>
      </c>
      <c r="E30" s="7">
        <v>2.3937499999999994</v>
      </c>
      <c r="F30" s="14"/>
      <c r="G30" s="2" t="str">
        <f>'Overall Rankings'!BM31</f>
        <v>Molde</v>
      </c>
      <c r="H30" s="7">
        <f>'Overall Rankings'!BN31</f>
        <v>9.7934999999999999</v>
      </c>
      <c r="I30" s="2" t="str">
        <f>'Overall Rankings'!BS31</f>
        <v>Norway</v>
      </c>
      <c r="J30" s="2" t="s">
        <v>142</v>
      </c>
      <c r="K30" s="7">
        <v>3.7575000000000003</v>
      </c>
      <c r="L30" s="2" t="s">
        <v>54</v>
      </c>
      <c r="M30" s="16" t="s">
        <v>150</v>
      </c>
      <c r="N30" s="2" t="str">
        <f>J64</f>
        <v>Flora</v>
      </c>
      <c r="O30" s="2" t="str">
        <f>J65</f>
        <v>FCI Levadia</v>
      </c>
      <c r="P30" s="2" t="str">
        <f>J66</f>
        <v>Paide Linnameeskond</v>
      </c>
      <c r="Q30" s="2" t="str">
        <f>J67</f>
        <v>Nõmme Kalju</v>
      </c>
      <c r="U30" s="23">
        <f>COUNTA(N30:T30)</f>
        <v>4</v>
      </c>
      <c r="V30" s="24">
        <f>SUM(N31:T31)</f>
        <v>5.2728124999999997</v>
      </c>
      <c r="W30" s="2" t="str">
        <f>M58</f>
        <v>Latvia</v>
      </c>
      <c r="X30" s="2">
        <f t="shared" ref="X30:Y30" si="32">U58</f>
        <v>4</v>
      </c>
      <c r="Y30" s="7">
        <f t="shared" si="32"/>
        <v>5.9974999999999996</v>
      </c>
      <c r="Z30" s="2">
        <f t="shared" si="3"/>
        <v>1.4993749999999999</v>
      </c>
    </row>
    <row r="31" spans="1:26" ht="12.3" x14ac:dyDescent="0.4">
      <c r="A31" s="2">
        <f t="shared" si="4"/>
        <v>30</v>
      </c>
      <c r="B31" s="2" t="s">
        <v>141</v>
      </c>
      <c r="C31" s="2">
        <v>4</v>
      </c>
      <c r="D31" s="7">
        <v>9.5746874999999996</v>
      </c>
      <c r="E31" s="7">
        <v>2.3936718749999999</v>
      </c>
      <c r="F31" s="14"/>
      <c r="G31" s="2" t="str">
        <f>'Overall Rankings'!BM32</f>
        <v>Red Bull Salzburg</v>
      </c>
      <c r="H31" s="7">
        <f>'Overall Rankings'!BN32</f>
        <v>9.7186249999999994</v>
      </c>
      <c r="I31" s="2" t="str">
        <f>'Overall Rankings'!BS32</f>
        <v>Austria</v>
      </c>
      <c r="J31" s="2" t="s">
        <v>163</v>
      </c>
      <c r="K31" s="7">
        <v>3.04</v>
      </c>
      <c r="L31" s="2" t="s">
        <v>164</v>
      </c>
      <c r="M31" s="3" t="s">
        <v>322</v>
      </c>
      <c r="N31" s="7">
        <f>K64</f>
        <v>3.5078125</v>
      </c>
      <c r="O31" s="7">
        <f>K65</f>
        <v>0.66500000000000004</v>
      </c>
      <c r="P31" s="7">
        <f>K66</f>
        <v>0.62999999999999989</v>
      </c>
      <c r="Q31" s="7">
        <f>K67</f>
        <v>0.46999999999999992</v>
      </c>
      <c r="U31" s="22"/>
      <c r="V31" s="25"/>
      <c r="W31" s="2" t="str">
        <f>M60</f>
        <v>Lichtenstein</v>
      </c>
      <c r="X31" s="2">
        <f t="shared" ref="X31:Y31" si="33">U60</f>
        <v>1</v>
      </c>
      <c r="Y31" s="7">
        <f t="shared" si="33"/>
        <v>0.58000000000000007</v>
      </c>
      <c r="Z31" s="2">
        <f t="shared" si="3"/>
        <v>0.58000000000000007</v>
      </c>
    </row>
    <row r="32" spans="1:26" ht="12.3" x14ac:dyDescent="0.4">
      <c r="A32" s="2">
        <f t="shared" si="4"/>
        <v>31</v>
      </c>
      <c r="B32" s="2" t="s">
        <v>159</v>
      </c>
      <c r="C32" s="2">
        <v>4</v>
      </c>
      <c r="D32" s="7">
        <v>9.0343749999999989</v>
      </c>
      <c r="E32" s="7">
        <v>2.2585937499999997</v>
      </c>
      <c r="F32" s="14"/>
      <c r="G32" s="2" t="str">
        <f>'Overall Rankings'!BM33</f>
        <v>Granada</v>
      </c>
      <c r="H32" s="7">
        <f>'Overall Rankings'!BN33</f>
        <v>8.9853333333333332</v>
      </c>
      <c r="I32" s="2" t="str">
        <f>'Overall Rankings'!BS33</f>
        <v>Spain</v>
      </c>
      <c r="J32" s="2" t="s">
        <v>140</v>
      </c>
      <c r="K32" s="7">
        <v>3.8134375</v>
      </c>
      <c r="L32" s="2" t="s">
        <v>141</v>
      </c>
      <c r="M32" s="16" t="s">
        <v>135</v>
      </c>
      <c r="N32" s="2" t="str">
        <f>J68</f>
        <v>KÍ</v>
      </c>
      <c r="O32" s="2" t="str">
        <f>J69</f>
        <v>B36 Tórshavn</v>
      </c>
      <c r="P32" s="2" t="str">
        <f>J70</f>
        <v>NSÍ Runavík</v>
      </c>
      <c r="Q32" s="2" t="str">
        <f>J71</f>
        <v>HB Tórshavn</v>
      </c>
      <c r="U32" s="23">
        <f>COUNTA(N32:T32)</f>
        <v>4</v>
      </c>
      <c r="V32" s="24">
        <f>SUM(N33:T33)</f>
        <v>8.666249999999998</v>
      </c>
      <c r="W32" s="2" t="str">
        <f>M62</f>
        <v>Lithuania</v>
      </c>
      <c r="X32" s="2">
        <f t="shared" ref="X32:Y32" si="34">U62</f>
        <v>4</v>
      </c>
      <c r="Y32" s="7">
        <f t="shared" si="34"/>
        <v>6.8979166666666663</v>
      </c>
      <c r="Z32" s="2">
        <f t="shared" si="3"/>
        <v>1.7244791666666666</v>
      </c>
    </row>
    <row r="33" spans="1:26" ht="12.3" x14ac:dyDescent="0.4">
      <c r="A33" s="2">
        <f t="shared" si="4"/>
        <v>32</v>
      </c>
      <c r="B33" s="2" t="s">
        <v>135</v>
      </c>
      <c r="C33" s="2">
        <v>4</v>
      </c>
      <c r="D33" s="7">
        <v>8.666249999999998</v>
      </c>
      <c r="E33" s="7">
        <v>2.1665624999999995</v>
      </c>
      <c r="F33" s="14"/>
      <c r="G33" s="2" t="str">
        <f>'Overall Rankings'!BM34</f>
        <v>Young Boys</v>
      </c>
      <c r="H33" s="7">
        <f>'Overall Rankings'!BN34</f>
        <v>8.8591346153846153</v>
      </c>
      <c r="I33" s="2" t="str">
        <f>'Overall Rankings'!BS34</f>
        <v>Switzerland</v>
      </c>
      <c r="J33" s="2" t="s">
        <v>220</v>
      </c>
      <c r="K33" s="7">
        <v>1.9512499999999999</v>
      </c>
      <c r="L33" s="2" t="s">
        <v>141</v>
      </c>
      <c r="M33" s="3" t="s">
        <v>322</v>
      </c>
      <c r="N33" s="7">
        <f>K68</f>
        <v>4.1059374999999996</v>
      </c>
      <c r="O33" s="7">
        <f>K69</f>
        <v>2.6528125</v>
      </c>
      <c r="P33" s="7">
        <f>K70</f>
        <v>1.4125000000000001</v>
      </c>
      <c r="Q33" s="7">
        <f>K71</f>
        <v>0.495</v>
      </c>
      <c r="U33" s="22"/>
      <c r="V33" s="25"/>
      <c r="W33" s="2" t="str">
        <f>M64</f>
        <v>Luxembourg</v>
      </c>
      <c r="X33" s="2">
        <f t="shared" ref="X33:Y33" si="35">U64</f>
        <v>4</v>
      </c>
      <c r="Y33" s="7">
        <f t="shared" si="35"/>
        <v>4.4250000000000007</v>
      </c>
      <c r="Z33" s="2">
        <f t="shared" si="3"/>
        <v>1.1062500000000002</v>
      </c>
    </row>
    <row r="34" spans="1:26" ht="12.3" x14ac:dyDescent="0.4">
      <c r="A34" s="2">
        <f t="shared" si="4"/>
        <v>33</v>
      </c>
      <c r="B34" s="2" t="s">
        <v>121</v>
      </c>
      <c r="C34" s="2">
        <v>4</v>
      </c>
      <c r="D34" s="7">
        <v>8.32775</v>
      </c>
      <c r="E34" s="7">
        <v>2.0819375</v>
      </c>
      <c r="F34" s="14"/>
      <c r="G34" s="2" t="str">
        <f>'Overall Rankings'!BM35</f>
        <v>Tottenham Hotspur</v>
      </c>
      <c r="H34" s="7">
        <f>'Overall Rankings'!BN35</f>
        <v>8.6402884615384608</v>
      </c>
      <c r="I34" s="2" t="str">
        <f>'Overall Rankings'!BS35</f>
        <v>England</v>
      </c>
      <c r="J34" s="2" t="s">
        <v>276</v>
      </c>
      <c r="K34" s="7">
        <v>0.77</v>
      </c>
      <c r="L34" s="2" t="s">
        <v>141</v>
      </c>
      <c r="M34" s="16" t="s">
        <v>152</v>
      </c>
      <c r="N34" s="2" t="str">
        <f>J72</f>
        <v>KuPS</v>
      </c>
      <c r="O34" s="2" t="str">
        <f>J73</f>
        <v>Ilves</v>
      </c>
      <c r="P34" s="2" t="str">
        <f>J74</f>
        <v>Inter Turku</v>
      </c>
      <c r="Q34" s="2" t="str">
        <f>J75</f>
        <v>Honka</v>
      </c>
      <c r="U34" s="23">
        <f>COUNTA(N34:T34)</f>
        <v>4</v>
      </c>
      <c r="V34" s="24">
        <f>SUM(N35:T35)</f>
        <v>5.9606250000000003</v>
      </c>
      <c r="W34" s="2" t="str">
        <f>M66</f>
        <v>Malta</v>
      </c>
      <c r="X34" s="2">
        <f t="shared" ref="X34:Y34" si="36">U66</f>
        <v>4</v>
      </c>
      <c r="Y34" s="7">
        <f t="shared" si="36"/>
        <v>6.003333333333333</v>
      </c>
      <c r="Z34" s="2">
        <f t="shared" si="3"/>
        <v>1.5008333333333332</v>
      </c>
    </row>
    <row r="35" spans="1:26" ht="12.3" x14ac:dyDescent="0.4">
      <c r="A35" s="2">
        <f t="shared" si="4"/>
        <v>34</v>
      </c>
      <c r="B35" s="2" t="s">
        <v>198</v>
      </c>
      <c r="C35" s="2">
        <v>3</v>
      </c>
      <c r="D35" s="7">
        <v>5.7567708333333325</v>
      </c>
      <c r="E35" s="7">
        <v>1.9189236111111108</v>
      </c>
      <c r="F35" s="14"/>
      <c r="G35" s="2" t="str">
        <f>'Overall Rankings'!BM36</f>
        <v>Rangers</v>
      </c>
      <c r="H35" s="7">
        <f>'Overall Rankings'!BN36</f>
        <v>8.6213461538461527</v>
      </c>
      <c r="I35" s="2" t="str">
        <f>'Overall Rankings'!BS36</f>
        <v>Scotland</v>
      </c>
      <c r="J35" s="2" t="s">
        <v>110</v>
      </c>
      <c r="K35" s="7">
        <v>5.2795000000000005</v>
      </c>
      <c r="L35" s="2" t="s">
        <v>111</v>
      </c>
      <c r="M35" s="3" t="s">
        <v>322</v>
      </c>
      <c r="N35" s="7">
        <f>K72</f>
        <v>3.4906250000000001</v>
      </c>
      <c r="O35" s="7">
        <f>K73</f>
        <v>0.90999999999999992</v>
      </c>
      <c r="P35" s="7">
        <f>K74</f>
        <v>0.82499999999999996</v>
      </c>
      <c r="Q35" s="7">
        <f>K75</f>
        <v>0.73499999999999988</v>
      </c>
      <c r="U35" s="22"/>
      <c r="V35" s="25"/>
      <c r="W35" s="2" t="str">
        <f>M68</f>
        <v>Moldova</v>
      </c>
      <c r="X35" s="2">
        <f t="shared" ref="X35:Y35" si="37">U68</f>
        <v>4</v>
      </c>
      <c r="Y35" s="7">
        <f t="shared" si="37"/>
        <v>6.722500000000001</v>
      </c>
      <c r="Z35" s="2">
        <f t="shared" si="3"/>
        <v>1.6806250000000003</v>
      </c>
    </row>
    <row r="36" spans="1:26" ht="12.3" x14ac:dyDescent="0.4">
      <c r="A36" s="2">
        <f t="shared" si="4"/>
        <v>35</v>
      </c>
      <c r="B36" s="2" t="s">
        <v>123</v>
      </c>
      <c r="C36" s="2">
        <v>4</v>
      </c>
      <c r="D36" s="7">
        <v>7.3487499999999999</v>
      </c>
      <c r="E36" s="7">
        <v>1.8371875</v>
      </c>
      <c r="F36" s="14"/>
      <c r="G36" s="2" t="str">
        <f>'Overall Rankings'!BM37</f>
        <v>Maccabi Tel Aviv</v>
      </c>
      <c r="H36" s="7">
        <f>'Overall Rankings'!BN37</f>
        <v>8.5380769230769218</v>
      </c>
      <c r="I36" s="2" t="str">
        <f>'Overall Rankings'!BS37</f>
        <v>Israel</v>
      </c>
      <c r="J36" s="2" t="s">
        <v>114</v>
      </c>
      <c r="K36" s="7">
        <v>5.0200000000000005</v>
      </c>
      <c r="L36" s="2" t="s">
        <v>111</v>
      </c>
      <c r="M36" s="16" t="s">
        <v>21</v>
      </c>
      <c r="N36" s="2" t="str">
        <f>J76</f>
        <v>Paris Saint-Germain</v>
      </c>
      <c r="O36" s="2" t="str">
        <f>J77</f>
        <v>Marseille</v>
      </c>
      <c r="P36" s="2" t="str">
        <f>J78</f>
        <v>Rennes</v>
      </c>
      <c r="Q36" s="2" t="str">
        <f>J79</f>
        <v>Lille</v>
      </c>
      <c r="R36" s="2" t="str">
        <f>J80</f>
        <v>Nice</v>
      </c>
      <c r="S36" s="2" t="str">
        <f>J81</f>
        <v>Reims</v>
      </c>
      <c r="U36" s="23">
        <f>COUNTA(N36:T36)</f>
        <v>6</v>
      </c>
      <c r="V36" s="24">
        <f>SUM(N37:T37)</f>
        <v>45.602291666666659</v>
      </c>
      <c r="W36" s="2" t="str">
        <f>M70</f>
        <v>Montenegro</v>
      </c>
      <c r="X36" s="2">
        <f t="shared" ref="X36:Y36" si="38">U70</f>
        <v>4</v>
      </c>
      <c r="Y36" s="7">
        <f t="shared" si="38"/>
        <v>6.1574999999999998</v>
      </c>
      <c r="Z36" s="2">
        <f t="shared" si="3"/>
        <v>1.5393749999999999</v>
      </c>
    </row>
    <row r="37" spans="1:26" ht="12.3" x14ac:dyDescent="0.4">
      <c r="A37" s="2">
        <f t="shared" si="4"/>
        <v>36</v>
      </c>
      <c r="B37" s="2" t="s">
        <v>157</v>
      </c>
      <c r="C37" s="2">
        <v>4</v>
      </c>
      <c r="D37" s="7">
        <v>7.3087499999999999</v>
      </c>
      <c r="E37" s="7">
        <v>1.8271875</v>
      </c>
      <c r="F37" s="14"/>
      <c r="G37" s="2" t="str">
        <f>'Overall Rankings'!BM38</f>
        <v>Midtjylland</v>
      </c>
      <c r="H37" s="7">
        <f>'Overall Rankings'!BN38</f>
        <v>8.459249999999999</v>
      </c>
      <c r="I37" s="2" t="str">
        <f>'Overall Rankings'!BS38</f>
        <v>Denmark</v>
      </c>
      <c r="J37" s="2" t="s">
        <v>216</v>
      </c>
      <c r="K37" s="7">
        <v>2.0131250000000001</v>
      </c>
      <c r="L37" s="2" t="s">
        <v>111</v>
      </c>
      <c r="M37" s="3" t="s">
        <v>322</v>
      </c>
      <c r="N37" s="7">
        <f>K76</f>
        <v>16.107499999999998</v>
      </c>
      <c r="O37" s="7">
        <f>K77</f>
        <v>7.7179166666666665</v>
      </c>
      <c r="P37" s="7">
        <f>K78</f>
        <v>7.5299999999999994</v>
      </c>
      <c r="Q37" s="7">
        <f>K79</f>
        <v>6.9012499999999992</v>
      </c>
      <c r="R37" s="7">
        <f>K80</f>
        <v>4.3156249999999998</v>
      </c>
      <c r="S37" s="7">
        <f>K81</f>
        <v>3.0300000000000002</v>
      </c>
      <c r="U37" s="22"/>
      <c r="V37" s="25"/>
      <c r="W37" s="2" t="str">
        <f>M72</f>
        <v>Netherlands</v>
      </c>
      <c r="X37" s="2">
        <f t="shared" ref="X37:Y37" si="39">U72</f>
        <v>5</v>
      </c>
      <c r="Y37" s="7">
        <f t="shared" si="39"/>
        <v>33.701749999999997</v>
      </c>
      <c r="Z37" s="2">
        <f t="shared" si="3"/>
        <v>6.7403499999999994</v>
      </c>
    </row>
    <row r="38" spans="1:26" ht="12.3" x14ac:dyDescent="0.4">
      <c r="A38" s="2">
        <f t="shared" si="4"/>
        <v>37</v>
      </c>
      <c r="B38" s="2" t="s">
        <v>179</v>
      </c>
      <c r="C38" s="2">
        <v>4</v>
      </c>
      <c r="D38" s="7">
        <v>6.8979166666666663</v>
      </c>
      <c r="E38" s="7">
        <v>1.7244791666666666</v>
      </c>
      <c r="F38" s="14"/>
      <c r="G38" s="2" t="str">
        <f>'Overall Rankings'!BM39</f>
        <v>Inter Milan</v>
      </c>
      <c r="H38" s="7">
        <f>'Overall Rankings'!BN39</f>
        <v>8.4235416666666669</v>
      </c>
      <c r="I38" s="2" t="str">
        <f>'Overall Rankings'!BS39</f>
        <v>Italy</v>
      </c>
      <c r="J38" s="2" t="s">
        <v>272</v>
      </c>
      <c r="K38" s="7">
        <v>0.80499999999999994</v>
      </c>
      <c r="L38" s="2" t="s">
        <v>111</v>
      </c>
      <c r="M38" s="16" t="s">
        <v>154</v>
      </c>
      <c r="N38" s="2" t="str">
        <f>J82</f>
        <v>Locomotive Tbilisi</v>
      </c>
      <c r="O38" s="2" t="str">
        <f>J83</f>
        <v>Dinamo Tbilisi</v>
      </c>
      <c r="P38" s="2" t="str">
        <f>J84</f>
        <v>Dinamo Batumi</v>
      </c>
      <c r="Q38" s="2" t="str">
        <f>J85</f>
        <v>Saburtalo Tbilisi</v>
      </c>
      <c r="U38" s="23">
        <f>COUNTA(N38:T38)</f>
        <v>4</v>
      </c>
      <c r="V38" s="24">
        <f>SUM(N39:T39)</f>
        <v>6.8412499999999996</v>
      </c>
      <c r="W38" s="2" t="str">
        <f>M74</f>
        <v>North Macedonia</v>
      </c>
      <c r="X38" s="2">
        <f t="shared" ref="X38:Y38" si="40">U74</f>
        <v>4</v>
      </c>
      <c r="Y38" s="7">
        <f t="shared" si="40"/>
        <v>7.3087499999999999</v>
      </c>
      <c r="Z38" s="2">
        <f t="shared" si="3"/>
        <v>1.8271875</v>
      </c>
    </row>
    <row r="39" spans="1:26" ht="12.3" x14ac:dyDescent="0.4">
      <c r="A39" s="2">
        <f t="shared" si="4"/>
        <v>38</v>
      </c>
      <c r="B39" s="2" t="s">
        <v>154</v>
      </c>
      <c r="C39" s="2">
        <v>4</v>
      </c>
      <c r="D39" s="7">
        <v>6.8412499999999996</v>
      </c>
      <c r="E39" s="7">
        <v>1.7103124999999999</v>
      </c>
      <c r="F39" s="14"/>
      <c r="G39" s="2" t="str">
        <f>'Overall Rankings'!BM40</f>
        <v>Ferencváros</v>
      </c>
      <c r="H39" s="7">
        <f>'Overall Rankings'!BN40</f>
        <v>8.2637499999999999</v>
      </c>
      <c r="I39" s="2" t="str">
        <f>'Overall Rankings'!BS40</f>
        <v>Hungary</v>
      </c>
      <c r="J39" s="2" t="s">
        <v>51</v>
      </c>
      <c r="K39" s="7">
        <v>10.366583333333333</v>
      </c>
      <c r="L39" s="2" t="s">
        <v>52</v>
      </c>
      <c r="M39" s="3" t="s">
        <v>322</v>
      </c>
      <c r="N39" s="7">
        <f>K82</f>
        <v>3.4629166666666666</v>
      </c>
      <c r="O39" s="7">
        <f>K83</f>
        <v>2.1533333333333333</v>
      </c>
      <c r="P39" s="7">
        <f>K84</f>
        <v>0.63500000000000001</v>
      </c>
      <c r="Q39" s="7">
        <f>K85</f>
        <v>0.59000000000000008</v>
      </c>
      <c r="U39" s="22"/>
      <c r="V39" s="25"/>
      <c r="W39" s="2" t="str">
        <f>M76</f>
        <v>Northern Ireland</v>
      </c>
      <c r="X39" s="2">
        <f t="shared" ref="X39:Y39" si="41">U76</f>
        <v>3</v>
      </c>
      <c r="Y39" s="7">
        <f t="shared" si="41"/>
        <v>5.7567708333333325</v>
      </c>
      <c r="Z39" s="2">
        <f t="shared" si="3"/>
        <v>1.9189236111111108</v>
      </c>
    </row>
    <row r="40" spans="1:26" ht="12.3" x14ac:dyDescent="0.4">
      <c r="A40" s="2">
        <f t="shared" si="4"/>
        <v>39</v>
      </c>
      <c r="B40" s="2" t="s">
        <v>173</v>
      </c>
      <c r="C40" s="2">
        <v>4</v>
      </c>
      <c r="D40" s="7">
        <v>6.722500000000001</v>
      </c>
      <c r="E40" s="7">
        <v>1.6806250000000003</v>
      </c>
      <c r="F40" s="14"/>
      <c r="G40" s="2" t="str">
        <f>'Overall Rankings'!BM41</f>
        <v>Milan</v>
      </c>
      <c r="H40" s="7">
        <f>'Overall Rankings'!BN41</f>
        <v>8.1971153846153832</v>
      </c>
      <c r="I40" s="2" t="str">
        <f>'Overall Rankings'!BS41</f>
        <v>Italy</v>
      </c>
      <c r="J40" s="2" t="s">
        <v>112</v>
      </c>
      <c r="K40" s="7">
        <v>5.2270312499999996</v>
      </c>
      <c r="L40" s="2" t="s">
        <v>52</v>
      </c>
      <c r="M40" s="16" t="s">
        <v>23</v>
      </c>
      <c r="N40" s="2" t="str">
        <f>J86</f>
        <v>Bayern Munich</v>
      </c>
      <c r="O40" s="2" t="str">
        <f>J87</f>
        <v>Borussia Dortmund</v>
      </c>
      <c r="P40" s="2" t="str">
        <f>J88</f>
        <v>RB Leipzig</v>
      </c>
      <c r="Q40" s="2" t="str">
        <f>J89</f>
        <v>Borussia Mönchengladbach</v>
      </c>
      <c r="R40" s="2" t="str">
        <f>J90</f>
        <v>1899 Hoffenheim</v>
      </c>
      <c r="S40" s="2" t="str">
        <f>J91</f>
        <v>Bayer Leverkusen</v>
      </c>
      <c r="T40" s="2" t="str">
        <f>J92</f>
        <v>VfL Wolfsburg</v>
      </c>
      <c r="U40" s="23">
        <f>COUNTA(N40:T40)</f>
        <v>7</v>
      </c>
      <c r="V40" s="24">
        <f>SUM(N41:T41)</f>
        <v>71.756187499999996</v>
      </c>
      <c r="W40" s="2" t="str">
        <f>M78</f>
        <v>Norway</v>
      </c>
      <c r="X40" s="2">
        <f t="shared" ref="X40:Y40" si="42">U78</f>
        <v>4</v>
      </c>
      <c r="Y40" s="7">
        <f t="shared" si="42"/>
        <v>18.020375000000001</v>
      </c>
      <c r="Z40" s="2">
        <f t="shared" si="3"/>
        <v>4.5050937500000003</v>
      </c>
    </row>
    <row r="41" spans="1:26" ht="12.3" x14ac:dyDescent="0.4">
      <c r="A41" s="2">
        <f t="shared" si="4"/>
        <v>40</v>
      </c>
      <c r="B41" s="2" t="s">
        <v>175</v>
      </c>
      <c r="C41" s="2">
        <v>4</v>
      </c>
      <c r="D41" s="7">
        <v>6.1574999999999998</v>
      </c>
      <c r="E41" s="7">
        <v>1.5393749999999999</v>
      </c>
      <c r="F41" s="14"/>
      <c r="G41" s="2" t="str">
        <f>'Overall Rankings'!BM42</f>
        <v>Red Star Belgrade</v>
      </c>
      <c r="H41" s="7">
        <f>'Overall Rankings'!BN42</f>
        <v>8.1177083333333329</v>
      </c>
      <c r="I41" s="2" t="str">
        <f>'Overall Rankings'!BS42</f>
        <v>Serbia</v>
      </c>
      <c r="J41" s="2" t="s">
        <v>177</v>
      </c>
      <c r="K41" s="7">
        <v>2.649375</v>
      </c>
      <c r="L41" s="2" t="s">
        <v>52</v>
      </c>
      <c r="M41" s="3" t="s">
        <v>322</v>
      </c>
      <c r="N41" s="7">
        <f>K86</f>
        <v>15.05275</v>
      </c>
      <c r="O41" s="7">
        <f>K87</f>
        <v>14.206250000000001</v>
      </c>
      <c r="P41" s="7">
        <f>K88</f>
        <v>11.854531249999999</v>
      </c>
      <c r="Q41" s="7">
        <f>K89</f>
        <v>11.516562499999999</v>
      </c>
      <c r="R41" s="7">
        <f>K90</f>
        <v>7.6064062499999991</v>
      </c>
      <c r="S41" s="7">
        <f>K91</f>
        <v>7.2896874999999994</v>
      </c>
      <c r="T41" s="7">
        <f>K92</f>
        <v>4.2299999999999995</v>
      </c>
      <c r="U41" s="22"/>
      <c r="V41" s="25"/>
      <c r="W41" s="2" t="str">
        <f>M80</f>
        <v>Poland</v>
      </c>
      <c r="X41" s="2">
        <f t="shared" ref="X41:Y41" si="43">U80</f>
        <v>4</v>
      </c>
      <c r="Y41" s="7">
        <f t="shared" si="43"/>
        <v>13.170208333333335</v>
      </c>
      <c r="Z41" s="2">
        <f t="shared" si="3"/>
        <v>3.2925520833333337</v>
      </c>
    </row>
    <row r="42" spans="1:26" ht="12.3" x14ac:dyDescent="0.4">
      <c r="A42" s="2">
        <f t="shared" si="4"/>
        <v>41</v>
      </c>
      <c r="B42" s="2" t="s">
        <v>191</v>
      </c>
      <c r="C42" s="2">
        <v>4</v>
      </c>
      <c r="D42" s="7">
        <v>6.003333333333333</v>
      </c>
      <c r="E42" s="7">
        <v>1.5008333333333332</v>
      </c>
      <c r="F42" s="14"/>
      <c r="G42" s="2" t="str">
        <f>'Overall Rankings'!BM43</f>
        <v>Benfica</v>
      </c>
      <c r="H42" s="7">
        <f>'Overall Rankings'!BN43</f>
        <v>7.9205555555555556</v>
      </c>
      <c r="I42" s="2" t="str">
        <f>'Overall Rankings'!BS43</f>
        <v>Portugal</v>
      </c>
      <c r="J42" s="2" t="s">
        <v>208</v>
      </c>
      <c r="K42" s="7">
        <v>2.0949999999999998</v>
      </c>
      <c r="L42" s="2" t="s">
        <v>52</v>
      </c>
      <c r="M42" s="16" t="s">
        <v>210</v>
      </c>
      <c r="N42" s="2" t="str">
        <f>J93</f>
        <v>Lincoln Red Imps</v>
      </c>
      <c r="O42" s="2" t="str">
        <f>J94</f>
        <v>Europa</v>
      </c>
      <c r="P42" s="2" t="str">
        <f>J95</f>
        <v>St Joseph's</v>
      </c>
      <c r="U42" s="23">
        <f>COUNTA(N42:T42)</f>
        <v>3</v>
      </c>
      <c r="V42" s="24">
        <f>SUM(N43:T43)</f>
        <v>3.9258333333333328</v>
      </c>
      <c r="W42" s="2" t="str">
        <f>M82</f>
        <v>Portugal</v>
      </c>
      <c r="X42" s="2">
        <f t="shared" ref="X42:Y42" si="44">U82</f>
        <v>5</v>
      </c>
      <c r="Y42" s="7">
        <f t="shared" si="44"/>
        <v>36.93860763888889</v>
      </c>
      <c r="Z42" s="2">
        <f t="shared" si="3"/>
        <v>7.3877215277777779</v>
      </c>
    </row>
    <row r="43" spans="1:26" ht="12.3" x14ac:dyDescent="0.4">
      <c r="A43" s="2">
        <f t="shared" si="4"/>
        <v>42</v>
      </c>
      <c r="B43" s="2" t="s">
        <v>189</v>
      </c>
      <c r="C43" s="2">
        <v>4</v>
      </c>
      <c r="D43" s="7">
        <v>5.9974999999999996</v>
      </c>
      <c r="E43" s="7">
        <v>1.4993749999999999</v>
      </c>
      <c r="F43" s="14"/>
      <c r="G43" s="2" t="str">
        <f>'Overall Rankings'!BM44</f>
        <v>Lokomotiv Moscow</v>
      </c>
      <c r="H43" s="7">
        <f>'Overall Rankings'!BN44</f>
        <v>7.9024999999999999</v>
      </c>
      <c r="I43" s="2" t="str">
        <f>'Overall Rankings'!BS44</f>
        <v>Russia</v>
      </c>
      <c r="J43" s="2" t="s">
        <v>241</v>
      </c>
      <c r="K43" s="7">
        <v>1.2849999999999999</v>
      </c>
      <c r="L43" s="2" t="s">
        <v>52</v>
      </c>
      <c r="M43" s="3" t="s">
        <v>322</v>
      </c>
      <c r="N43" s="7">
        <f>K93</f>
        <v>2.0908333333333329</v>
      </c>
      <c r="O43" s="7">
        <f>K94</f>
        <v>1.3199999999999998</v>
      </c>
      <c r="P43" s="7">
        <f>K95</f>
        <v>0.51500000000000001</v>
      </c>
      <c r="U43" s="22"/>
      <c r="V43" s="25"/>
      <c r="W43" s="2" t="str">
        <f>M84</f>
        <v>Republic of Ireland</v>
      </c>
      <c r="X43" s="2">
        <f t="shared" ref="X43:Y43" si="45">U84</f>
        <v>4</v>
      </c>
      <c r="Y43" s="7">
        <f t="shared" si="45"/>
        <v>8.32775</v>
      </c>
      <c r="Z43" s="2">
        <f t="shared" si="3"/>
        <v>2.0819375</v>
      </c>
    </row>
    <row r="44" spans="1:26" ht="12.3" x14ac:dyDescent="0.4">
      <c r="A44" s="2">
        <f t="shared" si="4"/>
        <v>43</v>
      </c>
      <c r="B44" s="2" t="s">
        <v>152</v>
      </c>
      <c r="C44" s="2">
        <v>4</v>
      </c>
      <c r="D44" s="7">
        <v>5.9606250000000003</v>
      </c>
      <c r="E44" s="7">
        <v>1.4901562500000001</v>
      </c>
      <c r="F44" s="14"/>
      <c r="G44" s="2" t="str">
        <f>'Overall Rankings'!BM45</f>
        <v>İstanbul Başakşehir</v>
      </c>
      <c r="H44" s="7">
        <f>'Overall Rankings'!BN45</f>
        <v>7.8</v>
      </c>
      <c r="I44" s="2" t="str">
        <f>'Overall Rankings'!BS45</f>
        <v>Turkey</v>
      </c>
      <c r="J44" s="2" t="s">
        <v>93</v>
      </c>
      <c r="K44" s="7">
        <v>6.7771590909090911</v>
      </c>
      <c r="L44" s="2" t="s">
        <v>94</v>
      </c>
      <c r="M44" s="16" t="s">
        <v>46</v>
      </c>
      <c r="N44" s="2" t="str">
        <f>J96</f>
        <v>Olympiacos</v>
      </c>
      <c r="O44" s="2" t="str">
        <f>J97</f>
        <v>PAOK</v>
      </c>
      <c r="P44" s="2" t="str">
        <f>J98</f>
        <v>AEK Athens</v>
      </c>
      <c r="Q44" s="2" t="str">
        <f>J99</f>
        <v>Aris</v>
      </c>
      <c r="R44" s="2" t="str">
        <f>J100</f>
        <v>OFI</v>
      </c>
      <c r="U44" s="23">
        <f>COUNTA(N44:T44)</f>
        <v>5</v>
      </c>
      <c r="V44" s="24">
        <f>SUM(N45:T45)</f>
        <v>25.646864583333329</v>
      </c>
      <c r="W44" s="2" t="str">
        <f>M86</f>
        <v>Romania</v>
      </c>
      <c r="X44" s="2">
        <f t="shared" ref="X44:Y44" si="46">U86</f>
        <v>4</v>
      </c>
      <c r="Y44" s="7">
        <f t="shared" si="46"/>
        <v>11.56775</v>
      </c>
      <c r="Z44" s="2">
        <f t="shared" si="3"/>
        <v>2.8919375</v>
      </c>
    </row>
    <row r="45" spans="1:26" ht="12.3" x14ac:dyDescent="0.4">
      <c r="A45" s="2">
        <f t="shared" si="4"/>
        <v>44</v>
      </c>
      <c r="B45" s="2" t="s">
        <v>144</v>
      </c>
      <c r="C45" s="2">
        <v>4</v>
      </c>
      <c r="D45" s="7">
        <v>5.8393750000000004</v>
      </c>
      <c r="E45" s="7">
        <v>1.4598437500000001</v>
      </c>
      <c r="F45" s="14"/>
      <c r="G45" s="2" t="str">
        <f>'Overall Rankings'!BM46</f>
        <v>Marseille</v>
      </c>
      <c r="H45" s="7">
        <f>'Overall Rankings'!BN46</f>
        <v>7.7179166666666665</v>
      </c>
      <c r="I45" s="2" t="str">
        <f>'Overall Rankings'!BS46</f>
        <v>France</v>
      </c>
      <c r="J45" s="2" t="s">
        <v>136</v>
      </c>
      <c r="K45" s="7">
        <v>4.0618749999999997</v>
      </c>
      <c r="L45" s="2" t="s">
        <v>94</v>
      </c>
      <c r="M45" s="3" t="s">
        <v>322</v>
      </c>
      <c r="N45" s="7">
        <f>K96</f>
        <v>10.893645833333332</v>
      </c>
      <c r="O45" s="7">
        <f>K97</f>
        <v>7.0677499999999993</v>
      </c>
      <c r="P45" s="7">
        <f>K98</f>
        <v>5.0754687499999998</v>
      </c>
      <c r="Q45" s="7">
        <f>K99</f>
        <v>1.345</v>
      </c>
      <c r="R45" s="7">
        <f>K100</f>
        <v>1.2650000000000001</v>
      </c>
      <c r="U45" s="22"/>
      <c r="V45" s="25"/>
      <c r="W45" s="2" t="str">
        <f>M88</f>
        <v>Russia</v>
      </c>
      <c r="X45" s="2">
        <f t="shared" ref="X45:Y45" si="47">U88</f>
        <v>6</v>
      </c>
      <c r="Y45" s="7">
        <f t="shared" si="47"/>
        <v>32.432041666666663</v>
      </c>
      <c r="Z45" s="2">
        <f t="shared" si="3"/>
        <v>5.4053402777777775</v>
      </c>
    </row>
    <row r="46" spans="1:26" ht="12.3" x14ac:dyDescent="0.4">
      <c r="A46" s="2">
        <f t="shared" si="4"/>
        <v>45</v>
      </c>
      <c r="B46" s="2" t="s">
        <v>194</v>
      </c>
      <c r="C46" s="2">
        <v>4</v>
      </c>
      <c r="D46" s="7">
        <v>5.7474999999999996</v>
      </c>
      <c r="E46" s="7">
        <v>1.4368749999999999</v>
      </c>
      <c r="F46" s="14"/>
      <c r="G46" s="2" t="str">
        <f>'Overall Rankings'!BM47</f>
        <v>1899 Hoffenheim</v>
      </c>
      <c r="H46" s="7">
        <f>'Overall Rankings'!BN47</f>
        <v>7.6064062499999991</v>
      </c>
      <c r="I46" s="2" t="str">
        <f>'Overall Rankings'!BS47</f>
        <v>Germany</v>
      </c>
      <c r="J46" s="2" t="s">
        <v>168</v>
      </c>
      <c r="K46" s="7">
        <v>2.9670833333333335</v>
      </c>
      <c r="L46" s="2" t="s">
        <v>94</v>
      </c>
      <c r="M46" s="16" t="s">
        <v>73</v>
      </c>
      <c r="N46" s="2" t="str">
        <f>J101</f>
        <v>Ferencváros</v>
      </c>
      <c r="O46" s="2" t="str">
        <f>J102</f>
        <v>Fehérvár</v>
      </c>
      <c r="P46" s="2" t="str">
        <f>J103</f>
        <v>Honvéd</v>
      </c>
      <c r="Q46" s="2" t="str">
        <f>J104</f>
        <v>Puskás Akadémia</v>
      </c>
      <c r="U46" s="23">
        <f>COUNTA(N46:T46)</f>
        <v>4</v>
      </c>
      <c r="V46" s="24">
        <f>SUM(N47:T47)</f>
        <v>14.8921875</v>
      </c>
      <c r="W46" s="2" t="str">
        <f>M90</f>
        <v>San Marino</v>
      </c>
      <c r="X46" s="2">
        <f t="shared" ref="X46:Y46" si="48">U90</f>
        <v>3</v>
      </c>
      <c r="Y46" s="7">
        <f t="shared" si="48"/>
        <v>1.9474999999999998</v>
      </c>
      <c r="Z46" s="2">
        <f t="shared" si="3"/>
        <v>0.64916666666666656</v>
      </c>
    </row>
    <row r="47" spans="1:26" ht="12.3" x14ac:dyDescent="0.4">
      <c r="A47" s="2">
        <f t="shared" si="4"/>
        <v>46</v>
      </c>
      <c r="B47" s="2" t="s">
        <v>181</v>
      </c>
      <c r="C47" s="2">
        <v>3</v>
      </c>
      <c r="D47" s="7">
        <v>4.25</v>
      </c>
      <c r="E47" s="7">
        <v>1.4166666666666667</v>
      </c>
      <c r="F47" s="14"/>
      <c r="G47" s="2" t="str">
        <f>'Overall Rankings'!BM48</f>
        <v>Rennes</v>
      </c>
      <c r="H47" s="7">
        <f>'Overall Rankings'!BN48</f>
        <v>7.5299999999999994</v>
      </c>
      <c r="I47" s="2" t="str">
        <f>'Overall Rankings'!BS48</f>
        <v>France</v>
      </c>
      <c r="J47" s="2" t="s">
        <v>226</v>
      </c>
      <c r="K47" s="7">
        <v>1.7349999999999999</v>
      </c>
      <c r="L47" s="2" t="s">
        <v>94</v>
      </c>
      <c r="M47" s="3" t="s">
        <v>322</v>
      </c>
      <c r="N47" s="7">
        <f>K101</f>
        <v>8.2637499999999999</v>
      </c>
      <c r="O47" s="7">
        <f>K102</f>
        <v>3.8253124999999999</v>
      </c>
      <c r="P47" s="7">
        <f>K103</f>
        <v>2.118125</v>
      </c>
      <c r="Q47" s="7">
        <f>K104</f>
        <v>0.68500000000000005</v>
      </c>
      <c r="U47" s="22"/>
      <c r="V47" s="25"/>
      <c r="W47" s="2" t="str">
        <f>M92</f>
        <v>Scotland</v>
      </c>
      <c r="X47" s="2">
        <f t="shared" ref="X47:Y47" si="49">U92</f>
        <v>4</v>
      </c>
      <c r="Y47" s="7">
        <f t="shared" si="49"/>
        <v>19.688679487179485</v>
      </c>
      <c r="Z47" s="2">
        <f t="shared" si="3"/>
        <v>4.9221698717948712</v>
      </c>
    </row>
    <row r="48" spans="1:26" ht="12.3" x14ac:dyDescent="0.4">
      <c r="A48" s="2">
        <f t="shared" si="4"/>
        <v>47</v>
      </c>
      <c r="B48" s="2" t="s">
        <v>162</v>
      </c>
      <c r="C48" s="2">
        <v>4</v>
      </c>
      <c r="D48" s="7">
        <v>5.625</v>
      </c>
      <c r="E48" s="7">
        <v>1.40625</v>
      </c>
      <c r="F48" s="14"/>
      <c r="G48" s="2" t="str">
        <f>'Overall Rankings'!BM49</f>
        <v>Zenit Saint Petersburg</v>
      </c>
      <c r="H48" s="7">
        <f>'Overall Rankings'!BN49</f>
        <v>7.5058333333333334</v>
      </c>
      <c r="I48" s="2" t="str">
        <f>'Overall Rankings'!BS49</f>
        <v>Russia</v>
      </c>
      <c r="J48" s="2" t="s">
        <v>47</v>
      </c>
      <c r="K48" s="7">
        <v>10.789285714285715</v>
      </c>
      <c r="L48" s="2" t="s">
        <v>48</v>
      </c>
      <c r="M48" s="16" t="s">
        <v>249</v>
      </c>
      <c r="N48" s="2" t="str">
        <f>J105</f>
        <v>KR</v>
      </c>
      <c r="O48" s="2" t="str">
        <f>J106</f>
        <v>Víkingur Reykjavík</v>
      </c>
      <c r="P48" s="2" t="str">
        <f>J107</f>
        <v>Breiðablik</v>
      </c>
      <c r="Q48" s="2" t="str">
        <f>J108</f>
        <v>FH</v>
      </c>
      <c r="U48" s="23">
        <f>COUNTA(N48:T48)</f>
        <v>4</v>
      </c>
      <c r="V48" s="24">
        <f>SUM(N49:T49)</f>
        <v>3.5074999999999998</v>
      </c>
      <c r="W48" s="2" t="str">
        <f>M94</f>
        <v>Serbia</v>
      </c>
      <c r="X48" s="2">
        <f t="shared" ref="X48:Y48" si="50">U94</f>
        <v>4</v>
      </c>
      <c r="Y48" s="7">
        <f t="shared" si="50"/>
        <v>15.164791666666666</v>
      </c>
      <c r="Z48" s="2">
        <f t="shared" si="3"/>
        <v>3.7911979166666665</v>
      </c>
    </row>
    <row r="49" spans="1:26" ht="12.3" x14ac:dyDescent="0.4">
      <c r="A49" s="2">
        <f t="shared" si="4"/>
        <v>48</v>
      </c>
      <c r="B49" s="2" t="s">
        <v>150</v>
      </c>
      <c r="C49" s="2">
        <v>4</v>
      </c>
      <c r="D49" s="7">
        <v>5.2728124999999997</v>
      </c>
      <c r="E49" s="7">
        <v>1.3182031249999999</v>
      </c>
      <c r="F49" s="14"/>
      <c r="G49" s="2" t="str">
        <f>'Overall Rankings'!BM50</f>
        <v>PSV Eindhoven</v>
      </c>
      <c r="H49" s="7">
        <f>'Overall Rankings'!BN50</f>
        <v>7.4055</v>
      </c>
      <c r="I49" s="2" t="str">
        <f>'Overall Rankings'!BS50</f>
        <v>Netherlands</v>
      </c>
      <c r="J49" s="2" t="s">
        <v>107</v>
      </c>
      <c r="K49" s="7">
        <v>5.431111111111111</v>
      </c>
      <c r="L49" s="2" t="s">
        <v>48</v>
      </c>
      <c r="M49" s="3" t="s">
        <v>322</v>
      </c>
      <c r="N49" s="7">
        <f>K105</f>
        <v>1.1324999999999998</v>
      </c>
      <c r="O49" s="7">
        <f>K106</f>
        <v>0.84499999999999997</v>
      </c>
      <c r="P49" s="7">
        <f>K107</f>
        <v>0.8</v>
      </c>
      <c r="Q49" s="7">
        <f>K108</f>
        <v>0.73</v>
      </c>
      <c r="U49" s="22"/>
      <c r="V49" s="25"/>
      <c r="W49" s="2" t="str">
        <f>M96</f>
        <v>Slovakia</v>
      </c>
      <c r="X49" s="2">
        <f t="shared" ref="X49:Y49" si="51">U96</f>
        <v>4</v>
      </c>
      <c r="Y49" s="7">
        <f t="shared" si="51"/>
        <v>5.625</v>
      </c>
      <c r="Z49" s="2">
        <f t="shared" si="3"/>
        <v>1.40625</v>
      </c>
    </row>
    <row r="50" spans="1:26" ht="12.3" x14ac:dyDescent="0.4">
      <c r="A50" s="2">
        <f t="shared" si="4"/>
        <v>49</v>
      </c>
      <c r="B50" s="2" t="s">
        <v>212</v>
      </c>
      <c r="C50" s="2">
        <v>4</v>
      </c>
      <c r="D50" s="7">
        <v>5.2587500000000009</v>
      </c>
      <c r="E50" s="7">
        <v>1.3146875000000002</v>
      </c>
      <c r="F50" s="14"/>
      <c r="G50" s="2" t="str">
        <f>'Overall Rankings'!BM51</f>
        <v>Leicester City</v>
      </c>
      <c r="H50" s="7">
        <f>'Overall Rankings'!BN51</f>
        <v>7.2960937499999998</v>
      </c>
      <c r="I50" s="2" t="str">
        <f>'Overall Rankings'!BS51</f>
        <v>England</v>
      </c>
      <c r="J50" s="2" t="s">
        <v>117</v>
      </c>
      <c r="K50" s="7">
        <v>4.9133333333333331</v>
      </c>
      <c r="L50" s="2" t="s">
        <v>48</v>
      </c>
      <c r="M50" s="16" t="s">
        <v>68</v>
      </c>
      <c r="N50" s="2" t="str">
        <f>J109</f>
        <v>Maccabi Tel Aviv</v>
      </c>
      <c r="O50" s="2" t="str">
        <f>J110</f>
        <v>Hapoel Be'er Sheva</v>
      </c>
      <c r="P50" s="2" t="str">
        <f>J111</f>
        <v>Maccabi Haifa</v>
      </c>
      <c r="Q50" s="2" t="str">
        <f>J112</f>
        <v>Beitar Jerusalem</v>
      </c>
      <c r="U50" s="23">
        <f>COUNTA(N50:T50)</f>
        <v>4</v>
      </c>
      <c r="V50" s="24">
        <f>SUM(N51:T51)</f>
        <v>18.886639423076922</v>
      </c>
      <c r="W50" s="2" t="str">
        <f>M98</f>
        <v>Slovenia</v>
      </c>
      <c r="X50" s="2">
        <f t="shared" ref="X50:Y50" si="52">U98</f>
        <v>4</v>
      </c>
      <c r="Y50" s="7">
        <f t="shared" si="52"/>
        <v>9.0343749999999989</v>
      </c>
      <c r="Z50" s="2">
        <f t="shared" si="3"/>
        <v>2.2585937499999997</v>
      </c>
    </row>
    <row r="51" spans="1:26" ht="12.3" x14ac:dyDescent="0.4">
      <c r="A51" s="2">
        <f t="shared" si="4"/>
        <v>50</v>
      </c>
      <c r="B51" s="2" t="s">
        <v>210</v>
      </c>
      <c r="C51" s="2">
        <v>3</v>
      </c>
      <c r="D51" s="7">
        <v>3.9258333333333328</v>
      </c>
      <c r="E51" s="7">
        <v>1.3086111111111109</v>
      </c>
      <c r="F51" s="14"/>
      <c r="G51" s="2" t="str">
        <f>'Overall Rankings'!BM52</f>
        <v>Bayer Leverkusen</v>
      </c>
      <c r="H51" s="7">
        <f>'Overall Rankings'!BN52</f>
        <v>7.2896874999999994</v>
      </c>
      <c r="I51" s="2" t="str">
        <f>'Overall Rankings'!BS52</f>
        <v>Germany</v>
      </c>
      <c r="J51" s="2" t="s">
        <v>137</v>
      </c>
      <c r="K51" s="7">
        <v>4.0008333333333326</v>
      </c>
      <c r="L51" s="2" t="s">
        <v>48</v>
      </c>
      <c r="M51" s="3" t="s">
        <v>322</v>
      </c>
      <c r="N51" s="7">
        <f>K109</f>
        <v>8.5380769230769218</v>
      </c>
      <c r="O51" s="7">
        <f>K110</f>
        <v>5.4738749999999996</v>
      </c>
      <c r="P51" s="7">
        <f>K111</f>
        <v>4.2046874999999995</v>
      </c>
      <c r="Q51" s="7">
        <f>K112</f>
        <v>0.66999999999999993</v>
      </c>
      <c r="U51" s="22"/>
      <c r="V51" s="25"/>
      <c r="W51" s="2" t="str">
        <f>M100</f>
        <v>Spain</v>
      </c>
      <c r="X51" s="2">
        <f t="shared" ref="X51:Y51" si="53">U100</f>
        <v>7</v>
      </c>
      <c r="Y51" s="7">
        <f t="shared" si="53"/>
        <v>80.890583333333325</v>
      </c>
      <c r="Z51" s="2">
        <f t="shared" si="3"/>
        <v>11.555797619047619</v>
      </c>
    </row>
    <row r="52" spans="1:26" ht="12.3" x14ac:dyDescent="0.4">
      <c r="A52" s="2">
        <f t="shared" si="4"/>
        <v>51</v>
      </c>
      <c r="B52" s="2" t="s">
        <v>225</v>
      </c>
      <c r="C52" s="2">
        <v>4</v>
      </c>
      <c r="D52" s="7">
        <v>4.4250000000000007</v>
      </c>
      <c r="E52" s="7">
        <v>1.1062500000000002</v>
      </c>
      <c r="F52" s="14"/>
      <c r="G52" s="2" t="str">
        <f>'Overall Rankings'!BM53</f>
        <v>Napoli</v>
      </c>
      <c r="H52" s="7">
        <f>'Overall Rankings'!BN53</f>
        <v>7.2570312499999998</v>
      </c>
      <c r="I52" s="2" t="str">
        <f>'Overall Rankings'!BS53</f>
        <v>Italy</v>
      </c>
      <c r="J52" s="2" t="s">
        <v>255</v>
      </c>
      <c r="K52" s="7">
        <v>1.0299999999999998</v>
      </c>
      <c r="L52" s="2" t="s">
        <v>48</v>
      </c>
      <c r="M52" s="16" t="s">
        <v>33</v>
      </c>
      <c r="N52" s="2" t="str">
        <f>J113</f>
        <v>Juventus</v>
      </c>
      <c r="O52" s="2" t="str">
        <f>J114</f>
        <v>Atalanta</v>
      </c>
      <c r="P52" s="2" t="str">
        <f>J115</f>
        <v>Lazio</v>
      </c>
      <c r="Q52" s="2" t="str">
        <f>J116</f>
        <v>Roma</v>
      </c>
      <c r="R52" s="2" t="str">
        <f>J117</f>
        <v>Inter Milan</v>
      </c>
      <c r="S52" s="2" t="str">
        <f>J118</f>
        <v>Milan</v>
      </c>
      <c r="T52" s="2" t="str">
        <f>J119</f>
        <v>Napoli</v>
      </c>
      <c r="U52" s="23">
        <f>COUNTA(N52:T52)</f>
        <v>7</v>
      </c>
      <c r="V52" s="24">
        <f>SUM(N53:T53)</f>
        <v>70.501795444139191</v>
      </c>
      <c r="W52" s="2" t="str">
        <f>M102</f>
        <v>Sweden</v>
      </c>
      <c r="X52" s="2">
        <f t="shared" ref="X52:Y52" si="54">U102</f>
        <v>4</v>
      </c>
      <c r="Y52" s="7">
        <f t="shared" si="54"/>
        <v>10.275624999999998</v>
      </c>
      <c r="Z52" s="2">
        <f t="shared" si="3"/>
        <v>2.5689062499999995</v>
      </c>
    </row>
    <row r="53" spans="1:26" ht="12.3" x14ac:dyDescent="0.4">
      <c r="A53" s="2">
        <f t="shared" si="4"/>
        <v>52</v>
      </c>
      <c r="B53" s="2" t="s">
        <v>249</v>
      </c>
      <c r="C53" s="2">
        <v>4</v>
      </c>
      <c r="D53" s="7">
        <v>3.5074999999999998</v>
      </c>
      <c r="E53" s="7">
        <v>0.87687499999999996</v>
      </c>
      <c r="F53" s="14"/>
      <c r="G53" s="2" t="str">
        <f>'Overall Rankings'!BM54</f>
        <v>Braga</v>
      </c>
      <c r="H53" s="7">
        <f>'Overall Rankings'!BN54</f>
        <v>7.0973437500000003</v>
      </c>
      <c r="I53" s="2" t="str">
        <f>'Overall Rankings'!BS54</f>
        <v>Portugal</v>
      </c>
      <c r="J53" s="2" t="s">
        <v>69</v>
      </c>
      <c r="K53" s="7">
        <v>8.459249999999999</v>
      </c>
      <c r="L53" s="2" t="s">
        <v>70</v>
      </c>
      <c r="M53" s="3" t="s">
        <v>322</v>
      </c>
      <c r="N53" s="7">
        <f>K113</f>
        <v>12.489531249999999</v>
      </c>
      <c r="O53" s="7">
        <f>K114</f>
        <v>11.729531249999999</v>
      </c>
      <c r="P53" s="7">
        <f>K115</f>
        <v>11.714062499999999</v>
      </c>
      <c r="Q53" s="7">
        <f>K116</f>
        <v>10.690982142857143</v>
      </c>
      <c r="R53" s="7">
        <f>K117</f>
        <v>8.4235416666666669</v>
      </c>
      <c r="S53" s="7">
        <f>K118</f>
        <v>8.1971153846153832</v>
      </c>
      <c r="T53" s="7">
        <f>K119</f>
        <v>7.2570312499999998</v>
      </c>
      <c r="U53" s="22"/>
      <c r="V53" s="25"/>
      <c r="W53" s="2" t="str">
        <f>M104</f>
        <v>Switzerland</v>
      </c>
      <c r="X53" s="2">
        <f t="shared" ref="X53:Y53" si="55">U104</f>
        <v>4</v>
      </c>
      <c r="Y53" s="7">
        <f t="shared" si="55"/>
        <v>17.27184294871795</v>
      </c>
      <c r="Z53" s="2">
        <f t="shared" si="3"/>
        <v>4.3179607371794875</v>
      </c>
    </row>
    <row r="54" spans="1:26" ht="12.3" x14ac:dyDescent="0.4">
      <c r="A54" s="2">
        <f t="shared" si="4"/>
        <v>53</v>
      </c>
      <c r="B54" s="2" t="s">
        <v>247</v>
      </c>
      <c r="C54" s="2">
        <v>3</v>
      </c>
      <c r="D54" s="7">
        <v>2.1949999999999998</v>
      </c>
      <c r="E54" s="7">
        <v>0.73166666666666658</v>
      </c>
      <c r="F54" s="14"/>
      <c r="G54" s="2" t="str">
        <f>'Overall Rankings'!BM55</f>
        <v>PAOK</v>
      </c>
      <c r="H54" s="7">
        <f>'Overall Rankings'!BN55</f>
        <v>7.0677499999999993</v>
      </c>
      <c r="I54" s="2" t="str">
        <f>'Overall Rankings'!BS55</f>
        <v>Greece</v>
      </c>
      <c r="J54" s="2" t="s">
        <v>132</v>
      </c>
      <c r="K54" s="7">
        <v>4.1412500000000003</v>
      </c>
      <c r="L54" s="2" t="s">
        <v>70</v>
      </c>
      <c r="M54" s="16" t="s">
        <v>212</v>
      </c>
      <c r="N54" s="2" t="str">
        <f>J120</f>
        <v>Kairat</v>
      </c>
      <c r="O54" s="2" t="str">
        <f>J121</f>
        <v>Astana</v>
      </c>
      <c r="P54" s="2" t="str">
        <f>J122</f>
        <v>Kaisar</v>
      </c>
      <c r="Q54" s="2" t="str">
        <f>J123</f>
        <v>Ordabasy</v>
      </c>
      <c r="U54" s="23">
        <f>COUNTA(N54:T54)</f>
        <v>4</v>
      </c>
      <c r="V54" s="24">
        <f>SUM(N55:T55)</f>
        <v>5.2587500000000009</v>
      </c>
      <c r="W54" s="2" t="str">
        <f>M106</f>
        <v>Turkey</v>
      </c>
      <c r="X54" s="2">
        <f t="shared" ref="X54:Y54" si="56">U106</f>
        <v>5</v>
      </c>
      <c r="Y54" s="7">
        <f t="shared" si="56"/>
        <v>20.862083333333331</v>
      </c>
      <c r="Z54" s="2">
        <f t="shared" si="3"/>
        <v>4.172416666666666</v>
      </c>
    </row>
    <row r="55" spans="1:26" ht="12.3" x14ac:dyDescent="0.4">
      <c r="A55" s="2">
        <f t="shared" si="4"/>
        <v>54</v>
      </c>
      <c r="B55" s="2" t="s">
        <v>253</v>
      </c>
      <c r="C55" s="2">
        <v>3</v>
      </c>
      <c r="D55" s="7">
        <v>1.9474999999999998</v>
      </c>
      <c r="E55" s="7">
        <v>0.64916666666666656</v>
      </c>
      <c r="F55" s="14"/>
      <c r="G55" s="2" t="str">
        <f>'Overall Rankings'!BM56</f>
        <v>Lille</v>
      </c>
      <c r="H55" s="7">
        <f>'Overall Rankings'!BN56</f>
        <v>6.9012499999999992</v>
      </c>
      <c r="I55" s="2" t="str">
        <f>'Overall Rankings'!BS56</f>
        <v>France</v>
      </c>
      <c r="J55" s="2" t="s">
        <v>214</v>
      </c>
      <c r="K55" s="7">
        <v>2.038125</v>
      </c>
      <c r="L55" s="2" t="s">
        <v>70</v>
      </c>
      <c r="M55" s="3" t="s">
        <v>322</v>
      </c>
      <c r="N55" s="7">
        <f>K120</f>
        <v>2.0787500000000003</v>
      </c>
      <c r="O55" s="7">
        <f>K121</f>
        <v>1.2999999999999998</v>
      </c>
      <c r="P55" s="7">
        <f>K122</f>
        <v>1.0249999999999999</v>
      </c>
      <c r="Q55" s="7">
        <f>K123</f>
        <v>0.85499999999999998</v>
      </c>
      <c r="U55" s="22"/>
      <c r="V55" s="25"/>
      <c r="W55" s="2" t="str">
        <f>M108</f>
        <v>Ukraine</v>
      </c>
      <c r="X55" s="2">
        <f t="shared" ref="X55:Y55" si="57">U108</f>
        <v>5</v>
      </c>
      <c r="Y55" s="7">
        <f t="shared" si="57"/>
        <v>31.86236538461538</v>
      </c>
      <c r="Z55" s="2">
        <f t="shared" si="3"/>
        <v>6.3724730769230762</v>
      </c>
    </row>
    <row r="56" spans="1:26" ht="12.3" x14ac:dyDescent="0.4">
      <c r="A56" s="2">
        <f t="shared" si="4"/>
        <v>55</v>
      </c>
      <c r="B56" s="2" t="s">
        <v>297</v>
      </c>
      <c r="C56" s="2">
        <v>1</v>
      </c>
      <c r="D56" s="7">
        <v>0.58000000000000007</v>
      </c>
      <c r="E56" s="7">
        <v>0.58000000000000007</v>
      </c>
      <c r="F56" s="14"/>
      <c r="G56" s="2" t="str">
        <f>'Overall Rankings'!BM57</f>
        <v>Antwerp</v>
      </c>
      <c r="H56" s="7">
        <f>'Overall Rankings'!BN57</f>
        <v>6.7954687499999995</v>
      </c>
      <c r="I56" s="2" t="str">
        <f>'Overall Rankings'!BS57</f>
        <v>Belgium</v>
      </c>
      <c r="J56" s="2" t="s">
        <v>230</v>
      </c>
      <c r="K56" s="7">
        <v>1.5350000000000001</v>
      </c>
      <c r="L56" s="2" t="s">
        <v>70</v>
      </c>
      <c r="M56" s="16" t="s">
        <v>181</v>
      </c>
      <c r="N56" s="2" t="str">
        <f>J124</f>
        <v>Drita</v>
      </c>
      <c r="O56" s="2" t="str">
        <f>J125</f>
        <v>Gjilani</v>
      </c>
      <c r="P56" s="2" t="str">
        <f>J126</f>
        <v>Prishtina</v>
      </c>
      <c r="U56" s="23">
        <f>COUNTA(N56:T56)</f>
        <v>3</v>
      </c>
      <c r="V56" s="24">
        <f>SUM(N57:T57)</f>
        <v>4.25</v>
      </c>
      <c r="W56" s="2" t="str">
        <f>M110</f>
        <v>Wales</v>
      </c>
      <c r="X56" s="2">
        <f t="shared" ref="X56:Y56" si="58">U110</f>
        <v>4</v>
      </c>
      <c r="Y56" s="7">
        <f t="shared" si="58"/>
        <v>5.7474999999999996</v>
      </c>
      <c r="Z56" s="2">
        <f t="shared" si="3"/>
        <v>1.4368749999999999</v>
      </c>
    </row>
    <row r="57" spans="1:26" ht="12.3" x14ac:dyDescent="0.4">
      <c r="B57" s="2"/>
      <c r="C57" s="2"/>
      <c r="D57" s="2"/>
      <c r="E57" s="7"/>
      <c r="F57" s="14"/>
      <c r="G57" s="2" t="str">
        <f>'Overall Rankings'!BM58</f>
        <v>Omonia</v>
      </c>
      <c r="H57" s="7">
        <f>'Overall Rankings'!BN58</f>
        <v>6.7771590909090911</v>
      </c>
      <c r="I57" s="2" t="str">
        <f>'Overall Rankings'!BS58</f>
        <v>Cyprus</v>
      </c>
      <c r="J57" s="2" t="s">
        <v>323</v>
      </c>
      <c r="K57" s="7">
        <v>20.614903846153847</v>
      </c>
      <c r="L57" s="2" t="s">
        <v>16</v>
      </c>
      <c r="M57" s="3" t="s">
        <v>322</v>
      </c>
      <c r="N57" s="7">
        <f>K124</f>
        <v>2.5162499999999999</v>
      </c>
      <c r="O57" s="7">
        <f>K125</f>
        <v>1.4887499999999998</v>
      </c>
      <c r="P57" s="7">
        <f>K126</f>
        <v>0.24499999999999997</v>
      </c>
      <c r="U57" s="22"/>
      <c r="V57" s="25"/>
    </row>
    <row r="58" spans="1:26" ht="12.3" x14ac:dyDescent="0.4">
      <c r="B58" s="2"/>
      <c r="C58" s="2"/>
      <c r="D58" s="2"/>
      <c r="E58" s="7"/>
      <c r="F58" s="14"/>
      <c r="G58" s="2" t="str">
        <f>'Overall Rankings'!BM59</f>
        <v>Real Sociedad</v>
      </c>
      <c r="H58" s="7">
        <f>'Overall Rankings'!BN59</f>
        <v>6.7284375000000001</v>
      </c>
      <c r="I58" s="2" t="str">
        <f>'Overall Rankings'!BS59</f>
        <v>Spain</v>
      </c>
      <c r="J58" s="2" t="s">
        <v>17</v>
      </c>
      <c r="K58" s="7">
        <v>19.128557692307691</v>
      </c>
      <c r="L58" s="2" t="s">
        <v>16</v>
      </c>
      <c r="M58" s="16" t="s">
        <v>189</v>
      </c>
      <c r="N58" s="2" t="str">
        <f>J127</f>
        <v>Riga</v>
      </c>
      <c r="O58" s="2" t="str">
        <f>J128</f>
        <v>Ventspils</v>
      </c>
      <c r="P58" s="2" t="str">
        <f>J129</f>
        <v>RFS</v>
      </c>
      <c r="Q58" s="2" t="str">
        <f>J130</f>
        <v>Valmiera</v>
      </c>
      <c r="U58" s="23">
        <f>COUNTA(N58:T58)</f>
        <v>4</v>
      </c>
      <c r="V58" s="24">
        <f>SUM(N59:T59)</f>
        <v>5.9974999999999996</v>
      </c>
    </row>
    <row r="59" spans="1:26" ht="12.3" x14ac:dyDescent="0.4">
      <c r="B59" s="2"/>
      <c r="C59" s="2"/>
      <c r="D59" s="2"/>
      <c r="E59" s="7"/>
      <c r="F59" s="14"/>
      <c r="G59" s="2" t="str">
        <f>'Overall Rankings'!BM60</f>
        <v>Wolfsberger AC</v>
      </c>
      <c r="H59" s="7">
        <f>'Overall Rankings'!BN60</f>
        <v>6.6942187499999992</v>
      </c>
      <c r="I59" s="2" t="str">
        <f>'Overall Rankings'!BS60</f>
        <v>Austria</v>
      </c>
      <c r="J59" s="2" t="s">
        <v>24</v>
      </c>
      <c r="K59" s="7">
        <v>14.803916666666666</v>
      </c>
      <c r="L59" s="2" t="s">
        <v>16</v>
      </c>
      <c r="M59" s="3" t="s">
        <v>322</v>
      </c>
      <c r="N59" s="7">
        <f>K127</f>
        <v>2.3537499999999998</v>
      </c>
      <c r="O59" s="7">
        <f>K128</f>
        <v>2.0037499999999997</v>
      </c>
      <c r="P59" s="7">
        <f>K129</f>
        <v>0.97500000000000009</v>
      </c>
      <c r="Q59" s="7">
        <f>K130</f>
        <v>0.66500000000000004</v>
      </c>
      <c r="U59" s="22"/>
      <c r="V59" s="25"/>
    </row>
    <row r="60" spans="1:26" ht="12.3" x14ac:dyDescent="0.4">
      <c r="B60" s="2"/>
      <c r="C60" s="2"/>
      <c r="D60" s="2"/>
      <c r="E60" s="7"/>
      <c r="F60" s="14"/>
      <c r="G60" s="2" t="str">
        <f>'Overall Rankings'!BM61</f>
        <v>AZ</v>
      </c>
      <c r="H60" s="7">
        <f>'Overall Rankings'!BN61</f>
        <v>6.4646875000000001</v>
      </c>
      <c r="I60" s="2" t="str">
        <f>'Overall Rankings'!BS61</f>
        <v>Netherlands</v>
      </c>
      <c r="J60" s="2" t="s">
        <v>25</v>
      </c>
      <c r="K60" s="7">
        <v>14.439624999999999</v>
      </c>
      <c r="L60" s="2" t="s">
        <v>16</v>
      </c>
      <c r="M60" s="16" t="s">
        <v>297</v>
      </c>
      <c r="N60" s="2" t="str">
        <f>J131</f>
        <v>Vaduz</v>
      </c>
      <c r="U60" s="23">
        <f>COUNTA(N60:T60)</f>
        <v>1</v>
      </c>
      <c r="V60" s="24">
        <f>SUM(N61:T61)</f>
        <v>0.58000000000000007</v>
      </c>
    </row>
    <row r="61" spans="1:26" ht="12.3" x14ac:dyDescent="0.4">
      <c r="B61" s="2"/>
      <c r="C61" s="2"/>
      <c r="D61" s="2"/>
      <c r="E61" s="7"/>
      <c r="F61" s="14"/>
      <c r="G61" s="2" t="str">
        <f>'Overall Rankings'!BM62</f>
        <v>Gent</v>
      </c>
      <c r="H61" s="7">
        <f>'Overall Rankings'!BN62</f>
        <v>6.0570833333333329</v>
      </c>
      <c r="I61" s="2" t="str">
        <f>'Overall Rankings'!BS62</f>
        <v>Belgium</v>
      </c>
      <c r="J61" s="2" t="s">
        <v>50</v>
      </c>
      <c r="K61" s="7">
        <v>10.512232142857144</v>
      </c>
      <c r="L61" s="2" t="s">
        <v>16</v>
      </c>
      <c r="M61" s="3" t="s">
        <v>322</v>
      </c>
      <c r="N61" s="7">
        <f>K131</f>
        <v>0.58000000000000007</v>
      </c>
      <c r="U61" s="22"/>
      <c r="V61" s="25"/>
    </row>
    <row r="62" spans="1:26" ht="12.3" x14ac:dyDescent="0.4">
      <c r="B62" s="2"/>
      <c r="C62" s="2"/>
      <c r="D62" s="2"/>
      <c r="E62" s="7"/>
      <c r="F62" s="14"/>
      <c r="G62" s="2" t="str">
        <f>'Overall Rankings'!BM63</f>
        <v>Rapid Wien</v>
      </c>
      <c r="H62" s="7">
        <f>'Overall Rankings'!BN63</f>
        <v>5.9839062499999995</v>
      </c>
      <c r="I62" s="2" t="str">
        <f>'Overall Rankings'!BS63</f>
        <v>Austria</v>
      </c>
      <c r="J62" s="2" t="s">
        <v>64</v>
      </c>
      <c r="K62" s="7">
        <v>8.6402884615384608</v>
      </c>
      <c r="L62" s="2" t="s">
        <v>16</v>
      </c>
      <c r="M62" s="16" t="s">
        <v>179</v>
      </c>
      <c r="N62" s="2" t="str">
        <f>J132</f>
        <v>Sūduva</v>
      </c>
      <c r="O62" s="2" t="str">
        <f>J133</f>
        <v>Riteriai</v>
      </c>
      <c r="P62" s="2" t="str">
        <f>J134</f>
        <v>Žalgiris</v>
      </c>
      <c r="Q62" s="2" t="str">
        <f>J135</f>
        <v>Kauno Žalgiris</v>
      </c>
      <c r="U62" s="23">
        <f>COUNTA(N62:T62)</f>
        <v>4</v>
      </c>
      <c r="V62" s="24">
        <f>SUM(N63:T63)</f>
        <v>6.8979166666666663</v>
      </c>
    </row>
    <row r="63" spans="1:26" ht="12.3" x14ac:dyDescent="0.4">
      <c r="B63" s="2"/>
      <c r="C63" s="2"/>
      <c r="D63" s="2"/>
      <c r="E63" s="7"/>
      <c r="F63" s="14"/>
      <c r="G63" s="2" t="str">
        <f>'Overall Rankings'!BM64</f>
        <v>LASK</v>
      </c>
      <c r="H63" s="7">
        <f>'Overall Rankings'!BN64</f>
        <v>5.8010937499999997</v>
      </c>
      <c r="I63" s="2" t="str">
        <f>'Overall Rankings'!BS64</f>
        <v>Austria</v>
      </c>
      <c r="J63" s="2" t="s">
        <v>86</v>
      </c>
      <c r="K63" s="7">
        <v>7.2960937499999998</v>
      </c>
      <c r="L63" s="2" t="s">
        <v>16</v>
      </c>
      <c r="M63" s="3" t="s">
        <v>322</v>
      </c>
      <c r="N63" s="7">
        <f>K132</f>
        <v>2.5216666666666665</v>
      </c>
      <c r="O63" s="7">
        <f>K133</f>
        <v>2.0024999999999999</v>
      </c>
      <c r="P63" s="7">
        <f>K134</f>
        <v>1.9387500000000002</v>
      </c>
      <c r="Q63" s="7">
        <f>K135</f>
        <v>0.435</v>
      </c>
      <c r="U63" s="22"/>
      <c r="V63" s="25"/>
    </row>
    <row r="64" spans="1:26" ht="12.3" x14ac:dyDescent="0.4">
      <c r="B64" s="2"/>
      <c r="C64" s="2"/>
      <c r="D64" s="2"/>
      <c r="E64" s="7"/>
      <c r="F64" s="14"/>
      <c r="G64" s="2" t="str">
        <f>'Overall Rankings'!BM65</f>
        <v>Qarabağ</v>
      </c>
      <c r="H64" s="7">
        <f>'Overall Rankings'!BN65</f>
        <v>5.786249999999999</v>
      </c>
      <c r="I64" s="2" t="str">
        <f>'Overall Rankings'!BS65</f>
        <v>Azerbaijan</v>
      </c>
      <c r="J64" s="2" t="s">
        <v>149</v>
      </c>
      <c r="K64" s="7">
        <v>3.5078125</v>
      </c>
      <c r="L64" s="2" t="s">
        <v>150</v>
      </c>
      <c r="M64" s="16" t="s">
        <v>225</v>
      </c>
      <c r="N64" s="2" t="str">
        <f>J136</f>
        <v>Progrès Niederkorn</v>
      </c>
      <c r="O64" s="2" t="str">
        <f>J137</f>
        <v>Fola Esch</v>
      </c>
      <c r="P64" s="2" t="str">
        <f>J138</f>
        <v>Differdange 03</v>
      </c>
      <c r="Q64" s="2" t="str">
        <f>J139</f>
        <v>Union Titus Pétange</v>
      </c>
      <c r="U64" s="23">
        <f>COUNTA(N64:T64)</f>
        <v>4</v>
      </c>
      <c r="V64" s="24">
        <f>SUM(N65:T65)</f>
        <v>4.4250000000000007</v>
      </c>
    </row>
    <row r="65" spans="2:22" ht="12.3" x14ac:dyDescent="0.4">
      <c r="B65" s="2"/>
      <c r="C65" s="2"/>
      <c r="D65" s="2"/>
      <c r="E65" s="7"/>
      <c r="F65" s="14"/>
      <c r="G65" s="2" t="str">
        <f>'Overall Rankings'!BM66</f>
        <v>CFR Cluj</v>
      </c>
      <c r="H65" s="7">
        <f>'Overall Rankings'!BN66</f>
        <v>5.5827500000000008</v>
      </c>
      <c r="I65" s="2" t="str">
        <f>'Overall Rankings'!BS66</f>
        <v>Romania</v>
      </c>
      <c r="J65" s="2" t="s">
        <v>289</v>
      </c>
      <c r="K65" s="7">
        <v>0.66500000000000004</v>
      </c>
      <c r="L65" s="2" t="s">
        <v>150</v>
      </c>
      <c r="M65" s="3" t="s">
        <v>322</v>
      </c>
      <c r="N65" s="7">
        <f>K136</f>
        <v>1.7625000000000002</v>
      </c>
      <c r="O65" s="7">
        <f>K137</f>
        <v>1.3174999999999999</v>
      </c>
      <c r="P65" s="7">
        <f>K138</f>
        <v>0.82499999999999996</v>
      </c>
      <c r="Q65" s="7">
        <f>K139</f>
        <v>0.52</v>
      </c>
      <c r="U65" s="22"/>
      <c r="V65" s="25"/>
    </row>
    <row r="66" spans="2:22" ht="12.3" x14ac:dyDescent="0.4">
      <c r="B66" s="2"/>
      <c r="C66" s="2"/>
      <c r="D66" s="2"/>
      <c r="E66" s="7"/>
      <c r="F66" s="14"/>
      <c r="G66" s="2" t="str">
        <f>'Overall Rankings'!BM67</f>
        <v>Celtic</v>
      </c>
      <c r="H66" s="7">
        <f>'Overall Rankings'!BN67</f>
        <v>5.5215000000000005</v>
      </c>
      <c r="I66" s="2" t="str">
        <f>'Overall Rankings'!BS67</f>
        <v>Scotland</v>
      </c>
      <c r="J66" s="2" t="s">
        <v>293</v>
      </c>
      <c r="K66" s="7">
        <v>0.62999999999999989</v>
      </c>
      <c r="L66" s="2" t="s">
        <v>150</v>
      </c>
      <c r="M66" s="16" t="s">
        <v>191</v>
      </c>
      <c r="N66" s="2" t="str">
        <f>J140</f>
        <v>Floriana</v>
      </c>
      <c r="O66" s="2" t="str">
        <f>J141</f>
        <v>Hibernians</v>
      </c>
      <c r="P66" s="2" t="str">
        <f>J142</f>
        <v>Sirens</v>
      </c>
      <c r="Q66" s="2" t="str">
        <f>J143</f>
        <v>Valletta</v>
      </c>
      <c r="U66" s="23">
        <f>COUNTA(N66:T66)</f>
        <v>4</v>
      </c>
      <c r="V66" s="24">
        <f>SUM(N67:T67)</f>
        <v>6.003333333333333</v>
      </c>
    </row>
    <row r="67" spans="2:22" ht="12.3" x14ac:dyDescent="0.4">
      <c r="B67" s="2"/>
      <c r="C67" s="2"/>
      <c r="D67" s="2"/>
      <c r="E67" s="7"/>
      <c r="F67" s="14"/>
      <c r="G67" s="2" t="str">
        <f>'Overall Rankings'!BM68</f>
        <v>Hapoel Be'er Sheva</v>
      </c>
      <c r="H67" s="7">
        <f>'Overall Rankings'!BN68</f>
        <v>5.4738749999999996</v>
      </c>
      <c r="I67" s="2" t="str">
        <f>'Overall Rankings'!BS68</f>
        <v>Israel</v>
      </c>
      <c r="J67" s="2" t="s">
        <v>303</v>
      </c>
      <c r="K67" s="7">
        <v>0.46999999999999992</v>
      </c>
      <c r="L67" s="2" t="s">
        <v>150</v>
      </c>
      <c r="M67" s="3" t="s">
        <v>322</v>
      </c>
      <c r="N67" s="7">
        <f>K140</f>
        <v>2.3433333333333333</v>
      </c>
      <c r="O67" s="7">
        <f>K141</f>
        <v>2.1</v>
      </c>
      <c r="P67" s="7">
        <f>K142</f>
        <v>0.88500000000000001</v>
      </c>
      <c r="Q67" s="7">
        <f>K143</f>
        <v>0.67500000000000004</v>
      </c>
      <c r="U67" s="22"/>
      <c r="V67" s="25"/>
    </row>
    <row r="68" spans="2:22" ht="12.3" x14ac:dyDescent="0.4">
      <c r="B68" s="2"/>
      <c r="C68" s="2"/>
      <c r="D68" s="2"/>
      <c r="E68" s="7"/>
      <c r="F68" s="14"/>
      <c r="G68" s="2" t="str">
        <f>'Overall Rankings'!BM69</f>
        <v>Slovan Liberec</v>
      </c>
      <c r="H68" s="7">
        <f>'Overall Rankings'!BN69</f>
        <v>5.431111111111111</v>
      </c>
      <c r="I68" s="2" t="str">
        <f>'Overall Rankings'!BS69</f>
        <v>Czech Republic</v>
      </c>
      <c r="J68" s="2" t="s">
        <v>134</v>
      </c>
      <c r="K68" s="7">
        <v>4.1059374999999996</v>
      </c>
      <c r="L68" s="2" t="s">
        <v>135</v>
      </c>
      <c r="M68" s="16" t="s">
        <v>173</v>
      </c>
      <c r="N68" s="2" t="str">
        <f>J144</f>
        <v>Sheriff Tiraspol</v>
      </c>
      <c r="O68" s="2" t="str">
        <f>J145</f>
        <v>Sfîntul Gheorghe</v>
      </c>
      <c r="P68" s="2" t="str">
        <f>J146</f>
        <v>Petrocub Hîncești</v>
      </c>
      <c r="Q68" s="2" t="str">
        <f>J147</f>
        <v>Dinamo-Auto</v>
      </c>
      <c r="U68" s="23">
        <f>COUNTA(N68:T68)</f>
        <v>4</v>
      </c>
      <c r="V68" s="24">
        <f>SUM(N69:T69)</f>
        <v>6.722500000000001</v>
      </c>
    </row>
    <row r="69" spans="2:22" ht="12.3" x14ac:dyDescent="0.4">
      <c r="B69" s="2"/>
      <c r="C69" s="2"/>
      <c r="D69" s="2"/>
      <c r="E69" s="7"/>
      <c r="F69" s="14"/>
      <c r="G69" s="2" t="str">
        <f>'Overall Rankings'!BM70</f>
        <v>Lech Poznań</v>
      </c>
      <c r="H69" s="7">
        <f>'Overall Rankings'!BN70</f>
        <v>5.2887500000000003</v>
      </c>
      <c r="I69" s="2" t="str">
        <f>'Overall Rankings'!BS70</f>
        <v>Poland</v>
      </c>
      <c r="J69" s="2" t="s">
        <v>176</v>
      </c>
      <c r="K69" s="7">
        <v>2.6528125</v>
      </c>
      <c r="L69" s="2" t="s">
        <v>135</v>
      </c>
      <c r="M69" s="3" t="s">
        <v>322</v>
      </c>
      <c r="N69" s="7">
        <f>K144</f>
        <v>2.8725000000000001</v>
      </c>
      <c r="O69" s="7">
        <f>K145</f>
        <v>2.2850000000000001</v>
      </c>
      <c r="P69" s="7">
        <f>K146</f>
        <v>0.83000000000000007</v>
      </c>
      <c r="Q69" s="7">
        <f>K147</f>
        <v>0.7350000000000001</v>
      </c>
      <c r="U69" s="22"/>
      <c r="V69" s="25"/>
    </row>
    <row r="70" spans="2:22" ht="12.3" x14ac:dyDescent="0.4">
      <c r="B70" s="2"/>
      <c r="C70" s="2"/>
      <c r="D70" s="2"/>
      <c r="E70" s="7"/>
      <c r="F70" s="14"/>
      <c r="G70" s="2" t="str">
        <f>'Overall Rankings'!BM71</f>
        <v>CSKA Sofia</v>
      </c>
      <c r="H70" s="7">
        <f>'Overall Rankings'!BN71</f>
        <v>5.2795000000000005</v>
      </c>
      <c r="I70" s="2" t="str">
        <f>'Overall Rankings'!BS71</f>
        <v>Bulgaria</v>
      </c>
      <c r="J70" s="2" t="s">
        <v>233</v>
      </c>
      <c r="K70" s="7">
        <v>1.4125000000000001</v>
      </c>
      <c r="L70" s="2" t="s">
        <v>135</v>
      </c>
      <c r="M70" s="16" t="s">
        <v>175</v>
      </c>
      <c r="N70" s="2" t="str">
        <f>J148</f>
        <v>Budućnost Podgorica</v>
      </c>
      <c r="O70" s="2" t="str">
        <f>J149</f>
        <v>Iskra Danilovgrad</v>
      </c>
      <c r="P70" s="2" t="str">
        <f>J150</f>
        <v>Zeta</v>
      </c>
      <c r="Q70" s="2" t="str">
        <f>J151</f>
        <v>Sutjeska Nikšić</v>
      </c>
      <c r="U70" s="23">
        <f>COUNTA(N70:T70)</f>
        <v>4</v>
      </c>
      <c r="V70" s="24">
        <f>SUM(N71:T71)</f>
        <v>6.1574999999999998</v>
      </c>
    </row>
    <row r="71" spans="2:22" ht="12.3" x14ac:dyDescent="0.4">
      <c r="B71" s="2"/>
      <c r="C71" s="2"/>
      <c r="D71" s="2"/>
      <c r="E71" s="7"/>
      <c r="F71" s="14"/>
      <c r="G71" s="2" t="str">
        <f>'Overall Rankings'!BM72</f>
        <v>Rijeka</v>
      </c>
      <c r="H71" s="7">
        <f>'Overall Rankings'!BN72</f>
        <v>5.2270312499999996</v>
      </c>
      <c r="I71" s="2" t="str">
        <f>'Overall Rankings'!BS72</f>
        <v>Croatia</v>
      </c>
      <c r="J71" s="2" t="s">
        <v>301</v>
      </c>
      <c r="K71" s="7">
        <v>0.495</v>
      </c>
      <c r="L71" s="2" t="s">
        <v>135</v>
      </c>
      <c r="M71" s="3" t="s">
        <v>322</v>
      </c>
      <c r="N71" s="7">
        <f>K148</f>
        <v>2.71</v>
      </c>
      <c r="O71" s="7">
        <f>K149</f>
        <v>1.375</v>
      </c>
      <c r="P71" s="7">
        <f>K150</f>
        <v>1.3274999999999999</v>
      </c>
      <c r="Q71" s="7">
        <f>K151</f>
        <v>0.74499999999999988</v>
      </c>
      <c r="U71" s="22"/>
      <c r="V71" s="25"/>
    </row>
    <row r="72" spans="2:22" ht="12.3" x14ac:dyDescent="0.4">
      <c r="B72" s="2"/>
      <c r="C72" s="2"/>
      <c r="D72" s="2"/>
      <c r="E72" s="7"/>
      <c r="F72" s="14"/>
      <c r="G72" s="2" t="str">
        <f>'Overall Rankings'!BM73</f>
        <v>AEK Athens</v>
      </c>
      <c r="H72" s="7">
        <f>'Overall Rankings'!BN73</f>
        <v>5.0754687499999998</v>
      </c>
      <c r="I72" s="2" t="str">
        <f>'Overall Rankings'!BS73</f>
        <v>Greece</v>
      </c>
      <c r="J72" s="2" t="s">
        <v>151</v>
      </c>
      <c r="K72" s="7">
        <v>3.4906250000000001</v>
      </c>
      <c r="L72" s="2" t="s">
        <v>152</v>
      </c>
      <c r="M72" s="16" t="s">
        <v>31</v>
      </c>
      <c r="N72" s="2" t="str">
        <f>J152</f>
        <v>Ajax</v>
      </c>
      <c r="O72" s="2" t="str">
        <f>J153</f>
        <v>PSV Eindhoven</v>
      </c>
      <c r="P72" s="2" t="str">
        <f>J154</f>
        <v>AZ</v>
      </c>
      <c r="Q72" s="2" t="str">
        <f>J155</f>
        <v>Feyenoord</v>
      </c>
      <c r="R72" s="2" t="str">
        <f>J156</f>
        <v>Willem II</v>
      </c>
      <c r="U72" s="23">
        <f>COUNTA(N72:T72)</f>
        <v>5</v>
      </c>
      <c r="V72" s="24">
        <f>SUM(N73:T73)</f>
        <v>33.701749999999997</v>
      </c>
    </row>
    <row r="73" spans="2:22" ht="12.3" x14ac:dyDescent="0.4">
      <c r="B73" s="2"/>
      <c r="C73" s="2"/>
      <c r="D73" s="2"/>
      <c r="E73" s="7"/>
      <c r="F73" s="14"/>
      <c r="G73" s="2" t="str">
        <f>'Overall Rankings'!BM74</f>
        <v>Ludogorets Razgrad</v>
      </c>
      <c r="H73" s="7">
        <f>'Overall Rankings'!BN74</f>
        <v>5.0200000000000005</v>
      </c>
      <c r="I73" s="2" t="str">
        <f>'Overall Rankings'!BS74</f>
        <v>Bulgaria</v>
      </c>
      <c r="J73" s="2" t="s">
        <v>262</v>
      </c>
      <c r="K73" s="7">
        <v>0.90999999999999992</v>
      </c>
      <c r="L73" s="2" t="s">
        <v>152</v>
      </c>
      <c r="M73" s="3" t="s">
        <v>322</v>
      </c>
      <c r="N73" s="7">
        <f>K152</f>
        <v>12.506979166666666</v>
      </c>
      <c r="O73" s="7">
        <f>K153</f>
        <v>7.4055</v>
      </c>
      <c r="P73" s="7">
        <f>K154</f>
        <v>6.4646875000000001</v>
      </c>
      <c r="Q73" s="7">
        <f>K155</f>
        <v>4.8345833333333328</v>
      </c>
      <c r="R73" s="7">
        <f>K156</f>
        <v>2.4900000000000002</v>
      </c>
      <c r="U73" s="22"/>
      <c r="V73" s="25"/>
    </row>
    <row r="74" spans="2:22" ht="12.3" x14ac:dyDescent="0.4">
      <c r="B74" s="2"/>
      <c r="C74" s="2"/>
      <c r="D74" s="2"/>
      <c r="E74" s="7"/>
      <c r="F74" s="14"/>
      <c r="G74" s="2" t="str">
        <f>'Overall Rankings'!BM75</f>
        <v>Standard Liège</v>
      </c>
      <c r="H74" s="7">
        <f>'Overall Rankings'!BN75</f>
        <v>5.002361111111111</v>
      </c>
      <c r="I74" s="2" t="str">
        <f>'Overall Rankings'!BS75</f>
        <v>Belgium</v>
      </c>
      <c r="J74" s="2" t="s">
        <v>269</v>
      </c>
      <c r="K74" s="7">
        <v>0.82499999999999996</v>
      </c>
      <c r="L74" s="2" t="s">
        <v>152</v>
      </c>
      <c r="M74" s="16" t="s">
        <v>157</v>
      </c>
      <c r="N74" s="2" t="str">
        <f>J157</f>
        <v>Shkëndija</v>
      </c>
      <c r="O74" s="2" t="str">
        <f>J158</f>
        <v>Renova</v>
      </c>
      <c r="P74" s="2" t="str">
        <f>J159</f>
        <v>Sileks</v>
      </c>
      <c r="Q74" s="2" t="str">
        <f>J160</f>
        <v>Shkupi</v>
      </c>
      <c r="U74" s="23">
        <f>COUNTA(N74:T74)</f>
        <v>4</v>
      </c>
      <c r="V74" s="24">
        <f>SUM(N75:T75)</f>
        <v>7.3087499999999999</v>
      </c>
    </row>
    <row r="75" spans="2:22" ht="12.3" x14ac:dyDescent="0.4">
      <c r="B75" s="2"/>
      <c r="C75" s="2"/>
      <c r="D75" s="2"/>
      <c r="E75" s="7"/>
      <c r="F75" s="14"/>
      <c r="G75" s="2" t="str">
        <f>'Overall Rankings'!BM76</f>
        <v>Zorya Luhansk</v>
      </c>
      <c r="H75" s="7">
        <f>'Overall Rankings'!BN76</f>
        <v>4.9712499999999995</v>
      </c>
      <c r="I75" s="2" t="str">
        <f>'Overall Rankings'!BS76</f>
        <v>Ukraine</v>
      </c>
      <c r="J75" s="2" t="s">
        <v>280</v>
      </c>
      <c r="K75" s="7">
        <v>0.73499999999999988</v>
      </c>
      <c r="L75" s="2" t="s">
        <v>152</v>
      </c>
      <c r="M75" s="3" t="s">
        <v>322</v>
      </c>
      <c r="N75" s="7">
        <f>K157</f>
        <v>3.2175000000000002</v>
      </c>
      <c r="O75" s="7">
        <f>K158</f>
        <v>2.0562499999999999</v>
      </c>
      <c r="P75" s="7">
        <f>K159</f>
        <v>1.1299999999999999</v>
      </c>
      <c r="Q75" s="7">
        <f>K160</f>
        <v>0.90500000000000003</v>
      </c>
      <c r="U75" s="22"/>
      <c r="V75" s="25"/>
    </row>
    <row r="76" spans="2:22" ht="12.3" x14ac:dyDescent="0.4">
      <c r="B76" s="2"/>
      <c r="C76" s="2"/>
      <c r="D76" s="2"/>
      <c r="E76" s="7"/>
      <c r="F76" s="14"/>
      <c r="G76" s="2" t="str">
        <f>'Overall Rankings'!BM77</f>
        <v>Sparta Prague</v>
      </c>
      <c r="H76" s="7">
        <f>'Overall Rankings'!BN77</f>
        <v>4.9133333333333331</v>
      </c>
      <c r="I76" s="2" t="str">
        <f>'Overall Rankings'!BS77</f>
        <v>Czech Republic</v>
      </c>
      <c r="J76" s="2" t="s">
        <v>20</v>
      </c>
      <c r="K76" s="7">
        <v>16.107499999999998</v>
      </c>
      <c r="L76" s="2" t="s">
        <v>21</v>
      </c>
      <c r="M76" s="16" t="s">
        <v>198</v>
      </c>
      <c r="N76" s="2" t="str">
        <f>J161</f>
        <v>Coleraine</v>
      </c>
      <c r="O76" s="2" t="str">
        <f>J162</f>
        <v>Linfield</v>
      </c>
      <c r="P76" s="2" t="str">
        <f>J163</f>
        <v>Glentoran</v>
      </c>
      <c r="U76" s="23">
        <f>COUNTA(N76:T76)</f>
        <v>3</v>
      </c>
      <c r="V76" s="24">
        <f>SUM(N77:T77)</f>
        <v>5.7567708333333325</v>
      </c>
    </row>
    <row r="77" spans="2:22" ht="12.3" x14ac:dyDescent="0.4">
      <c r="B77" s="2"/>
      <c r="C77" s="2"/>
      <c r="D77" s="2"/>
      <c r="E77" s="7"/>
      <c r="F77" s="14"/>
      <c r="G77" s="2" t="str">
        <f>'Overall Rankings'!BM78</f>
        <v>Feyenoord</v>
      </c>
      <c r="H77" s="7">
        <f>'Overall Rankings'!BN78</f>
        <v>4.8345833333333328</v>
      </c>
      <c r="I77" s="2" t="str">
        <f>'Overall Rankings'!BS78</f>
        <v>Netherlands</v>
      </c>
      <c r="J77" s="2" t="s">
        <v>81</v>
      </c>
      <c r="K77" s="7">
        <v>7.7179166666666665</v>
      </c>
      <c r="L77" s="2" t="s">
        <v>21</v>
      </c>
      <c r="M77" s="3" t="s">
        <v>322</v>
      </c>
      <c r="N77" s="7">
        <f>K161</f>
        <v>2.2308333333333334</v>
      </c>
      <c r="O77" s="7">
        <f>K162</f>
        <v>2.0959374999999998</v>
      </c>
      <c r="P77" s="7">
        <f>K163</f>
        <v>1.43</v>
      </c>
      <c r="U77" s="22"/>
      <c r="V77" s="25"/>
    </row>
    <row r="78" spans="2:22" ht="12.3" x14ac:dyDescent="0.4">
      <c r="B78" s="2"/>
      <c r="C78" s="2"/>
      <c r="D78" s="2"/>
      <c r="E78" s="7"/>
      <c r="F78" s="14"/>
      <c r="G78" s="2" t="str">
        <f>'Overall Rankings'!BM79</f>
        <v>Sivasspor</v>
      </c>
      <c r="H78" s="7">
        <f>'Overall Rankings'!BN79</f>
        <v>4.7887499999999994</v>
      </c>
      <c r="I78" s="2" t="str">
        <f>'Overall Rankings'!BS79</f>
        <v>Turkey</v>
      </c>
      <c r="J78" s="2" t="s">
        <v>83</v>
      </c>
      <c r="K78" s="7">
        <v>7.5299999999999994</v>
      </c>
      <c r="L78" s="2" t="s">
        <v>21</v>
      </c>
      <c r="M78" s="16" t="s">
        <v>58</v>
      </c>
      <c r="N78" s="2" t="str">
        <f>J164</f>
        <v>Molde</v>
      </c>
      <c r="O78" s="2" t="str">
        <f>J165</f>
        <v>Rosenborg</v>
      </c>
      <c r="P78" s="2" t="str">
        <f>J166</f>
        <v>Bodø/Glimt</v>
      </c>
      <c r="Q78" s="2" t="str">
        <f>J167</f>
        <v>Viking</v>
      </c>
      <c r="U78" s="23">
        <f>COUNTA(N78:T78)</f>
        <v>4</v>
      </c>
      <c r="V78" s="24">
        <f>SUM(N79:T79)</f>
        <v>18.020375000000001</v>
      </c>
    </row>
    <row r="79" spans="2:22" ht="12.3" x14ac:dyDescent="0.4">
      <c r="B79" s="2"/>
      <c r="C79" s="2"/>
      <c r="D79" s="2"/>
      <c r="E79" s="7"/>
      <c r="F79" s="14"/>
      <c r="G79" s="2" t="str">
        <f>'Overall Rankings'!BM80</f>
        <v>Dundalk</v>
      </c>
      <c r="H79" s="7">
        <f>'Overall Rankings'!BN80</f>
        <v>4.6377500000000005</v>
      </c>
      <c r="I79" s="2" t="str">
        <f>'Overall Rankings'!BS80</f>
        <v>Republic of Ireland</v>
      </c>
      <c r="J79" s="2" t="s">
        <v>91</v>
      </c>
      <c r="K79" s="7">
        <v>6.9012499999999992</v>
      </c>
      <c r="L79" s="2" t="s">
        <v>21</v>
      </c>
      <c r="M79" s="3" t="s">
        <v>322</v>
      </c>
      <c r="N79" s="7">
        <f>K164</f>
        <v>9.7934999999999999</v>
      </c>
      <c r="O79" s="7">
        <f>K165</f>
        <v>4.1068749999999996</v>
      </c>
      <c r="P79" s="7">
        <f>K166</f>
        <v>3</v>
      </c>
      <c r="Q79" s="7">
        <f>K167</f>
        <v>1.1200000000000001</v>
      </c>
      <c r="U79" s="22"/>
      <c r="V79" s="25"/>
    </row>
    <row r="80" spans="2:22" ht="12.3" x14ac:dyDescent="0.4">
      <c r="B80" s="2"/>
      <c r="C80" s="2"/>
      <c r="D80" s="2"/>
      <c r="E80" s="7"/>
      <c r="F80" s="14"/>
      <c r="G80" s="2" t="str">
        <f>'Overall Rankings'!BM81</f>
        <v>Dynamo Brest</v>
      </c>
      <c r="H80" s="7">
        <f>'Overall Rankings'!BN81</f>
        <v>4.5687500000000005</v>
      </c>
      <c r="I80" s="2" t="str">
        <f>'Overall Rankings'!BS81</f>
        <v>Belarus</v>
      </c>
      <c r="J80" s="2" t="s">
        <v>127</v>
      </c>
      <c r="K80" s="7">
        <v>4.3156249999999998</v>
      </c>
      <c r="L80" s="2" t="s">
        <v>21</v>
      </c>
      <c r="M80" s="16" t="s">
        <v>109</v>
      </c>
      <c r="N80" s="2" t="str">
        <f>J168</f>
        <v>Lech Poznań</v>
      </c>
      <c r="O80" s="2" t="str">
        <f>J169</f>
        <v>Legia Warsaw</v>
      </c>
      <c r="P80" s="2" t="str">
        <f>J170</f>
        <v>Piast Gliwice</v>
      </c>
      <c r="Q80" s="2" t="str">
        <f>J171</f>
        <v>Cracovia</v>
      </c>
      <c r="U80" s="23">
        <f>COUNTA(N80:T80)</f>
        <v>4</v>
      </c>
      <c r="V80" s="24">
        <f>SUM(N81:T81)</f>
        <v>13.170208333333335</v>
      </c>
    </row>
    <row r="81" spans="2:22" ht="12.3" x14ac:dyDescent="0.4">
      <c r="B81" s="2"/>
      <c r="C81" s="2"/>
      <c r="D81" s="2"/>
      <c r="E81" s="7"/>
      <c r="F81" s="14"/>
      <c r="G81" s="2" t="str">
        <f>'Overall Rankings'!BM82</f>
        <v>CSKA Moscow</v>
      </c>
      <c r="H81" s="7">
        <f>'Overall Rankings'!BN82</f>
        <v>4.4858333333333329</v>
      </c>
      <c r="I81" s="2" t="str">
        <f>'Overall Rankings'!BS82</f>
        <v>Russia</v>
      </c>
      <c r="J81" s="2" t="s">
        <v>165</v>
      </c>
      <c r="K81" s="7">
        <v>3.0300000000000002</v>
      </c>
      <c r="L81" s="2" t="s">
        <v>21</v>
      </c>
      <c r="M81" s="3" t="s">
        <v>322</v>
      </c>
      <c r="N81" s="7">
        <f>K168</f>
        <v>5.2887500000000003</v>
      </c>
      <c r="O81" s="7">
        <f>K169</f>
        <v>3.6281249999999998</v>
      </c>
      <c r="P81" s="7">
        <f>K170</f>
        <v>3.4333333333333336</v>
      </c>
      <c r="Q81" s="7">
        <f>K171</f>
        <v>0.82000000000000006</v>
      </c>
      <c r="U81" s="22"/>
      <c r="V81" s="25"/>
    </row>
    <row r="82" spans="2:22" ht="12.3" x14ac:dyDescent="0.4">
      <c r="B82" s="2"/>
      <c r="C82" s="2"/>
      <c r="D82" s="2"/>
      <c r="E82" s="7"/>
      <c r="F82" s="14"/>
      <c r="G82" s="2" t="str">
        <f>'Overall Rankings'!BM83</f>
        <v>Malmö FF</v>
      </c>
      <c r="H82" s="7">
        <f>'Overall Rankings'!BN83</f>
        <v>4.4074999999999998</v>
      </c>
      <c r="I82" s="2" t="str">
        <f>'Overall Rankings'!BS83</f>
        <v>Sweden</v>
      </c>
      <c r="J82" s="2" t="s">
        <v>153</v>
      </c>
      <c r="K82" s="7">
        <v>3.4629166666666666</v>
      </c>
      <c r="L82" s="2" t="s">
        <v>154</v>
      </c>
      <c r="M82" s="16" t="s">
        <v>27</v>
      </c>
      <c r="N82" s="2" t="str">
        <f>J172</f>
        <v>Porto</v>
      </c>
      <c r="O82" s="2" t="str">
        <f>J173</f>
        <v>Benfica</v>
      </c>
      <c r="P82" s="2" t="str">
        <f>J174</f>
        <v>Braga</v>
      </c>
      <c r="Q82" s="2" t="str">
        <f>J175</f>
        <v>Rio Ave</v>
      </c>
      <c r="R82" s="2" t="str">
        <f>J176</f>
        <v>Sporting CP</v>
      </c>
      <c r="U82" s="23">
        <f>COUNTA(N82:T82)</f>
        <v>5</v>
      </c>
      <c r="V82" s="24">
        <f>SUM(N83:T83)</f>
        <v>36.93860763888889</v>
      </c>
    </row>
    <row r="83" spans="2:22" ht="12.3" x14ac:dyDescent="0.4">
      <c r="B83" s="2"/>
      <c r="C83" s="2"/>
      <c r="D83" s="2"/>
      <c r="E83" s="7"/>
      <c r="F83" s="14"/>
      <c r="G83" s="2" t="str">
        <f>'Overall Rankings'!BM84</f>
        <v>Nice</v>
      </c>
      <c r="H83" s="7">
        <f>'Overall Rankings'!BN84</f>
        <v>4.3156249999999998</v>
      </c>
      <c r="I83" s="2" t="str">
        <f>'Overall Rankings'!BS84</f>
        <v>France</v>
      </c>
      <c r="J83" s="2" t="s">
        <v>203</v>
      </c>
      <c r="K83" s="7">
        <v>2.1533333333333333</v>
      </c>
      <c r="L83" s="2" t="s">
        <v>154</v>
      </c>
      <c r="M83" s="3" t="s">
        <v>322</v>
      </c>
      <c r="N83" s="7">
        <f>K172</f>
        <v>14.35425</v>
      </c>
      <c r="O83" s="7">
        <f>K173</f>
        <v>7.9205555555555556</v>
      </c>
      <c r="P83" s="7">
        <f>K174</f>
        <v>7.0973437500000003</v>
      </c>
      <c r="Q83" s="7">
        <f>K175</f>
        <v>3.940833333333333</v>
      </c>
      <c r="R83" s="7">
        <f>K176</f>
        <v>3.6256250000000003</v>
      </c>
      <c r="U83" s="22"/>
      <c r="V83" s="25"/>
    </row>
    <row r="84" spans="2:22" ht="12.3" x14ac:dyDescent="0.4">
      <c r="B84" s="2"/>
      <c r="C84" s="2"/>
      <c r="D84" s="2"/>
      <c r="E84" s="7"/>
      <c r="F84" s="14"/>
      <c r="G84" s="2" t="str">
        <f>'Overall Rankings'!BM85</f>
        <v>VfL Wolfsburg</v>
      </c>
      <c r="H84" s="7">
        <f>'Overall Rankings'!BN85</f>
        <v>4.2299999999999995</v>
      </c>
      <c r="I84" s="2" t="str">
        <f>'Overall Rankings'!BS85</f>
        <v>Germany</v>
      </c>
      <c r="J84" s="2" t="s">
        <v>292</v>
      </c>
      <c r="K84" s="7">
        <v>0.63500000000000001</v>
      </c>
      <c r="L84" s="2" t="s">
        <v>154</v>
      </c>
      <c r="M84" s="16" t="s">
        <v>121</v>
      </c>
      <c r="N84" s="2" t="str">
        <f>J177</f>
        <v>Dundalk</v>
      </c>
      <c r="O84" s="2" t="str">
        <f>J178</f>
        <v>Shamrock Rovers</v>
      </c>
      <c r="P84" s="2" t="str">
        <f>J179</f>
        <v>Bohemians</v>
      </c>
      <c r="Q84" s="2" t="str">
        <f>J180</f>
        <v>Derry City</v>
      </c>
      <c r="U84" s="23">
        <f>COUNTA(N84:T84)</f>
        <v>4</v>
      </c>
      <c r="V84" s="24">
        <f>SUM(N85:T85)</f>
        <v>8.32775</v>
      </c>
    </row>
    <row r="85" spans="2:22" ht="12.3" x14ac:dyDescent="0.4">
      <c r="B85" s="2"/>
      <c r="C85" s="2"/>
      <c r="D85" s="2"/>
      <c r="E85" s="7"/>
      <c r="F85" s="14"/>
      <c r="G85" s="2" t="str">
        <f>'Overall Rankings'!BM86</f>
        <v>Maccabi Haifa</v>
      </c>
      <c r="H85" s="7">
        <f>'Overall Rankings'!BN86</f>
        <v>4.2046874999999995</v>
      </c>
      <c r="I85" s="2" t="str">
        <f>'Overall Rankings'!BS86</f>
        <v>Israel</v>
      </c>
      <c r="J85" s="2" t="s">
        <v>295</v>
      </c>
      <c r="K85" s="7">
        <v>0.59000000000000008</v>
      </c>
      <c r="L85" s="2" t="s">
        <v>154</v>
      </c>
      <c r="M85" s="3" t="s">
        <v>322</v>
      </c>
      <c r="N85" s="7">
        <f>K177</f>
        <v>4.6377500000000005</v>
      </c>
      <c r="O85" s="7">
        <f>K178</f>
        <v>1.9849999999999999</v>
      </c>
      <c r="P85" s="7">
        <f>K179</f>
        <v>0.96</v>
      </c>
      <c r="Q85" s="7">
        <f>K180</f>
        <v>0.74499999999999988</v>
      </c>
      <c r="U85" s="22"/>
      <c r="V85" s="25"/>
    </row>
    <row r="86" spans="2:22" ht="12.3" x14ac:dyDescent="0.4">
      <c r="B86" s="2"/>
      <c r="C86" s="2"/>
      <c r="D86" s="2"/>
      <c r="E86" s="7"/>
      <c r="F86" s="14"/>
      <c r="G86" s="2" t="str">
        <f>'Overall Rankings'!BM87</f>
        <v>Galatasaray</v>
      </c>
      <c r="H86" s="7">
        <f>'Overall Rankings'!BN87</f>
        <v>4.2033333333333331</v>
      </c>
      <c r="I86" s="2" t="str">
        <f>'Overall Rankings'!BS87</f>
        <v>Turkey</v>
      </c>
      <c r="J86" s="2" t="s">
        <v>22</v>
      </c>
      <c r="K86" s="7">
        <v>15.05275</v>
      </c>
      <c r="L86" s="2" t="s">
        <v>23</v>
      </c>
      <c r="M86" s="16" t="s">
        <v>104</v>
      </c>
      <c r="N86" s="2" t="str">
        <f>J181</f>
        <v>CFR Cluj</v>
      </c>
      <c r="O86" s="2" t="str">
        <f>J182</f>
        <v>FCSB</v>
      </c>
      <c r="P86" s="2" t="str">
        <f>J183</f>
        <v>Botoșani</v>
      </c>
      <c r="Q86" s="2" t="str">
        <f>J184</f>
        <v>Universitatea Craiova</v>
      </c>
      <c r="U86" s="23">
        <f>COUNTA(N86:T86)</f>
        <v>4</v>
      </c>
      <c r="V86" s="24">
        <f>SUM(N87:T87)</f>
        <v>11.56775</v>
      </c>
    </row>
    <row r="87" spans="2:22" ht="12.3" x14ac:dyDescent="0.4">
      <c r="B87" s="2"/>
      <c r="C87" s="2"/>
      <c r="D87" s="2"/>
      <c r="E87" s="7"/>
      <c r="F87" s="14"/>
      <c r="G87" s="2" t="str">
        <f>'Overall Rankings'!BM88</f>
        <v>Basel</v>
      </c>
      <c r="H87" s="7">
        <f>'Overall Rankings'!BN88</f>
        <v>4.1945833333333331</v>
      </c>
      <c r="I87" s="2" t="str">
        <f>'Overall Rankings'!BS88</f>
        <v>Switzerland</v>
      </c>
      <c r="J87" s="2" t="s">
        <v>28</v>
      </c>
      <c r="K87" s="7">
        <v>14.206250000000001</v>
      </c>
      <c r="L87" s="2" t="s">
        <v>23</v>
      </c>
      <c r="M87" s="3" t="s">
        <v>322</v>
      </c>
      <c r="N87" s="7">
        <f>K181</f>
        <v>5.5827500000000008</v>
      </c>
      <c r="O87" s="7">
        <f>K182</f>
        <v>2.92625</v>
      </c>
      <c r="P87" s="7">
        <f>K183</f>
        <v>2.38375</v>
      </c>
      <c r="Q87" s="7">
        <f>K184</f>
        <v>0.67500000000000004</v>
      </c>
      <c r="U87" s="22"/>
      <c r="V87" s="25"/>
    </row>
    <row r="88" spans="2:22" ht="12.3" x14ac:dyDescent="0.4">
      <c r="B88" s="2"/>
      <c r="C88" s="2"/>
      <c r="D88" s="2"/>
      <c r="E88" s="7"/>
      <c r="F88" s="14"/>
      <c r="G88" s="2" t="str">
        <f>'Overall Rankings'!BM89</f>
        <v>Copenhagen</v>
      </c>
      <c r="H88" s="7">
        <f>'Overall Rankings'!BN89</f>
        <v>4.1412500000000003</v>
      </c>
      <c r="I88" s="2" t="str">
        <f>'Overall Rankings'!BS89</f>
        <v>Denmark</v>
      </c>
      <c r="J88" s="2" t="s">
        <v>36</v>
      </c>
      <c r="K88" s="7">
        <v>11.854531249999999</v>
      </c>
      <c r="L88" s="2" t="s">
        <v>23</v>
      </c>
      <c r="M88" s="16" t="s">
        <v>56</v>
      </c>
      <c r="N88" s="2" t="str">
        <f>J185</f>
        <v>Krasnodar</v>
      </c>
      <c r="O88" s="2" t="str">
        <f>J186</f>
        <v>Lokomotiv Moscow</v>
      </c>
      <c r="P88" s="2" t="str">
        <f>J187</f>
        <v>Zenit Saint Petersburg</v>
      </c>
      <c r="Q88" s="2" t="str">
        <f>J188</f>
        <v>CSKA Moscow</v>
      </c>
      <c r="R88" s="2" t="str">
        <f>J189</f>
        <v>Rostov</v>
      </c>
      <c r="S88" s="2" t="str">
        <f>J190</f>
        <v>Dynamo Moscow</v>
      </c>
      <c r="U88" s="23">
        <f>COUNTA(N88:T88)</f>
        <v>6</v>
      </c>
      <c r="V88" s="24">
        <f>SUM(N89:T89)</f>
        <v>32.432041666666663</v>
      </c>
    </row>
    <row r="89" spans="2:22" ht="12.3" x14ac:dyDescent="0.4">
      <c r="B89" s="2"/>
      <c r="C89" s="2"/>
      <c r="D89" s="2"/>
      <c r="E89" s="7"/>
      <c r="F89" s="14"/>
      <c r="G89" s="2" t="str">
        <f>'Overall Rankings'!BM90</f>
        <v>Rosenborg</v>
      </c>
      <c r="H89" s="7">
        <f>'Overall Rankings'!BN90</f>
        <v>4.1068749999999996</v>
      </c>
      <c r="I89" s="2" t="str">
        <f>'Overall Rankings'!BS90</f>
        <v>Norway</v>
      </c>
      <c r="J89" s="2" t="s">
        <v>40</v>
      </c>
      <c r="K89" s="7">
        <v>11.516562499999999</v>
      </c>
      <c r="L89" s="2" t="s">
        <v>23</v>
      </c>
      <c r="M89" s="3" t="s">
        <v>322</v>
      </c>
      <c r="N89" s="7">
        <f>K185</f>
        <v>9.9178749999999987</v>
      </c>
      <c r="O89" s="7">
        <f>K186</f>
        <v>7.9024999999999999</v>
      </c>
      <c r="P89" s="7">
        <f>K187</f>
        <v>7.5058333333333334</v>
      </c>
      <c r="Q89" s="7">
        <f>K188</f>
        <v>4.4858333333333329</v>
      </c>
      <c r="R89" s="7">
        <f>K189</f>
        <v>1.645</v>
      </c>
      <c r="S89" s="7">
        <f>K190</f>
        <v>0.97499999999999998</v>
      </c>
      <c r="U89" s="22"/>
      <c r="V89" s="25"/>
    </row>
    <row r="90" spans="2:22" ht="12.3" x14ac:dyDescent="0.4">
      <c r="B90" s="2"/>
      <c r="C90" s="2"/>
      <c r="D90" s="2"/>
      <c r="E90" s="7"/>
      <c r="F90" s="14"/>
      <c r="G90" s="2" t="str">
        <f>'Overall Rankings'!BM91</f>
        <v>KÍ</v>
      </c>
      <c r="H90" s="7">
        <f>'Overall Rankings'!BN91</f>
        <v>4.1059374999999996</v>
      </c>
      <c r="I90" s="2" t="str">
        <f>'Overall Rankings'!BS91</f>
        <v>Faroe Islands</v>
      </c>
      <c r="J90" s="2" t="s">
        <v>82</v>
      </c>
      <c r="K90" s="7">
        <v>7.6064062499999991</v>
      </c>
      <c r="L90" s="2" t="s">
        <v>23</v>
      </c>
      <c r="M90" s="16" t="s">
        <v>253</v>
      </c>
      <c r="N90" s="2" t="str">
        <f>J191</f>
        <v>Tre Fiori</v>
      </c>
      <c r="O90" s="2" t="str">
        <f>J192</f>
        <v>La Fiorita</v>
      </c>
      <c r="P90" s="2" t="str">
        <f>J193</f>
        <v>Tre Penne</v>
      </c>
      <c r="U90" s="23">
        <f>COUNTA(N90:T90)</f>
        <v>3</v>
      </c>
      <c r="V90" s="24">
        <f>SUM(N91:T91)</f>
        <v>1.9474999999999998</v>
      </c>
    </row>
    <row r="91" spans="2:22" ht="12.3" x14ac:dyDescent="0.4">
      <c r="B91" s="2"/>
      <c r="C91" s="2"/>
      <c r="D91" s="2"/>
      <c r="E91" s="7"/>
      <c r="F91" s="14"/>
      <c r="G91" s="2" t="str">
        <f>'Overall Rankings'!BM92</f>
        <v>APOEL</v>
      </c>
      <c r="H91" s="7">
        <f>'Overall Rankings'!BN92</f>
        <v>4.0618749999999997</v>
      </c>
      <c r="I91" s="2" t="str">
        <f>'Overall Rankings'!BS92</f>
        <v>Cyprus</v>
      </c>
      <c r="J91" s="2" t="s">
        <v>87</v>
      </c>
      <c r="K91" s="7">
        <v>7.2896874999999994</v>
      </c>
      <c r="L91" s="2" t="s">
        <v>23</v>
      </c>
      <c r="M91" s="3" t="s">
        <v>322</v>
      </c>
      <c r="N91" s="7">
        <f>K191</f>
        <v>1.0925</v>
      </c>
      <c r="O91" s="7">
        <f>K192</f>
        <v>0.495</v>
      </c>
      <c r="P91" s="7">
        <f>K193</f>
        <v>0.36</v>
      </c>
      <c r="U91" s="22"/>
      <c r="V91" s="25"/>
    </row>
    <row r="92" spans="2:22" ht="12.3" x14ac:dyDescent="0.4">
      <c r="B92" s="2"/>
      <c r="C92" s="2"/>
      <c r="D92" s="2"/>
      <c r="E92" s="7"/>
      <c r="F92" s="14"/>
      <c r="G92" s="2" t="str">
        <f>'Overall Rankings'!BM93</f>
        <v>Viktoria Plzeň</v>
      </c>
      <c r="H92" s="7">
        <f>'Overall Rankings'!BN93</f>
        <v>4.0008333333333326</v>
      </c>
      <c r="I92" s="2" t="str">
        <f>'Overall Rankings'!BS93</f>
        <v>Czech Republic</v>
      </c>
      <c r="J92" s="2" t="s">
        <v>128</v>
      </c>
      <c r="K92" s="7">
        <v>4.2299999999999995</v>
      </c>
      <c r="L92" s="2" t="s">
        <v>23</v>
      </c>
      <c r="M92" s="16" t="s">
        <v>66</v>
      </c>
      <c r="N92" s="2" t="str">
        <f>J194</f>
        <v>Rangers</v>
      </c>
      <c r="O92" s="2" t="str">
        <f>J195</f>
        <v>Celtic</v>
      </c>
      <c r="P92" s="2" t="str">
        <f>J196</f>
        <v>Aberdeen</v>
      </c>
      <c r="Q92" s="2" t="str">
        <f>J197</f>
        <v>Motherwell</v>
      </c>
      <c r="U92" s="23">
        <f>COUNTA(N92:T92)</f>
        <v>4</v>
      </c>
      <c r="V92" s="24">
        <f>SUM(N93:T93)</f>
        <v>19.688679487179485</v>
      </c>
    </row>
    <row r="93" spans="2:22" ht="12.3" x14ac:dyDescent="0.4">
      <c r="B93" s="2"/>
      <c r="C93" s="2"/>
      <c r="D93" s="2"/>
      <c r="E93" s="7"/>
      <c r="F93" s="14"/>
      <c r="G93" s="2" t="str">
        <f>'Overall Rankings'!BM94</f>
        <v>Rio Ave</v>
      </c>
      <c r="H93" s="7">
        <f>'Overall Rankings'!BN94</f>
        <v>3.940833333333333</v>
      </c>
      <c r="I93" s="2" t="str">
        <f>'Overall Rankings'!BS94</f>
        <v>Portugal</v>
      </c>
      <c r="J93" s="2" t="s">
        <v>209</v>
      </c>
      <c r="K93" s="7">
        <v>2.0908333333333329</v>
      </c>
      <c r="L93" s="2" t="s">
        <v>210</v>
      </c>
      <c r="M93" s="3" t="s">
        <v>322</v>
      </c>
      <c r="N93" s="7">
        <f>K194</f>
        <v>8.6213461538461527</v>
      </c>
      <c r="O93" s="7">
        <f>K195</f>
        <v>5.5215000000000005</v>
      </c>
      <c r="P93" s="7">
        <f>K196</f>
        <v>3.1308333333333334</v>
      </c>
      <c r="Q93" s="7">
        <f>K197</f>
        <v>2.415</v>
      </c>
      <c r="U93" s="22"/>
      <c r="V93" s="25"/>
    </row>
    <row r="94" spans="2:22" ht="12.3" x14ac:dyDescent="0.4">
      <c r="B94" s="2"/>
      <c r="C94" s="2"/>
      <c r="D94" s="2"/>
      <c r="E94" s="7"/>
      <c r="F94" s="14"/>
      <c r="G94" s="2" t="str">
        <f>'Overall Rankings'!BM95</f>
        <v>Fehérvár</v>
      </c>
      <c r="H94" s="7">
        <f>'Overall Rankings'!BN95</f>
        <v>3.8253124999999999</v>
      </c>
      <c r="I94" s="2" t="str">
        <f>'Overall Rankings'!BS95</f>
        <v>Hungary</v>
      </c>
      <c r="J94" s="2" t="s">
        <v>237</v>
      </c>
      <c r="K94" s="7">
        <v>1.3199999999999998</v>
      </c>
      <c r="L94" s="2" t="s">
        <v>210</v>
      </c>
      <c r="M94" s="16" t="s">
        <v>76</v>
      </c>
      <c r="N94" s="2" t="str">
        <f>J198</f>
        <v>Red Star Belgrade</v>
      </c>
      <c r="O94" s="2" t="str">
        <f>J199</f>
        <v>Partizan</v>
      </c>
      <c r="P94" s="2" t="str">
        <f>J200</f>
        <v>TSC Bačka Topola</v>
      </c>
      <c r="Q94" s="2" t="str">
        <f>J201</f>
        <v>Vojvodina</v>
      </c>
      <c r="U94" s="23">
        <f>COUNTA(N94:T94)</f>
        <v>4</v>
      </c>
      <c r="V94" s="24">
        <f>SUM(N95:T95)</f>
        <v>15.164791666666666</v>
      </c>
    </row>
    <row r="95" spans="2:22" ht="12.3" x14ac:dyDescent="0.4">
      <c r="B95" s="2"/>
      <c r="C95" s="2"/>
      <c r="D95" s="2"/>
      <c r="E95" s="7"/>
      <c r="F95" s="14"/>
      <c r="G95" s="2" t="str">
        <f>'Overall Rankings'!BM96</f>
        <v>Sarajevo</v>
      </c>
      <c r="H95" s="7">
        <f>'Overall Rankings'!BN96</f>
        <v>3.8134375</v>
      </c>
      <c r="I95" s="2" t="str">
        <f>'Overall Rankings'!BS96</f>
        <v>Bosnia and Herzegovina</v>
      </c>
      <c r="J95" s="2" t="s">
        <v>300</v>
      </c>
      <c r="K95" s="7">
        <v>0.51500000000000001</v>
      </c>
      <c r="L95" s="2" t="s">
        <v>210</v>
      </c>
      <c r="M95" s="3" t="s">
        <v>322</v>
      </c>
      <c r="N95" s="7">
        <f>K198</f>
        <v>8.1177083333333329</v>
      </c>
      <c r="O95" s="7">
        <f>K199</f>
        <v>2.9583333333333335</v>
      </c>
      <c r="P95" s="7">
        <f>K200</f>
        <v>2.2837499999999995</v>
      </c>
      <c r="Q95" s="7">
        <f>K201</f>
        <v>1.8050000000000002</v>
      </c>
      <c r="U95" s="22"/>
      <c r="V95" s="25"/>
    </row>
    <row r="96" spans="2:22" ht="12.3" x14ac:dyDescent="0.4">
      <c r="B96" s="2"/>
      <c r="C96" s="2"/>
      <c r="D96" s="2"/>
      <c r="E96" s="7"/>
      <c r="F96" s="14"/>
      <c r="G96" s="2" t="str">
        <f>'Overall Rankings'!BM97</f>
        <v>Charleroi</v>
      </c>
      <c r="H96" s="7">
        <f>'Overall Rankings'!BN97</f>
        <v>3.7575000000000003</v>
      </c>
      <c r="I96" s="2" t="str">
        <f>'Overall Rankings'!BS97</f>
        <v>Belgium</v>
      </c>
      <c r="J96" s="2" t="s">
        <v>45</v>
      </c>
      <c r="K96" s="7">
        <v>10.893645833333332</v>
      </c>
      <c r="L96" s="2" t="s">
        <v>46</v>
      </c>
      <c r="M96" s="16" t="s">
        <v>162</v>
      </c>
      <c r="N96" s="2" t="str">
        <f>J202</f>
        <v>DAC Dunajská Streda</v>
      </c>
      <c r="O96" s="2" t="str">
        <f>J203</f>
        <v>Slovan Bratislava</v>
      </c>
      <c r="P96" s="2" t="str">
        <f>J204</f>
        <v>Ružomberok</v>
      </c>
      <c r="Q96" s="2" t="str">
        <f>J205</f>
        <v>Žilina</v>
      </c>
      <c r="U96" s="23">
        <f>COUNTA(N96:T96)</f>
        <v>4</v>
      </c>
      <c r="V96" s="24">
        <f>SUM(N97:T97)</f>
        <v>5.625</v>
      </c>
    </row>
    <row r="97" spans="2:22" ht="12.3" x14ac:dyDescent="0.4">
      <c r="B97" s="2"/>
      <c r="C97" s="2"/>
      <c r="D97" s="2"/>
      <c r="E97" s="7"/>
      <c r="F97" s="14"/>
      <c r="G97" s="2" t="str">
        <f>'Overall Rankings'!BM98</f>
        <v>Ararat-Armenia</v>
      </c>
      <c r="H97" s="7">
        <f>'Overall Rankings'!BN98</f>
        <v>3.7443750000000002</v>
      </c>
      <c r="I97" s="2" t="str">
        <f>'Overall Rankings'!BS98</f>
        <v>Armenia</v>
      </c>
      <c r="J97" s="2" t="s">
        <v>90</v>
      </c>
      <c r="K97" s="7">
        <v>7.0677499999999993</v>
      </c>
      <c r="L97" s="2" t="s">
        <v>46</v>
      </c>
      <c r="M97" s="3" t="s">
        <v>322</v>
      </c>
      <c r="N97" s="7">
        <f>K202</f>
        <v>3.0674999999999999</v>
      </c>
      <c r="O97" s="7">
        <f>K203</f>
        <v>1.2725</v>
      </c>
      <c r="P97" s="7">
        <f>K204</f>
        <v>0.72499999999999987</v>
      </c>
      <c r="Q97" s="7">
        <f>K205</f>
        <v>0.56000000000000005</v>
      </c>
      <c r="U97" s="22"/>
      <c r="V97" s="25"/>
    </row>
    <row r="98" spans="2:22" ht="12.3" x14ac:dyDescent="0.4">
      <c r="B98" s="2"/>
      <c r="C98" s="2"/>
      <c r="D98" s="2"/>
      <c r="E98" s="7"/>
      <c r="F98" s="14"/>
      <c r="G98" s="2" t="str">
        <f>'Overall Rankings'!BM99</f>
        <v>Legia Warsaw</v>
      </c>
      <c r="H98" s="7">
        <f>'Overall Rankings'!BN99</f>
        <v>3.6281249999999998</v>
      </c>
      <c r="I98" s="2" t="str">
        <f>'Overall Rankings'!BS99</f>
        <v>Poland</v>
      </c>
      <c r="J98" s="2" t="s">
        <v>113</v>
      </c>
      <c r="K98" s="7">
        <v>5.0754687499999998</v>
      </c>
      <c r="L98" s="2" t="s">
        <v>46</v>
      </c>
      <c r="M98" s="16" t="s">
        <v>159</v>
      </c>
      <c r="N98" s="2" t="str">
        <f>J206</f>
        <v>Mura</v>
      </c>
      <c r="O98" s="2" t="str">
        <f>J207</f>
        <v>Celje</v>
      </c>
      <c r="P98" s="2" t="str">
        <f>J208</f>
        <v>Olimpija Ljubljana</v>
      </c>
      <c r="Q98" s="2" t="str">
        <f>J209</f>
        <v>Maribor</v>
      </c>
      <c r="U98" s="23">
        <f>COUNTA(N98:T98)</f>
        <v>4</v>
      </c>
      <c r="V98" s="24">
        <f>SUM(N99:T99)</f>
        <v>9.0343749999999989</v>
      </c>
    </row>
    <row r="99" spans="2:22" ht="12.3" x14ac:dyDescent="0.4">
      <c r="B99" s="2"/>
      <c r="C99" s="2"/>
      <c r="D99" s="2"/>
      <c r="E99" s="7"/>
      <c r="F99" s="14"/>
      <c r="G99" s="2" t="str">
        <f>'Overall Rankings'!BM100</f>
        <v>Sporting CP</v>
      </c>
      <c r="H99" s="7">
        <f>'Overall Rankings'!BN100</f>
        <v>3.6256250000000003</v>
      </c>
      <c r="I99" s="2" t="str">
        <f>'Overall Rankings'!BS100</f>
        <v>Portugal</v>
      </c>
      <c r="J99" s="2" t="s">
        <v>235</v>
      </c>
      <c r="K99" s="7">
        <v>1.345</v>
      </c>
      <c r="L99" s="2" t="s">
        <v>46</v>
      </c>
      <c r="M99" s="3" t="s">
        <v>322</v>
      </c>
      <c r="N99" s="7">
        <f>K206</f>
        <v>3.1312499999999996</v>
      </c>
      <c r="O99" s="7">
        <f>K207</f>
        <v>2.92875</v>
      </c>
      <c r="P99" s="7">
        <f>K208</f>
        <v>2.2043749999999998</v>
      </c>
      <c r="Q99" s="7">
        <f>K209</f>
        <v>0.77</v>
      </c>
      <c r="U99" s="22"/>
      <c r="V99" s="25"/>
    </row>
    <row r="100" spans="2:22" ht="12.3" x14ac:dyDescent="0.4">
      <c r="B100" s="2"/>
      <c r="C100" s="2"/>
      <c r="D100" s="2"/>
      <c r="E100" s="7"/>
      <c r="F100" s="14"/>
      <c r="G100" s="2" t="str">
        <f>'Overall Rankings'!BM101</f>
        <v>Tirana</v>
      </c>
      <c r="H100" s="7">
        <f>'Overall Rankings'!BN101</f>
        <v>3.5308333333333337</v>
      </c>
      <c r="I100" s="2" t="str">
        <f>'Overall Rankings'!BS101</f>
        <v>Albania</v>
      </c>
      <c r="J100" s="2" t="s">
        <v>244</v>
      </c>
      <c r="K100" s="7">
        <v>1.2650000000000001</v>
      </c>
      <c r="L100" s="2" t="s">
        <v>46</v>
      </c>
      <c r="M100" s="16" t="s">
        <v>19</v>
      </c>
      <c r="N100" s="2" t="str">
        <f>J210</f>
        <v>Real Madrid</v>
      </c>
      <c r="O100" s="2" t="str">
        <f>J211</f>
        <v>Villarreal</v>
      </c>
      <c r="P100" s="2" t="str">
        <f>J212</f>
        <v>Barcelona</v>
      </c>
      <c r="Q100" s="2" t="str">
        <f>J213</f>
        <v>Sevilla</v>
      </c>
      <c r="R100" s="2" t="str">
        <f>J214</f>
        <v>Atlético Madrid</v>
      </c>
      <c r="S100" s="2" t="str">
        <f>J215</f>
        <v>Granada</v>
      </c>
      <c r="T100" s="2" t="str">
        <f>J216</f>
        <v>Real Sociedad</v>
      </c>
      <c r="U100" s="23">
        <f>COUNTA(N100:T100)</f>
        <v>7</v>
      </c>
      <c r="V100" s="24">
        <f>SUM(N101:T101)</f>
        <v>80.890583333333325</v>
      </c>
    </row>
    <row r="101" spans="2:22" ht="12.3" x14ac:dyDescent="0.4">
      <c r="B101" s="2"/>
      <c r="C101" s="2"/>
      <c r="D101" s="2"/>
      <c r="E101" s="7"/>
      <c r="F101" s="14"/>
      <c r="G101" s="2" t="str">
        <f>'Overall Rankings'!BM102</f>
        <v>Flora</v>
      </c>
      <c r="H101" s="7">
        <f>'Overall Rankings'!BN102</f>
        <v>3.5078125</v>
      </c>
      <c r="I101" s="2" t="str">
        <f>'Overall Rankings'!BS102</f>
        <v>Estonia</v>
      </c>
      <c r="J101" s="2" t="s">
        <v>72</v>
      </c>
      <c r="K101" s="7">
        <v>8.2637499999999999</v>
      </c>
      <c r="L101" s="2" t="s">
        <v>73</v>
      </c>
      <c r="M101" s="3" t="s">
        <v>322</v>
      </c>
      <c r="N101" s="7">
        <f>K210</f>
        <v>16.264895833333334</v>
      </c>
      <c r="O101" s="7">
        <f>K211</f>
        <v>13.068166666666666</v>
      </c>
      <c r="P101" s="7">
        <f>K212</f>
        <v>12.212656249999998</v>
      </c>
      <c r="Q101" s="7">
        <f>K213</f>
        <v>12.15671875</v>
      </c>
      <c r="R101" s="7">
        <f>K214</f>
        <v>11.474375</v>
      </c>
      <c r="S101" s="7">
        <f>K215</f>
        <v>8.9853333333333332</v>
      </c>
      <c r="T101" s="7">
        <f>K216</f>
        <v>6.7284375000000001</v>
      </c>
      <c r="U101" s="22"/>
      <c r="V101" s="25"/>
    </row>
    <row r="102" spans="2:22" ht="12.3" x14ac:dyDescent="0.4">
      <c r="B102" s="2"/>
      <c r="C102" s="2"/>
      <c r="D102" s="2"/>
      <c r="E102" s="7"/>
      <c r="F102" s="14"/>
      <c r="G102" s="2" t="str">
        <f>'Overall Rankings'!BM103</f>
        <v>KuPS</v>
      </c>
      <c r="H102" s="7">
        <f>'Overall Rankings'!BN103</f>
        <v>3.4906250000000001</v>
      </c>
      <c r="I102" s="2" t="str">
        <f>'Overall Rankings'!BS103</f>
        <v>Finland</v>
      </c>
      <c r="J102" s="2" t="s">
        <v>139</v>
      </c>
      <c r="K102" s="7">
        <v>3.8253124999999999</v>
      </c>
      <c r="L102" s="2" t="s">
        <v>73</v>
      </c>
      <c r="M102" s="16" t="s">
        <v>126</v>
      </c>
      <c r="N102" s="2" t="str">
        <f>J217</f>
        <v>Malmö FF</v>
      </c>
      <c r="O102" s="2" t="str">
        <f>J218</f>
        <v>Djurgårdens IF</v>
      </c>
      <c r="P102" s="2" t="str">
        <f>J219</f>
        <v>Hammarby IF</v>
      </c>
      <c r="Q102" s="2" t="str">
        <f>J220</f>
        <v>IFK Göteborg</v>
      </c>
      <c r="U102" s="23">
        <f>COUNTA(N102:T102)</f>
        <v>4</v>
      </c>
      <c r="V102" s="24">
        <f>SUM(N103:T103)</f>
        <v>10.275624999999998</v>
      </c>
    </row>
    <row r="103" spans="2:22" ht="12.3" x14ac:dyDescent="0.4">
      <c r="B103" s="2"/>
      <c r="C103" s="2"/>
      <c r="D103" s="2"/>
      <c r="E103" s="7"/>
      <c r="F103" s="14"/>
      <c r="G103" s="2" t="str">
        <f>'Overall Rankings'!BM104</f>
        <v>Locomotive Tbilisi</v>
      </c>
      <c r="H103" s="7">
        <f>'Overall Rankings'!BN104</f>
        <v>3.4629166666666666</v>
      </c>
      <c r="I103" s="2" t="str">
        <f>'Overall Rankings'!BS104</f>
        <v>Georgia</v>
      </c>
      <c r="J103" s="2" t="s">
        <v>205</v>
      </c>
      <c r="K103" s="7">
        <v>2.118125</v>
      </c>
      <c r="L103" s="2" t="s">
        <v>73</v>
      </c>
      <c r="M103" s="3" t="s">
        <v>322</v>
      </c>
      <c r="N103" s="7">
        <f>K217</f>
        <v>4.4074999999999998</v>
      </c>
      <c r="O103" s="7">
        <f>K218</f>
        <v>2.3587500000000001</v>
      </c>
      <c r="P103" s="7">
        <f>K219</f>
        <v>2.2043749999999998</v>
      </c>
      <c r="Q103" s="7">
        <f>K220</f>
        <v>1.3049999999999999</v>
      </c>
      <c r="U103" s="22"/>
      <c r="V103" s="25"/>
    </row>
    <row r="104" spans="2:22" ht="12.3" x14ac:dyDescent="0.4">
      <c r="B104" s="2"/>
      <c r="C104" s="2"/>
      <c r="D104" s="2"/>
      <c r="E104" s="7"/>
      <c r="F104" s="14"/>
      <c r="G104" s="2" t="str">
        <f>'Overall Rankings'!BM105</f>
        <v>Piast Gliwice</v>
      </c>
      <c r="H104" s="7">
        <f>'Overall Rankings'!BN105</f>
        <v>3.4333333333333336</v>
      </c>
      <c r="I104" s="2" t="str">
        <f>'Overall Rankings'!BS105</f>
        <v>Poland</v>
      </c>
      <c r="J104" s="2" t="s">
        <v>284</v>
      </c>
      <c r="K104" s="7">
        <v>0.68500000000000005</v>
      </c>
      <c r="L104" s="2" t="s">
        <v>73</v>
      </c>
      <c r="M104" s="16" t="s">
        <v>63</v>
      </c>
      <c r="N104" s="2" t="str">
        <f>J221</f>
        <v>Young Boys</v>
      </c>
      <c r="O104" s="2" t="str">
        <f>J222</f>
        <v>Basel</v>
      </c>
      <c r="P104" s="2" t="str">
        <f>J223</f>
        <v>Servette</v>
      </c>
      <c r="Q104" s="2" t="str">
        <f>J224</f>
        <v>St. Gallen</v>
      </c>
      <c r="U104" s="23">
        <f>COUNTA(N104:T104)</f>
        <v>4</v>
      </c>
      <c r="V104" s="24">
        <f>SUM(N105:T105)</f>
        <v>17.27184294871795</v>
      </c>
    </row>
    <row r="105" spans="2:22" ht="12.3" x14ac:dyDescent="0.4">
      <c r="B105" s="2"/>
      <c r="C105" s="2"/>
      <c r="D105" s="2"/>
      <c r="E105" s="7"/>
      <c r="F105" s="14"/>
      <c r="G105" s="2" t="str">
        <f>'Overall Rankings'!BM106</f>
        <v>Shkëndija</v>
      </c>
      <c r="H105" s="7">
        <f>'Overall Rankings'!BN106</f>
        <v>3.2175000000000002</v>
      </c>
      <c r="I105" s="2" t="str">
        <f>'Overall Rankings'!BS106</f>
        <v>North Macedonia</v>
      </c>
      <c r="J105" s="2" t="s">
        <v>248</v>
      </c>
      <c r="K105" s="7">
        <v>1.1324999999999998</v>
      </c>
      <c r="L105" s="2" t="s">
        <v>249</v>
      </c>
      <c r="M105" s="3" t="s">
        <v>322</v>
      </c>
      <c r="N105" s="7">
        <f>K221</f>
        <v>8.8591346153846153</v>
      </c>
      <c r="O105" s="7">
        <f>K222</f>
        <v>4.1945833333333331</v>
      </c>
      <c r="P105" s="7">
        <f>K223</f>
        <v>2.4531249999999996</v>
      </c>
      <c r="Q105" s="7">
        <f>K224</f>
        <v>1.7650000000000001</v>
      </c>
      <c r="U105" s="22"/>
      <c r="V105" s="25"/>
    </row>
    <row r="106" spans="2:22" ht="12.3" x14ac:dyDescent="0.4">
      <c r="B106" s="2"/>
      <c r="C106" s="2"/>
      <c r="D106" s="2"/>
      <c r="E106" s="7"/>
      <c r="F106" s="14"/>
      <c r="G106" s="2" t="str">
        <f>'Overall Rankings'!BM107</f>
        <v>Mura</v>
      </c>
      <c r="H106" s="7">
        <f>'Overall Rankings'!BN107</f>
        <v>3.1312499999999996</v>
      </c>
      <c r="I106" s="2" t="str">
        <f>'Overall Rankings'!BS107</f>
        <v>Slovenia</v>
      </c>
      <c r="J106" s="2" t="s">
        <v>266</v>
      </c>
      <c r="K106" s="7">
        <v>0.84499999999999997</v>
      </c>
      <c r="L106" s="2" t="s">
        <v>249</v>
      </c>
      <c r="M106" s="16" t="s">
        <v>80</v>
      </c>
      <c r="N106" s="2" t="str">
        <f>J225</f>
        <v>İstanbul Başakşehir</v>
      </c>
      <c r="O106" s="2" t="str">
        <f>J226</f>
        <v>Sivasspor</v>
      </c>
      <c r="P106" s="2" t="str">
        <f>J227</f>
        <v>Galatasaray</v>
      </c>
      <c r="Q106" s="2" t="str">
        <f>J228</f>
        <v>Beşiktaş</v>
      </c>
      <c r="R106" s="2" t="str">
        <f>J229</f>
        <v>Alanyaspor</v>
      </c>
      <c r="U106" s="23">
        <f>COUNTA(N106:T106)</f>
        <v>5</v>
      </c>
      <c r="V106" s="24">
        <f>SUM(N107:T107)</f>
        <v>20.862083333333331</v>
      </c>
    </row>
    <row r="107" spans="2:22" ht="12.3" x14ac:dyDescent="0.4">
      <c r="B107" s="2"/>
      <c r="C107" s="2"/>
      <c r="D107" s="2"/>
      <c r="E107" s="7"/>
      <c r="F107" s="14"/>
      <c r="G107" s="2" t="str">
        <f>'Overall Rankings'!BM108</f>
        <v>Aberdeen</v>
      </c>
      <c r="H107" s="7">
        <f>'Overall Rankings'!BN108</f>
        <v>3.1308333333333334</v>
      </c>
      <c r="I107" s="2" t="str">
        <f>'Overall Rankings'!BS108</f>
        <v>Scotland</v>
      </c>
      <c r="J107" s="2" t="s">
        <v>273</v>
      </c>
      <c r="K107" s="7">
        <v>0.8</v>
      </c>
      <c r="L107" s="2" t="s">
        <v>249</v>
      </c>
      <c r="M107" s="3" t="s">
        <v>322</v>
      </c>
      <c r="N107" s="7">
        <f>K225</f>
        <v>7.8</v>
      </c>
      <c r="O107" s="7">
        <f>K226</f>
        <v>4.7887499999999994</v>
      </c>
      <c r="P107" s="7">
        <f>K227</f>
        <v>4.2033333333333331</v>
      </c>
      <c r="Q107" s="7">
        <f>K228</f>
        <v>2.3949999999999996</v>
      </c>
      <c r="R107" s="7">
        <f>K229</f>
        <v>1.675</v>
      </c>
      <c r="U107" s="22"/>
      <c r="V107" s="25"/>
    </row>
    <row r="108" spans="2:22" ht="12.3" x14ac:dyDescent="0.4">
      <c r="B108" s="2"/>
      <c r="C108" s="2"/>
      <c r="D108" s="2"/>
      <c r="E108" s="7"/>
      <c r="F108" s="14"/>
      <c r="G108" s="2" t="str">
        <f>'Overall Rankings'!BM109</f>
        <v>DAC Dunajská Streda</v>
      </c>
      <c r="H108" s="7">
        <f>'Overall Rankings'!BN109</f>
        <v>3.0674999999999999</v>
      </c>
      <c r="I108" s="2" t="str">
        <f>'Overall Rankings'!BS109</f>
        <v>Slovakia</v>
      </c>
      <c r="J108" s="2" t="s">
        <v>281</v>
      </c>
      <c r="K108" s="7">
        <v>0.73</v>
      </c>
      <c r="L108" s="2" t="s">
        <v>249</v>
      </c>
      <c r="M108" s="16" t="s">
        <v>43</v>
      </c>
      <c r="N108" s="2" t="str">
        <f>J230</f>
        <v>Shakhtar Donetsk</v>
      </c>
      <c r="O108" s="2" t="str">
        <f>J231</f>
        <v>Dynamo Kyiv</v>
      </c>
      <c r="P108" s="2" t="str">
        <f>J232</f>
        <v>Zorya Luhansk</v>
      </c>
      <c r="Q108" s="2" t="str">
        <f>J233</f>
        <v>Kolos Kovalivka</v>
      </c>
      <c r="R108" s="2" t="str">
        <f>J234</f>
        <v>Desna Chernihiv</v>
      </c>
      <c r="U108" s="23">
        <f>COUNTA(N108:T108)</f>
        <v>5</v>
      </c>
      <c r="V108" s="24">
        <f>SUM(N109:T109)</f>
        <v>31.86236538461538</v>
      </c>
    </row>
    <row r="109" spans="2:22" ht="12.3" x14ac:dyDescent="0.4">
      <c r="B109" s="2"/>
      <c r="C109" s="2"/>
      <c r="D109" s="2"/>
      <c r="E109" s="7"/>
      <c r="F109" s="14"/>
      <c r="G109" s="2" t="str">
        <f>'Overall Rankings'!BM110</f>
        <v>Zrinjski Mostar</v>
      </c>
      <c r="H109" s="7">
        <f>'Overall Rankings'!BN110</f>
        <v>3.04</v>
      </c>
      <c r="I109" s="2" t="str">
        <f>'Overall Rankings'!BS110</f>
        <v>Bosnia and Herzegovina</v>
      </c>
      <c r="J109" s="2" t="s">
        <v>67</v>
      </c>
      <c r="K109" s="7">
        <v>8.5380769230769218</v>
      </c>
      <c r="L109" s="2" t="s">
        <v>68</v>
      </c>
      <c r="M109" s="3" t="s">
        <v>322</v>
      </c>
      <c r="N109" s="7">
        <f>K230</f>
        <v>11.121499999999999</v>
      </c>
      <c r="O109" s="7">
        <f>K231</f>
        <v>11.043365384615385</v>
      </c>
      <c r="P109" s="7">
        <f>K232</f>
        <v>4.9712499999999995</v>
      </c>
      <c r="Q109" s="7">
        <f>K233</f>
        <v>3.0262500000000001</v>
      </c>
      <c r="R109" s="7">
        <f>K234</f>
        <v>1.7</v>
      </c>
      <c r="U109" s="22"/>
      <c r="V109" s="25"/>
    </row>
    <row r="110" spans="2:22" ht="12.3" x14ac:dyDescent="0.4">
      <c r="B110" s="2"/>
      <c r="C110" s="2"/>
      <c r="D110" s="2"/>
      <c r="E110" s="7"/>
      <c r="F110" s="14"/>
      <c r="G110" s="2" t="str">
        <f>'Overall Rankings'!BM111</f>
        <v>Reims</v>
      </c>
      <c r="H110" s="7">
        <f>'Overall Rankings'!BN111</f>
        <v>3.0300000000000002</v>
      </c>
      <c r="I110" s="2" t="str">
        <f>'Overall Rankings'!BS111</f>
        <v>France</v>
      </c>
      <c r="J110" s="2" t="s">
        <v>106</v>
      </c>
      <c r="K110" s="7">
        <v>5.4738749999999996</v>
      </c>
      <c r="L110" s="2" t="s">
        <v>68</v>
      </c>
      <c r="M110" s="16" t="s">
        <v>194</v>
      </c>
      <c r="N110" s="2" t="str">
        <f>J235</f>
        <v>The New Saints</v>
      </c>
      <c r="O110" s="2" t="str">
        <f>J236</f>
        <v>Bala Town</v>
      </c>
      <c r="P110" s="2" t="str">
        <f>J237</f>
        <v>Connah's Quay Nomads</v>
      </c>
      <c r="Q110" s="2" t="str">
        <f>J238</f>
        <v>Barry Town United</v>
      </c>
      <c r="U110" s="23">
        <f>COUNTA(N110:T110)</f>
        <v>4</v>
      </c>
      <c r="V110" s="24">
        <f>SUM(N111:T111)</f>
        <v>5.7474999999999996</v>
      </c>
    </row>
    <row r="111" spans="2:22" ht="12.3" x14ac:dyDescent="0.4">
      <c r="B111" s="2"/>
      <c r="C111" s="2"/>
      <c r="D111" s="2"/>
      <c r="E111" s="7"/>
      <c r="F111" s="14"/>
      <c r="G111" s="2" t="str">
        <f>'Overall Rankings'!BM112</f>
        <v>Kolos Kovalivka</v>
      </c>
      <c r="H111" s="7">
        <f>'Overall Rankings'!BN112</f>
        <v>3.0262500000000001</v>
      </c>
      <c r="I111" s="2" t="str">
        <f>'Overall Rankings'!BS112</f>
        <v>Ukraine</v>
      </c>
      <c r="J111" s="2" t="s">
        <v>129</v>
      </c>
      <c r="K111" s="7">
        <v>4.2046874999999995</v>
      </c>
      <c r="L111" s="2" t="s">
        <v>68</v>
      </c>
      <c r="M111" s="3" t="s">
        <v>322</v>
      </c>
      <c r="N111" s="7">
        <f>K235</f>
        <v>2.3112499999999998</v>
      </c>
      <c r="O111" s="7">
        <f>K236</f>
        <v>2.0287500000000001</v>
      </c>
      <c r="P111" s="7">
        <f>K237</f>
        <v>1.2774999999999999</v>
      </c>
      <c r="Q111" s="7">
        <f>K238</f>
        <v>0.12999999999999998</v>
      </c>
      <c r="U111" s="22"/>
      <c r="V111" s="25"/>
    </row>
    <row r="112" spans="2:22" ht="12.3" x14ac:dyDescent="0.4">
      <c r="B112" s="2"/>
      <c r="C112" s="2"/>
      <c r="D112" s="2"/>
      <c r="E112" s="7"/>
      <c r="F112" s="14"/>
      <c r="G112" s="2" t="str">
        <f>'Overall Rankings'!BM113</f>
        <v>Bodø/Glimt</v>
      </c>
      <c r="H112" s="7">
        <f>'Overall Rankings'!BN113</f>
        <v>3</v>
      </c>
      <c r="I112" s="2" t="str">
        <f>'Overall Rankings'!BS113</f>
        <v>Norway</v>
      </c>
      <c r="J112" s="2" t="s">
        <v>288</v>
      </c>
      <c r="K112" s="7">
        <v>0.66999999999999993</v>
      </c>
      <c r="L112" s="2" t="s">
        <v>68</v>
      </c>
      <c r="U112" s="17"/>
      <c r="V112" s="18"/>
    </row>
    <row r="113" spans="2:22" ht="12.3" x14ac:dyDescent="0.4">
      <c r="B113" s="2"/>
      <c r="C113" s="2"/>
      <c r="D113" s="2"/>
      <c r="E113" s="7"/>
      <c r="F113" s="14"/>
      <c r="G113" s="2" t="str">
        <f>'Overall Rankings'!BM114</f>
        <v>Apollon Limassol</v>
      </c>
      <c r="H113" s="7">
        <f>'Overall Rankings'!BN114</f>
        <v>2.9670833333333335</v>
      </c>
      <c r="I113" s="2" t="str">
        <f>'Overall Rankings'!BS114</f>
        <v>Cyprus</v>
      </c>
      <c r="J113" s="2" t="s">
        <v>32</v>
      </c>
      <c r="K113" s="7">
        <v>12.489531249999999</v>
      </c>
      <c r="L113" s="2" t="s">
        <v>33</v>
      </c>
      <c r="U113" s="17"/>
      <c r="V113" s="18"/>
    </row>
    <row r="114" spans="2:22" ht="12.3" x14ac:dyDescent="0.4">
      <c r="B114" s="2"/>
      <c r="C114" s="2"/>
      <c r="D114" s="2"/>
      <c r="E114" s="7"/>
      <c r="F114" s="14"/>
      <c r="G114" s="2" t="str">
        <f>'Overall Rankings'!BM115</f>
        <v>Partizan</v>
      </c>
      <c r="H114" s="7">
        <f>'Overall Rankings'!BN115</f>
        <v>2.9583333333333335</v>
      </c>
      <c r="I114" s="2" t="str">
        <f>'Overall Rankings'!BS115</f>
        <v>Serbia</v>
      </c>
      <c r="J114" s="2" t="s">
        <v>37</v>
      </c>
      <c r="K114" s="7">
        <v>11.729531249999999</v>
      </c>
      <c r="L114" s="2" t="s">
        <v>33</v>
      </c>
      <c r="U114" s="17"/>
      <c r="V114" s="18"/>
    </row>
    <row r="115" spans="2:22" ht="12.3" x14ac:dyDescent="0.4">
      <c r="B115" s="2"/>
      <c r="C115" s="2"/>
      <c r="D115" s="2"/>
      <c r="E115" s="7"/>
      <c r="F115" s="14"/>
      <c r="G115" s="2" t="str">
        <f>'Overall Rankings'!BM116</f>
        <v>Celje</v>
      </c>
      <c r="H115" s="7">
        <f>'Overall Rankings'!BN116</f>
        <v>2.92875</v>
      </c>
      <c r="I115" s="2" t="str">
        <f>'Overall Rankings'!BS116</f>
        <v>Slovenia</v>
      </c>
      <c r="J115" s="2" t="s">
        <v>38</v>
      </c>
      <c r="K115" s="7">
        <v>11.714062499999999</v>
      </c>
      <c r="L115" s="2" t="s">
        <v>33</v>
      </c>
      <c r="U115" s="17"/>
      <c r="V115" s="18"/>
    </row>
    <row r="116" spans="2:22" ht="12.3" x14ac:dyDescent="0.4">
      <c r="B116" s="2"/>
      <c r="C116" s="2"/>
      <c r="D116" s="2"/>
      <c r="E116" s="7"/>
      <c r="F116" s="14"/>
      <c r="G116" s="2" t="str">
        <f>'Overall Rankings'!BM117</f>
        <v>FCSB</v>
      </c>
      <c r="H116" s="7">
        <f>'Overall Rankings'!BN117</f>
        <v>2.92625</v>
      </c>
      <c r="I116" s="2" t="str">
        <f>'Overall Rankings'!BS117</f>
        <v>Romania</v>
      </c>
      <c r="J116" s="2" t="s">
        <v>49</v>
      </c>
      <c r="K116" s="7">
        <v>10.690982142857143</v>
      </c>
      <c r="L116" s="2" t="s">
        <v>33</v>
      </c>
      <c r="U116" s="17"/>
      <c r="V116" s="18"/>
    </row>
    <row r="117" spans="2:22" ht="12.3" x14ac:dyDescent="0.4">
      <c r="B117" s="2"/>
      <c r="C117" s="2"/>
      <c r="D117" s="2"/>
      <c r="E117" s="7"/>
      <c r="F117" s="14"/>
      <c r="G117" s="2" t="str">
        <f>'Overall Rankings'!BM118</f>
        <v>Sheriff Tiraspol</v>
      </c>
      <c r="H117" s="7">
        <f>'Overall Rankings'!BN118</f>
        <v>2.8725000000000001</v>
      </c>
      <c r="I117" s="2" t="str">
        <f>'Overall Rankings'!BS118</f>
        <v>Moldova</v>
      </c>
      <c r="J117" s="2" t="s">
        <v>71</v>
      </c>
      <c r="K117" s="7">
        <v>8.4235416666666669</v>
      </c>
      <c r="L117" s="2" t="s">
        <v>33</v>
      </c>
      <c r="U117" s="17"/>
      <c r="V117" s="18"/>
    </row>
    <row r="118" spans="2:22" ht="12.3" x14ac:dyDescent="0.4">
      <c r="B118" s="2"/>
      <c r="C118" s="2"/>
      <c r="D118" s="2"/>
      <c r="E118" s="7"/>
      <c r="F118" s="14"/>
      <c r="G118" s="2" t="str">
        <f>'Overall Rankings'!BM119</f>
        <v>Budućnost Podgorica</v>
      </c>
      <c r="H118" s="7">
        <f>'Overall Rankings'!BN119</f>
        <v>2.71</v>
      </c>
      <c r="I118" s="2" t="str">
        <f>'Overall Rankings'!BS119</f>
        <v>Montenegro</v>
      </c>
      <c r="J118" s="2" t="s">
        <v>74</v>
      </c>
      <c r="K118" s="7">
        <v>8.1971153846153832</v>
      </c>
      <c r="L118" s="2" t="s">
        <v>33</v>
      </c>
      <c r="U118" s="17"/>
      <c r="V118" s="18"/>
    </row>
    <row r="119" spans="2:22" ht="12.3" x14ac:dyDescent="0.4">
      <c r="B119" s="2"/>
      <c r="C119" s="2"/>
      <c r="D119" s="2"/>
      <c r="E119" s="7"/>
      <c r="F119" s="14"/>
      <c r="G119" s="2" t="str">
        <f>'Overall Rankings'!BM120</f>
        <v>B36 Tórshavn</v>
      </c>
      <c r="H119" s="7">
        <f>'Overall Rankings'!BN120</f>
        <v>2.6528125</v>
      </c>
      <c r="I119" s="2" t="str">
        <f>'Overall Rankings'!BS120</f>
        <v>Faroe Islands</v>
      </c>
      <c r="J119" s="2" t="s">
        <v>88</v>
      </c>
      <c r="K119" s="7">
        <v>7.2570312499999998</v>
      </c>
      <c r="L119" s="2" t="s">
        <v>33</v>
      </c>
      <c r="U119" s="17"/>
      <c r="V119" s="18"/>
    </row>
    <row r="120" spans="2:22" ht="12.3" x14ac:dyDescent="0.4">
      <c r="B120" s="2"/>
      <c r="C120" s="2"/>
      <c r="D120" s="2"/>
      <c r="E120" s="7"/>
      <c r="F120" s="14"/>
      <c r="G120" s="2" t="str">
        <f>'Overall Rankings'!BM121</f>
        <v>Hajduk Split</v>
      </c>
      <c r="H120" s="7">
        <f>'Overall Rankings'!BN121</f>
        <v>2.649375</v>
      </c>
      <c r="I120" s="2" t="str">
        <f>'Overall Rankings'!BS121</f>
        <v>Croatia</v>
      </c>
      <c r="J120" s="2" t="s">
        <v>211</v>
      </c>
      <c r="K120" s="7">
        <v>2.0787500000000003</v>
      </c>
      <c r="L120" s="2" t="s">
        <v>212</v>
      </c>
      <c r="U120" s="17"/>
      <c r="V120" s="18"/>
    </row>
    <row r="121" spans="2:22" ht="12.3" x14ac:dyDescent="0.4">
      <c r="B121" s="2"/>
      <c r="C121" s="2"/>
      <c r="D121" s="2"/>
      <c r="E121" s="7"/>
      <c r="F121" s="14"/>
      <c r="G121" s="2" t="str">
        <f>'Overall Rankings'!BM122</f>
        <v>Sūduva</v>
      </c>
      <c r="H121" s="7">
        <f>'Overall Rankings'!BN122</f>
        <v>2.5216666666666665</v>
      </c>
      <c r="I121" s="2" t="str">
        <f>'Overall Rankings'!BS122</f>
        <v>Lithuania</v>
      </c>
      <c r="J121" s="2" t="s">
        <v>240</v>
      </c>
      <c r="K121" s="7">
        <v>1.2999999999999998</v>
      </c>
      <c r="L121" s="2" t="s">
        <v>212</v>
      </c>
      <c r="U121" s="17"/>
      <c r="V121" s="18"/>
    </row>
    <row r="122" spans="2:22" ht="12.3" x14ac:dyDescent="0.4">
      <c r="B122" s="2"/>
      <c r="C122" s="2"/>
      <c r="D122" s="2"/>
      <c r="E122" s="7"/>
      <c r="F122" s="14"/>
      <c r="G122" s="2" t="str">
        <f>'Overall Rankings'!BM123</f>
        <v>Drita</v>
      </c>
      <c r="H122" s="7">
        <f>'Overall Rankings'!BN123</f>
        <v>2.5162499999999999</v>
      </c>
      <c r="I122" s="2" t="str">
        <f>'Overall Rankings'!BS123</f>
        <v>Kosovo</v>
      </c>
      <c r="J122" s="2" t="s">
        <v>256</v>
      </c>
      <c r="K122" s="7">
        <v>1.0249999999999999</v>
      </c>
      <c r="L122" s="2" t="s">
        <v>212</v>
      </c>
      <c r="U122" s="17"/>
      <c r="V122" s="18"/>
    </row>
    <row r="123" spans="2:22" ht="12.3" x14ac:dyDescent="0.4">
      <c r="B123" s="2"/>
      <c r="C123" s="2"/>
      <c r="D123" s="2"/>
      <c r="E123" s="7"/>
      <c r="F123" s="14"/>
      <c r="G123" s="2" t="str">
        <f>'Overall Rankings'!BM124</f>
        <v>Willem II</v>
      </c>
      <c r="H123" s="7">
        <f>'Overall Rankings'!BN124</f>
        <v>2.4900000000000002</v>
      </c>
      <c r="I123" s="2" t="str">
        <f>'Overall Rankings'!BS124</f>
        <v>Netherlands</v>
      </c>
      <c r="J123" s="2" t="s">
        <v>265</v>
      </c>
      <c r="K123" s="7">
        <v>0.85499999999999998</v>
      </c>
      <c r="L123" s="2" t="s">
        <v>212</v>
      </c>
      <c r="U123" s="17"/>
      <c r="V123" s="18"/>
    </row>
    <row r="124" spans="2:22" ht="12.3" x14ac:dyDescent="0.4">
      <c r="B124" s="2"/>
      <c r="C124" s="2"/>
      <c r="D124" s="2"/>
      <c r="E124" s="7"/>
      <c r="F124" s="14"/>
      <c r="G124" s="2" t="str">
        <f>'Overall Rankings'!BM125</f>
        <v>Servette</v>
      </c>
      <c r="H124" s="7">
        <f>'Overall Rankings'!BN125</f>
        <v>2.4531249999999996</v>
      </c>
      <c r="I124" s="2" t="str">
        <f>'Overall Rankings'!BS125</f>
        <v>Switzerland</v>
      </c>
      <c r="J124" s="2" t="s">
        <v>180</v>
      </c>
      <c r="K124" s="7">
        <v>2.5162499999999999</v>
      </c>
      <c r="L124" s="2" t="s">
        <v>181</v>
      </c>
      <c r="U124" s="17"/>
      <c r="V124" s="18"/>
    </row>
    <row r="125" spans="2:22" ht="12.3" x14ac:dyDescent="0.4">
      <c r="B125" s="2"/>
      <c r="C125" s="2"/>
      <c r="D125" s="2"/>
      <c r="E125" s="7"/>
      <c r="F125" s="14"/>
      <c r="G125" s="2" t="str">
        <f>'Overall Rankings'!BM126</f>
        <v>Motherwell</v>
      </c>
      <c r="H125" s="7">
        <f>'Overall Rankings'!BN126</f>
        <v>2.415</v>
      </c>
      <c r="I125" s="2" t="str">
        <f>'Overall Rankings'!BS126</f>
        <v>Scotland</v>
      </c>
      <c r="J125" s="2" t="s">
        <v>231</v>
      </c>
      <c r="K125" s="7">
        <v>1.4887499999999998</v>
      </c>
      <c r="L125" s="2" t="s">
        <v>181</v>
      </c>
      <c r="U125" s="17"/>
      <c r="V125" s="18"/>
    </row>
    <row r="126" spans="2:22" ht="12.3" x14ac:dyDescent="0.4">
      <c r="B126" s="2"/>
      <c r="C126" s="2"/>
      <c r="D126" s="2"/>
      <c r="E126" s="7"/>
      <c r="F126" s="14"/>
      <c r="G126" s="2" t="str">
        <f>'Overall Rankings'!BM127</f>
        <v>Beşiktaş</v>
      </c>
      <c r="H126" s="7">
        <f>'Overall Rankings'!BN127</f>
        <v>2.3949999999999996</v>
      </c>
      <c r="I126" s="2" t="str">
        <f>'Overall Rankings'!BS127</f>
        <v>Turkey</v>
      </c>
      <c r="J126" s="2" t="s">
        <v>307</v>
      </c>
      <c r="K126" s="7">
        <v>0.24499999999999997</v>
      </c>
      <c r="L126" s="2" t="s">
        <v>181</v>
      </c>
      <c r="U126" s="17"/>
      <c r="V126" s="18"/>
    </row>
    <row r="127" spans="2:22" ht="12.3" x14ac:dyDescent="0.4">
      <c r="B127" s="2"/>
      <c r="C127" s="2"/>
      <c r="D127" s="2"/>
      <c r="E127" s="7"/>
      <c r="F127" s="14"/>
      <c r="G127" s="2" t="str">
        <f>'Overall Rankings'!BM128</f>
        <v>Botoșani</v>
      </c>
      <c r="H127" s="7">
        <f>'Overall Rankings'!BN128</f>
        <v>2.38375</v>
      </c>
      <c r="I127" s="2" t="str">
        <f>'Overall Rankings'!BS128</f>
        <v>Romania</v>
      </c>
      <c r="J127" s="2" t="s">
        <v>188</v>
      </c>
      <c r="K127" s="7">
        <v>2.3537499999999998</v>
      </c>
      <c r="L127" s="2" t="s">
        <v>189</v>
      </c>
      <c r="U127" s="17"/>
      <c r="V127" s="18"/>
    </row>
    <row r="128" spans="2:22" ht="12.3" x14ac:dyDescent="0.4">
      <c r="B128" s="2"/>
      <c r="C128" s="2"/>
      <c r="D128" s="2"/>
      <c r="E128" s="7"/>
      <c r="F128" s="14"/>
      <c r="G128" s="2" t="str">
        <f>'Overall Rankings'!BM129</f>
        <v>Djurgårdens IF</v>
      </c>
      <c r="H128" s="7">
        <f>'Overall Rankings'!BN129</f>
        <v>2.3587500000000001</v>
      </c>
      <c r="I128" s="2" t="str">
        <f>'Overall Rankings'!BS129</f>
        <v>Sweden</v>
      </c>
      <c r="J128" s="2" t="s">
        <v>217</v>
      </c>
      <c r="K128" s="7">
        <v>2.0037499999999997</v>
      </c>
      <c r="L128" s="2" t="s">
        <v>189</v>
      </c>
      <c r="U128" s="17"/>
      <c r="V128" s="18"/>
    </row>
    <row r="129" spans="2:22" ht="12.3" x14ac:dyDescent="0.4">
      <c r="B129" s="2"/>
      <c r="C129" s="2"/>
      <c r="D129" s="2"/>
      <c r="E129" s="7"/>
      <c r="F129" s="14"/>
      <c r="G129" s="2" t="str">
        <f>'Overall Rankings'!BM130</f>
        <v>Riga</v>
      </c>
      <c r="H129" s="7">
        <f>'Overall Rankings'!BN130</f>
        <v>2.3537499999999998</v>
      </c>
      <c r="I129" s="2" t="str">
        <f>'Overall Rankings'!BS130</f>
        <v>Latvia</v>
      </c>
      <c r="J129" s="2" t="s">
        <v>258</v>
      </c>
      <c r="K129" s="7">
        <v>0.97500000000000009</v>
      </c>
      <c r="L129" s="2" t="s">
        <v>189</v>
      </c>
      <c r="U129" s="17"/>
      <c r="V129" s="18"/>
    </row>
    <row r="130" spans="2:22" ht="12.3" x14ac:dyDescent="0.4">
      <c r="B130" s="2"/>
      <c r="C130" s="2"/>
      <c r="D130" s="2"/>
      <c r="E130" s="7"/>
      <c r="F130" s="14"/>
      <c r="G130" s="2" t="str">
        <f>'Overall Rankings'!BM131</f>
        <v>Floriana</v>
      </c>
      <c r="H130" s="7">
        <f>'Overall Rankings'!BN131</f>
        <v>2.3433333333333333</v>
      </c>
      <c r="I130" s="2" t="str">
        <f>'Overall Rankings'!BS131</f>
        <v>Malta</v>
      </c>
      <c r="J130" s="2" t="s">
        <v>290</v>
      </c>
      <c r="K130" s="7">
        <v>0.66500000000000004</v>
      </c>
      <c r="L130" s="2" t="s">
        <v>189</v>
      </c>
      <c r="U130" s="17"/>
      <c r="V130" s="18"/>
    </row>
    <row r="131" spans="2:22" ht="12.3" x14ac:dyDescent="0.4">
      <c r="B131" s="2"/>
      <c r="C131" s="2"/>
      <c r="D131" s="2"/>
      <c r="E131" s="7"/>
      <c r="F131" s="14"/>
      <c r="G131" s="2" t="str">
        <f>'Overall Rankings'!BM132</f>
        <v>Teuta</v>
      </c>
      <c r="H131" s="7">
        <f>'Overall Rankings'!BN132</f>
        <v>2.32375</v>
      </c>
      <c r="I131" s="2" t="str">
        <f>'Overall Rankings'!BS132</f>
        <v>Albania</v>
      </c>
      <c r="J131" s="2" t="s">
        <v>296</v>
      </c>
      <c r="K131" s="7">
        <v>0.58000000000000007</v>
      </c>
      <c r="L131" s="2" t="s">
        <v>297</v>
      </c>
      <c r="U131" s="17"/>
      <c r="V131" s="18"/>
    </row>
    <row r="132" spans="2:22" ht="12.3" x14ac:dyDescent="0.4">
      <c r="B132" s="2"/>
      <c r="C132" s="2"/>
      <c r="D132" s="2"/>
      <c r="E132" s="7"/>
      <c r="F132" s="14"/>
      <c r="G132" s="2" t="str">
        <f>'Overall Rankings'!BM133</f>
        <v>The New Saints</v>
      </c>
      <c r="H132" s="7">
        <f>'Overall Rankings'!BN133</f>
        <v>2.3112499999999998</v>
      </c>
      <c r="I132" s="2" t="str">
        <f>'Overall Rankings'!BS133</f>
        <v>Wales</v>
      </c>
      <c r="J132" s="2" t="s">
        <v>178</v>
      </c>
      <c r="K132" s="7">
        <v>2.5216666666666665</v>
      </c>
      <c r="L132" s="2" t="s">
        <v>179</v>
      </c>
      <c r="U132" s="17"/>
      <c r="V132" s="18"/>
    </row>
    <row r="133" spans="2:22" ht="12.3" x14ac:dyDescent="0.4">
      <c r="B133" s="2"/>
      <c r="C133" s="2"/>
      <c r="D133" s="2"/>
      <c r="E133" s="7"/>
      <c r="F133" s="14"/>
      <c r="G133" s="2" t="str">
        <f>'Overall Rankings'!BM134</f>
        <v>Sfîntul Gheorghe</v>
      </c>
      <c r="H133" s="7">
        <f>'Overall Rankings'!BN134</f>
        <v>2.2850000000000001</v>
      </c>
      <c r="I133" s="2" t="str">
        <f>'Overall Rankings'!BS134</f>
        <v>Moldova</v>
      </c>
      <c r="J133" s="2" t="s">
        <v>218</v>
      </c>
      <c r="K133" s="7">
        <v>2.0024999999999999</v>
      </c>
      <c r="L133" s="2" t="s">
        <v>179</v>
      </c>
      <c r="U133" s="17"/>
      <c r="V133" s="18"/>
    </row>
    <row r="134" spans="2:22" ht="12.3" x14ac:dyDescent="0.4">
      <c r="B134" s="2"/>
      <c r="C134" s="2"/>
      <c r="D134" s="2"/>
      <c r="E134" s="7"/>
      <c r="F134" s="14"/>
      <c r="G134" s="2" t="str">
        <f>'Overall Rankings'!BM135</f>
        <v>TSC Bačka Topola</v>
      </c>
      <c r="H134" s="7">
        <f>'Overall Rankings'!BN135</f>
        <v>2.2837499999999995</v>
      </c>
      <c r="I134" s="2" t="str">
        <f>'Overall Rankings'!BS135</f>
        <v>Serbia</v>
      </c>
      <c r="J134" s="2" t="s">
        <v>221</v>
      </c>
      <c r="K134" s="7">
        <v>1.9387500000000002</v>
      </c>
      <c r="L134" s="2" t="s">
        <v>179</v>
      </c>
      <c r="U134" s="17"/>
      <c r="V134" s="18"/>
    </row>
    <row r="135" spans="2:22" ht="12.3" x14ac:dyDescent="0.4">
      <c r="B135" s="2"/>
      <c r="C135" s="2"/>
      <c r="D135" s="2"/>
      <c r="E135" s="7"/>
      <c r="F135" s="14"/>
      <c r="G135" s="2" t="str">
        <f>'Overall Rankings'!BM136</f>
        <v>Coleraine</v>
      </c>
      <c r="H135" s="7">
        <f>'Overall Rankings'!BN136</f>
        <v>2.2308333333333334</v>
      </c>
      <c r="I135" s="2" t="str">
        <f>'Overall Rankings'!BS136</f>
        <v>Northern Ireland</v>
      </c>
      <c r="J135" s="2" t="s">
        <v>304</v>
      </c>
      <c r="K135" s="7">
        <v>0.435</v>
      </c>
      <c r="L135" s="2" t="s">
        <v>179</v>
      </c>
      <c r="U135" s="17"/>
      <c r="V135" s="18"/>
    </row>
    <row r="136" spans="2:22" ht="12.3" x14ac:dyDescent="0.4">
      <c r="B136" s="2"/>
      <c r="C136" s="2"/>
      <c r="D136" s="2"/>
      <c r="E136" s="7"/>
      <c r="F136" s="14"/>
      <c r="G136" s="2" t="str">
        <f>'Overall Rankings'!BM137</f>
        <v>Kukësi</v>
      </c>
      <c r="H136" s="7">
        <f>'Overall Rankings'!BN137</f>
        <v>2.223125</v>
      </c>
      <c r="I136" s="2" t="str">
        <f>'Overall Rankings'!BS137</f>
        <v>Albania</v>
      </c>
      <c r="J136" s="2" t="s">
        <v>224</v>
      </c>
      <c r="K136" s="7">
        <v>1.7625000000000002</v>
      </c>
      <c r="L136" s="2" t="s">
        <v>225</v>
      </c>
      <c r="U136" s="17"/>
      <c r="V136" s="18"/>
    </row>
    <row r="137" spans="2:22" ht="12.3" x14ac:dyDescent="0.4">
      <c r="B137" s="2"/>
      <c r="C137" s="2"/>
      <c r="D137" s="2"/>
      <c r="E137" s="7"/>
      <c r="F137" s="14"/>
      <c r="G137" s="2" t="str">
        <f>'Overall Rankings'!BM138</f>
        <v>Hammarby IF</v>
      </c>
      <c r="H137" s="7">
        <f>'Overall Rankings'!BN138</f>
        <v>2.2043749999999998</v>
      </c>
      <c r="I137" s="2" t="str">
        <f>'Overall Rankings'!BS138</f>
        <v>Sweden</v>
      </c>
      <c r="J137" s="2" t="s">
        <v>238</v>
      </c>
      <c r="K137" s="7">
        <v>1.3174999999999999</v>
      </c>
      <c r="L137" s="2" t="s">
        <v>225</v>
      </c>
      <c r="U137" s="17"/>
      <c r="V137" s="18"/>
    </row>
    <row r="138" spans="2:22" ht="12.3" x14ac:dyDescent="0.4">
      <c r="B138" s="2"/>
      <c r="C138" s="2"/>
      <c r="D138" s="2"/>
      <c r="E138" s="7"/>
      <c r="F138" s="14"/>
      <c r="G138" s="2" t="str">
        <f>'Overall Rankings'!BM139</f>
        <v>Olimpija Ljubljana</v>
      </c>
      <c r="H138" s="7">
        <f>'Overall Rankings'!BN139</f>
        <v>2.2043749999999998</v>
      </c>
      <c r="I138" s="2" t="str">
        <f>'Overall Rankings'!BS139</f>
        <v>Slovenia</v>
      </c>
      <c r="J138" s="2" t="s">
        <v>268</v>
      </c>
      <c r="K138" s="7">
        <v>0.82499999999999996</v>
      </c>
      <c r="L138" s="2" t="s">
        <v>225</v>
      </c>
      <c r="U138" s="17"/>
      <c r="V138" s="18"/>
    </row>
    <row r="139" spans="2:22" ht="12.3" x14ac:dyDescent="0.4">
      <c r="B139" s="2"/>
      <c r="C139" s="2"/>
      <c r="D139" s="2"/>
      <c r="E139" s="7"/>
      <c r="F139" s="14"/>
      <c r="G139" s="2" t="str">
        <f>'Overall Rankings'!BM140</f>
        <v>Neftçi Baku</v>
      </c>
      <c r="H139" s="7">
        <f>'Overall Rankings'!BN140</f>
        <v>2.1787499999999995</v>
      </c>
      <c r="I139" s="2" t="str">
        <f>'Overall Rankings'!BS140</f>
        <v>Azerbaijan</v>
      </c>
      <c r="J139" s="2" t="s">
        <v>299</v>
      </c>
      <c r="K139" s="7">
        <v>0.52</v>
      </c>
      <c r="L139" s="2" t="s">
        <v>225</v>
      </c>
      <c r="U139" s="17"/>
      <c r="V139" s="18"/>
    </row>
    <row r="140" spans="2:22" ht="12.3" x14ac:dyDescent="0.4">
      <c r="B140" s="2"/>
      <c r="C140" s="2"/>
      <c r="D140" s="2"/>
      <c r="E140" s="7"/>
      <c r="F140" s="14"/>
      <c r="G140" s="2" t="str">
        <f>'Overall Rankings'!BM141</f>
        <v>Dinamo Tbilisi</v>
      </c>
      <c r="H140" s="7">
        <f>'Overall Rankings'!BN141</f>
        <v>2.1533333333333333</v>
      </c>
      <c r="I140" s="2" t="str">
        <f>'Overall Rankings'!BS141</f>
        <v>Georgia</v>
      </c>
      <c r="J140" s="2" t="s">
        <v>190</v>
      </c>
      <c r="K140" s="7">
        <v>2.3433333333333333</v>
      </c>
      <c r="L140" s="2" t="s">
        <v>191</v>
      </c>
      <c r="U140" s="17"/>
      <c r="V140" s="18"/>
    </row>
    <row r="141" spans="2:22" ht="12.3" x14ac:dyDescent="0.4">
      <c r="B141" s="2"/>
      <c r="C141" s="2"/>
      <c r="D141" s="2"/>
      <c r="E141" s="7"/>
      <c r="F141" s="14"/>
      <c r="G141" s="2" t="str">
        <f>'Overall Rankings'!BM142</f>
        <v>Laçi</v>
      </c>
      <c r="H141" s="7">
        <f>'Overall Rankings'!BN142</f>
        <v>2.1524999999999999</v>
      </c>
      <c r="I141" s="2" t="str">
        <f>'Overall Rankings'!BS142</f>
        <v>Albania</v>
      </c>
      <c r="J141" s="2" t="s">
        <v>206</v>
      </c>
      <c r="K141" s="7">
        <v>2.1</v>
      </c>
      <c r="L141" s="2" t="s">
        <v>191</v>
      </c>
      <c r="U141" s="17"/>
      <c r="V141" s="18"/>
    </row>
    <row r="142" spans="2:22" ht="12.3" x14ac:dyDescent="0.4">
      <c r="B142" s="2"/>
      <c r="C142" s="2"/>
      <c r="D142" s="2"/>
      <c r="E142" s="7"/>
      <c r="F142" s="14"/>
      <c r="G142" s="2" t="str">
        <f>'Overall Rankings'!BM143</f>
        <v>Honvéd</v>
      </c>
      <c r="H142" s="7">
        <f>'Overall Rankings'!BN143</f>
        <v>2.118125</v>
      </c>
      <c r="I142" s="2" t="str">
        <f>'Overall Rankings'!BS143</f>
        <v>Hungary</v>
      </c>
      <c r="J142" s="2" t="s">
        <v>264</v>
      </c>
      <c r="K142" s="7">
        <v>0.88500000000000001</v>
      </c>
      <c r="L142" s="2" t="s">
        <v>191</v>
      </c>
      <c r="U142" s="17"/>
      <c r="V142" s="18"/>
    </row>
    <row r="143" spans="2:22" ht="12.3" x14ac:dyDescent="0.4">
      <c r="B143" s="2"/>
      <c r="C143" s="2"/>
      <c r="D143" s="2"/>
      <c r="E143" s="7"/>
      <c r="F143" s="14"/>
      <c r="G143" s="2" t="str">
        <f>'Overall Rankings'!BM144</f>
        <v>Hibernians</v>
      </c>
      <c r="H143" s="7">
        <f>'Overall Rankings'!BN144</f>
        <v>2.1</v>
      </c>
      <c r="I143" s="2" t="str">
        <f>'Overall Rankings'!BS144</f>
        <v>Malta</v>
      </c>
      <c r="J143" s="2" t="s">
        <v>287</v>
      </c>
      <c r="K143" s="7">
        <v>0.67500000000000004</v>
      </c>
      <c r="L143" s="2" t="s">
        <v>191</v>
      </c>
      <c r="U143" s="17"/>
      <c r="V143" s="18"/>
    </row>
    <row r="144" spans="2:22" ht="12.3" x14ac:dyDescent="0.4">
      <c r="B144" s="2"/>
      <c r="C144" s="2"/>
      <c r="D144" s="2"/>
      <c r="E144" s="7"/>
      <c r="F144" s="14"/>
      <c r="G144" s="2" t="str">
        <f>'Overall Rankings'!BM145</f>
        <v>Linfield</v>
      </c>
      <c r="H144" s="7">
        <f>'Overall Rankings'!BN145</f>
        <v>2.0959374999999998</v>
      </c>
      <c r="I144" s="2" t="str">
        <f>'Overall Rankings'!BS145</f>
        <v>Northern Ireland</v>
      </c>
      <c r="J144" s="2" t="s">
        <v>172</v>
      </c>
      <c r="K144" s="7">
        <v>2.8725000000000001</v>
      </c>
      <c r="L144" s="2" t="s">
        <v>173</v>
      </c>
      <c r="U144" s="17"/>
      <c r="V144" s="18"/>
    </row>
    <row r="145" spans="2:22" ht="12.3" x14ac:dyDescent="0.4">
      <c r="B145" s="2"/>
      <c r="C145" s="2"/>
      <c r="D145" s="2"/>
      <c r="E145" s="7"/>
      <c r="F145" s="14"/>
      <c r="G145" s="2" t="str">
        <f>'Overall Rankings'!BM146</f>
        <v>Lokomotiva</v>
      </c>
      <c r="H145" s="7">
        <f>'Overall Rankings'!BN146</f>
        <v>2.0949999999999998</v>
      </c>
      <c r="I145" s="2" t="str">
        <f>'Overall Rankings'!BS146</f>
        <v>Croatia</v>
      </c>
      <c r="J145" s="2" t="s">
        <v>195</v>
      </c>
      <c r="K145" s="7">
        <v>2.2850000000000001</v>
      </c>
      <c r="L145" s="2" t="s">
        <v>173</v>
      </c>
      <c r="U145" s="17"/>
      <c r="V145" s="18"/>
    </row>
    <row r="146" spans="2:22" ht="12.3" x14ac:dyDescent="0.4">
      <c r="B146" s="2"/>
      <c r="C146" s="2"/>
      <c r="D146" s="2"/>
      <c r="E146" s="7"/>
      <c r="F146" s="14"/>
      <c r="G146" s="2" t="str">
        <f>'Overall Rankings'!BM147</f>
        <v>Lincoln Red Imps</v>
      </c>
      <c r="H146" s="7">
        <f>'Overall Rankings'!BN147</f>
        <v>2.0908333333333329</v>
      </c>
      <c r="I146" s="2" t="str">
        <f>'Overall Rankings'!BS147</f>
        <v>Gibraltar</v>
      </c>
      <c r="J146" s="2" t="s">
        <v>267</v>
      </c>
      <c r="K146" s="7">
        <v>0.83000000000000007</v>
      </c>
      <c r="L146" s="2" t="s">
        <v>173</v>
      </c>
      <c r="U146" s="17"/>
      <c r="V146" s="18"/>
    </row>
    <row r="147" spans="2:22" ht="12.3" x14ac:dyDescent="0.4">
      <c r="B147" s="2"/>
      <c r="C147" s="2"/>
      <c r="D147" s="2"/>
      <c r="E147" s="7"/>
      <c r="F147" s="14"/>
      <c r="G147" s="2" t="str">
        <f>'Overall Rankings'!BM148</f>
        <v>Kairat</v>
      </c>
      <c r="H147" s="7">
        <f>'Overall Rankings'!BN148</f>
        <v>2.0787500000000003</v>
      </c>
      <c r="I147" s="2" t="str">
        <f>'Overall Rankings'!BS148</f>
        <v>Kazakhstan</v>
      </c>
      <c r="J147" s="2" t="s">
        <v>279</v>
      </c>
      <c r="K147" s="7">
        <v>0.7350000000000001</v>
      </c>
      <c r="L147" s="2" t="s">
        <v>173</v>
      </c>
      <c r="U147" s="17"/>
      <c r="V147" s="18"/>
    </row>
    <row r="148" spans="2:22" ht="12.3" x14ac:dyDescent="0.4">
      <c r="B148" s="2"/>
      <c r="C148" s="2"/>
      <c r="D148" s="2"/>
      <c r="E148" s="7"/>
      <c r="F148" s="14"/>
      <c r="G148" s="2" t="str">
        <f>'Overall Rankings'!BM149</f>
        <v>Renova</v>
      </c>
      <c r="H148" s="7">
        <f>'Overall Rankings'!BN149</f>
        <v>2.0562499999999999</v>
      </c>
      <c r="I148" s="2" t="str">
        <f>'Overall Rankings'!BS149</f>
        <v>North Macedonia</v>
      </c>
      <c r="J148" s="2" t="s">
        <v>174</v>
      </c>
      <c r="K148" s="7">
        <v>2.71</v>
      </c>
      <c r="L148" s="2" t="s">
        <v>175</v>
      </c>
      <c r="U148" s="17"/>
      <c r="V148" s="18"/>
    </row>
    <row r="149" spans="2:22" ht="12.3" x14ac:dyDescent="0.4">
      <c r="B149" s="2"/>
      <c r="C149" s="2"/>
      <c r="D149" s="2"/>
      <c r="E149" s="7"/>
      <c r="F149" s="14"/>
      <c r="G149" s="2" t="str">
        <f>'Overall Rankings'!BM150</f>
        <v>AGF</v>
      </c>
      <c r="H149" s="7">
        <f>'Overall Rankings'!BN150</f>
        <v>2.038125</v>
      </c>
      <c r="I149" s="2" t="str">
        <f>'Overall Rankings'!BS150</f>
        <v>Denmark</v>
      </c>
      <c r="J149" s="2" t="s">
        <v>234</v>
      </c>
      <c r="K149" s="7">
        <v>1.375</v>
      </c>
      <c r="L149" s="2" t="s">
        <v>175</v>
      </c>
      <c r="U149" s="17"/>
      <c r="V149" s="18"/>
    </row>
    <row r="150" spans="2:22" ht="12.3" x14ac:dyDescent="0.4">
      <c r="B150" s="2"/>
      <c r="C150" s="2"/>
      <c r="D150" s="2"/>
      <c r="E150" s="7"/>
      <c r="F150" s="14"/>
      <c r="G150" s="2" t="str">
        <f>'Overall Rankings'!BM151</f>
        <v>Bala Town</v>
      </c>
      <c r="H150" s="7">
        <f>'Overall Rankings'!BN151</f>
        <v>2.0287500000000001</v>
      </c>
      <c r="I150" s="2" t="str">
        <f>'Overall Rankings'!BS151</f>
        <v>Wales</v>
      </c>
      <c r="J150" s="2" t="s">
        <v>236</v>
      </c>
      <c r="K150" s="7">
        <v>1.3274999999999999</v>
      </c>
      <c r="L150" s="2" t="s">
        <v>175</v>
      </c>
      <c r="U150" s="17"/>
      <c r="V150" s="18"/>
    </row>
    <row r="151" spans="2:22" ht="12.3" x14ac:dyDescent="0.4">
      <c r="B151" s="2"/>
      <c r="C151" s="2"/>
      <c r="D151" s="2"/>
      <c r="E151" s="7"/>
      <c r="F151" s="14"/>
      <c r="G151" s="2" t="str">
        <f>'Overall Rankings'!BM152</f>
        <v>Lokomotiv Plovdiv</v>
      </c>
      <c r="H151" s="7">
        <f>'Overall Rankings'!BN152</f>
        <v>2.0131250000000001</v>
      </c>
      <c r="I151" s="2" t="str">
        <f>'Overall Rankings'!BS152</f>
        <v>Bulgaria</v>
      </c>
      <c r="J151" s="2" t="s">
        <v>278</v>
      </c>
      <c r="K151" s="7">
        <v>0.74499999999999988</v>
      </c>
      <c r="L151" s="2" t="s">
        <v>175</v>
      </c>
      <c r="U151" s="17"/>
      <c r="V151" s="18"/>
    </row>
    <row r="152" spans="2:22" ht="12.3" x14ac:dyDescent="0.4">
      <c r="B152" s="2"/>
      <c r="C152" s="2"/>
      <c r="D152" s="2"/>
      <c r="E152" s="7"/>
      <c r="F152" s="14"/>
      <c r="G152" s="2" t="str">
        <f>'Overall Rankings'!BM153</f>
        <v>Ventspils</v>
      </c>
      <c r="H152" s="7">
        <f>'Overall Rankings'!BN153</f>
        <v>2.0037499999999997</v>
      </c>
      <c r="I152" s="2" t="str">
        <f>'Overall Rankings'!BS153</f>
        <v>Latvia</v>
      </c>
      <c r="J152" s="2" t="s">
        <v>30</v>
      </c>
      <c r="K152" s="7">
        <v>12.506979166666666</v>
      </c>
      <c r="L152" s="2" t="s">
        <v>31</v>
      </c>
      <c r="U152" s="17"/>
      <c r="V152" s="18"/>
    </row>
    <row r="153" spans="2:22" ht="12.3" x14ac:dyDescent="0.4">
      <c r="B153" s="2"/>
      <c r="C153" s="2"/>
      <c r="D153" s="2"/>
      <c r="E153" s="7"/>
      <c r="F153" s="14"/>
      <c r="G153" s="2" t="str">
        <f>'Overall Rankings'!BM154</f>
        <v>Riteriai</v>
      </c>
      <c r="H153" s="7">
        <f>'Overall Rankings'!BN154</f>
        <v>2.0024999999999999</v>
      </c>
      <c r="I153" s="2" t="str">
        <f>'Overall Rankings'!BS154</f>
        <v>Lithuania</v>
      </c>
      <c r="J153" s="2" t="s">
        <v>85</v>
      </c>
      <c r="K153" s="7">
        <v>7.4055</v>
      </c>
      <c r="L153" s="2" t="s">
        <v>31</v>
      </c>
      <c r="U153" s="17"/>
      <c r="V153" s="18"/>
    </row>
    <row r="154" spans="2:22" ht="12.3" x14ac:dyDescent="0.4">
      <c r="B154" s="2"/>
      <c r="C154" s="2"/>
      <c r="D154" s="2"/>
      <c r="E154" s="7"/>
      <c r="F154" s="14"/>
      <c r="G154" s="2" t="str">
        <f>'Overall Rankings'!BM155</f>
        <v>Shamrock Rovers</v>
      </c>
      <c r="H154" s="7">
        <f>'Overall Rankings'!BN155</f>
        <v>1.9849999999999999</v>
      </c>
      <c r="I154" s="2" t="str">
        <f>'Overall Rankings'!BS155</f>
        <v>Republic of Ireland</v>
      </c>
      <c r="J154" s="2" t="s">
        <v>97</v>
      </c>
      <c r="K154" s="7">
        <v>6.4646875000000001</v>
      </c>
      <c r="L154" s="2" t="s">
        <v>31</v>
      </c>
      <c r="U154" s="17"/>
      <c r="V154" s="18"/>
    </row>
    <row r="155" spans="2:22" ht="12.3" x14ac:dyDescent="0.4">
      <c r="B155" s="2"/>
      <c r="C155" s="2"/>
      <c r="D155" s="2"/>
      <c r="E155" s="7"/>
      <c r="F155" s="14"/>
      <c r="G155" s="2" t="str">
        <f>'Overall Rankings'!BM156</f>
        <v>Borac Banja Luka</v>
      </c>
      <c r="H155" s="7">
        <f>'Overall Rankings'!BN156</f>
        <v>1.9512499999999999</v>
      </c>
      <c r="I155" s="2" t="str">
        <f>'Overall Rankings'!BS156</f>
        <v>Bosnia and Herzegovina</v>
      </c>
      <c r="J155" s="2" t="s">
        <v>118</v>
      </c>
      <c r="K155" s="7">
        <v>4.8345833333333328</v>
      </c>
      <c r="L155" s="2" t="s">
        <v>31</v>
      </c>
      <c r="U155" s="17"/>
      <c r="V155" s="18"/>
    </row>
    <row r="156" spans="2:22" ht="12.3" x14ac:dyDescent="0.4">
      <c r="B156" s="2"/>
      <c r="C156" s="2"/>
      <c r="D156" s="2"/>
      <c r="E156" s="7"/>
      <c r="F156" s="14"/>
      <c r="G156" s="2" t="str">
        <f>'Overall Rankings'!BM157</f>
        <v>Žalgiris</v>
      </c>
      <c r="H156" s="7">
        <f>'Overall Rankings'!BN157</f>
        <v>1.9387500000000002</v>
      </c>
      <c r="I156" s="2" t="str">
        <f>'Overall Rankings'!BS157</f>
        <v>Lithuania</v>
      </c>
      <c r="J156" s="2" t="s">
        <v>182</v>
      </c>
      <c r="K156" s="7">
        <v>2.4900000000000002</v>
      </c>
      <c r="L156" s="2" t="s">
        <v>31</v>
      </c>
      <c r="U156" s="17"/>
      <c r="V156" s="18"/>
    </row>
    <row r="157" spans="2:22" ht="12.3" x14ac:dyDescent="0.4">
      <c r="B157" s="2"/>
      <c r="C157" s="2"/>
      <c r="D157" s="2"/>
      <c r="E157" s="7"/>
      <c r="F157" s="14"/>
      <c r="G157" s="2" t="str">
        <f>'Overall Rankings'!BM158</f>
        <v>Vojvodina</v>
      </c>
      <c r="H157" s="7">
        <f>'Overall Rankings'!BN158</f>
        <v>1.8050000000000002</v>
      </c>
      <c r="I157" s="2" t="str">
        <f>'Overall Rankings'!BS158</f>
        <v>Serbia</v>
      </c>
      <c r="J157" s="2" t="s">
        <v>156</v>
      </c>
      <c r="K157" s="7">
        <v>3.2175000000000002</v>
      </c>
      <c r="L157" s="2" t="s">
        <v>157</v>
      </c>
      <c r="U157" s="17"/>
      <c r="V157" s="18"/>
    </row>
    <row r="158" spans="2:22" ht="12.3" x14ac:dyDescent="0.4">
      <c r="B158" s="2"/>
      <c r="C158" s="2"/>
      <c r="D158" s="2"/>
      <c r="E158" s="7"/>
      <c r="F158" s="14"/>
      <c r="G158" s="2" t="str">
        <f>'Overall Rankings'!BM159</f>
        <v>St. Gallen</v>
      </c>
      <c r="H158" s="7">
        <f>'Overall Rankings'!BN159</f>
        <v>1.7650000000000001</v>
      </c>
      <c r="I158" s="2" t="str">
        <f>'Overall Rankings'!BS159</f>
        <v>Switzerland</v>
      </c>
      <c r="J158" s="2" t="s">
        <v>213</v>
      </c>
      <c r="K158" s="7">
        <v>2.0562499999999999</v>
      </c>
      <c r="L158" s="2" t="s">
        <v>157</v>
      </c>
      <c r="U158" s="17"/>
      <c r="V158" s="18"/>
    </row>
    <row r="159" spans="2:22" ht="12.3" x14ac:dyDescent="0.4">
      <c r="B159" s="2"/>
      <c r="C159" s="2"/>
      <c r="D159" s="2"/>
      <c r="E159" s="7"/>
      <c r="F159" s="14"/>
      <c r="G159" s="2" t="str">
        <f>'Overall Rankings'!BM160</f>
        <v>Progrès Niederkorn</v>
      </c>
      <c r="H159" s="7">
        <f>'Overall Rankings'!BN160</f>
        <v>1.7625000000000002</v>
      </c>
      <c r="I159" s="2" t="str">
        <f>'Overall Rankings'!BS160</f>
        <v>Luxembourg</v>
      </c>
      <c r="J159" s="2" t="s">
        <v>250</v>
      </c>
      <c r="K159" s="7">
        <v>1.1299999999999999</v>
      </c>
      <c r="L159" s="2" t="s">
        <v>157</v>
      </c>
      <c r="U159" s="17"/>
      <c r="V159" s="18"/>
    </row>
    <row r="160" spans="2:22" ht="12.3" x14ac:dyDescent="0.4">
      <c r="B160" s="2"/>
      <c r="C160" s="2"/>
      <c r="D160" s="2"/>
      <c r="E160" s="7"/>
      <c r="F160" s="14"/>
      <c r="G160" s="2" t="str">
        <f>'Overall Rankings'!BM161</f>
        <v>Anorthosis</v>
      </c>
      <c r="H160" s="7">
        <f>'Overall Rankings'!BN161</f>
        <v>1.7349999999999999</v>
      </c>
      <c r="I160" s="2" t="str">
        <f>'Overall Rankings'!BS161</f>
        <v>Cyprus</v>
      </c>
      <c r="J160" s="2" t="s">
        <v>263</v>
      </c>
      <c r="K160" s="7">
        <v>0.90500000000000003</v>
      </c>
      <c r="L160" s="2" t="s">
        <v>157</v>
      </c>
      <c r="U160" s="17"/>
      <c r="V160" s="18"/>
    </row>
    <row r="161" spans="2:22" ht="12.3" x14ac:dyDescent="0.4">
      <c r="B161" s="2"/>
      <c r="C161" s="2"/>
      <c r="D161" s="2"/>
      <c r="E161" s="7"/>
      <c r="F161" s="14"/>
      <c r="G161" s="2" t="str">
        <f>'Overall Rankings'!BM162</f>
        <v>Desna Chernihiv</v>
      </c>
      <c r="H161" s="7">
        <f>'Overall Rankings'!BN162</f>
        <v>1.7</v>
      </c>
      <c r="I161" s="2" t="str">
        <f>'Overall Rankings'!BS162</f>
        <v>Ukraine</v>
      </c>
      <c r="J161" s="2" t="s">
        <v>197</v>
      </c>
      <c r="K161" s="7">
        <v>2.2308333333333334</v>
      </c>
      <c r="L161" s="2" t="s">
        <v>198</v>
      </c>
      <c r="U161" s="17"/>
      <c r="V161" s="18"/>
    </row>
    <row r="162" spans="2:22" ht="12.3" x14ac:dyDescent="0.4">
      <c r="B162" s="2"/>
      <c r="C162" s="2"/>
      <c r="D162" s="2"/>
      <c r="E162" s="7"/>
      <c r="F162" s="14"/>
      <c r="G162" s="2" t="str">
        <f>'Overall Rankings'!BM163</f>
        <v>Alanyaspor</v>
      </c>
      <c r="H162" s="7">
        <f>'Overall Rankings'!BN163</f>
        <v>1.675</v>
      </c>
      <c r="I162" s="2" t="str">
        <f>'Overall Rankings'!BS163</f>
        <v>Turkey</v>
      </c>
      <c r="J162" s="2" t="s">
        <v>207</v>
      </c>
      <c r="K162" s="7">
        <v>2.0959374999999998</v>
      </c>
      <c r="L162" s="2" t="s">
        <v>198</v>
      </c>
      <c r="U162" s="17"/>
      <c r="V162" s="18"/>
    </row>
    <row r="163" spans="2:22" ht="12.3" x14ac:dyDescent="0.4">
      <c r="B163" s="2"/>
      <c r="C163" s="2"/>
      <c r="D163" s="2"/>
      <c r="E163" s="7"/>
      <c r="F163" s="14"/>
      <c r="G163" s="2" t="str">
        <f>'Overall Rankings'!BM164</f>
        <v>Rostov</v>
      </c>
      <c r="H163" s="7">
        <f>'Overall Rankings'!BN164</f>
        <v>1.645</v>
      </c>
      <c r="I163" s="2" t="str">
        <f>'Overall Rankings'!BS164</f>
        <v>Russia</v>
      </c>
      <c r="J163" s="2" t="s">
        <v>232</v>
      </c>
      <c r="K163" s="7">
        <v>1.43</v>
      </c>
      <c r="L163" s="2" t="s">
        <v>198</v>
      </c>
      <c r="U163" s="17"/>
      <c r="V163" s="18"/>
    </row>
    <row r="164" spans="2:22" ht="12.3" x14ac:dyDescent="0.4">
      <c r="B164" s="2"/>
      <c r="C164" s="2"/>
      <c r="D164" s="2"/>
      <c r="E164" s="7"/>
      <c r="F164" s="14"/>
      <c r="G164" s="2" t="str">
        <f>'Overall Rankings'!BM165</f>
        <v>SønderjyskE</v>
      </c>
      <c r="H164" s="7">
        <f>'Overall Rankings'!BN165</f>
        <v>1.5350000000000001</v>
      </c>
      <c r="I164" s="2" t="str">
        <f>'Overall Rankings'!BS165</f>
        <v>Denmark</v>
      </c>
      <c r="J164" s="2" t="s">
        <v>57</v>
      </c>
      <c r="K164" s="7">
        <v>9.7934999999999999</v>
      </c>
      <c r="L164" s="2" t="s">
        <v>58</v>
      </c>
      <c r="U164" s="17"/>
      <c r="V164" s="18"/>
    </row>
    <row r="165" spans="2:22" ht="12.3" x14ac:dyDescent="0.4">
      <c r="B165" s="2"/>
      <c r="C165" s="2"/>
      <c r="D165" s="2"/>
      <c r="E165" s="7"/>
      <c r="F165" s="14"/>
      <c r="G165" s="2" t="str">
        <f>'Overall Rankings'!BM166</f>
        <v>Gjilani</v>
      </c>
      <c r="H165" s="7">
        <f>'Overall Rankings'!BN166</f>
        <v>1.4887499999999998</v>
      </c>
      <c r="I165" s="2" t="str">
        <f>'Overall Rankings'!BS166</f>
        <v>Kosovo</v>
      </c>
      <c r="J165" s="2" t="s">
        <v>133</v>
      </c>
      <c r="K165" s="7">
        <v>4.1068749999999996</v>
      </c>
      <c r="L165" s="2" t="s">
        <v>58</v>
      </c>
      <c r="U165" s="17"/>
      <c r="V165" s="18"/>
    </row>
    <row r="166" spans="2:22" ht="12.3" x14ac:dyDescent="0.4">
      <c r="B166" s="2"/>
      <c r="C166" s="2"/>
      <c r="D166" s="2"/>
      <c r="E166" s="7"/>
      <c r="F166" s="14"/>
      <c r="G166" s="2" t="str">
        <f>'Overall Rankings'!BM167</f>
        <v>Glentoran</v>
      </c>
      <c r="H166" s="7">
        <f>'Overall Rankings'!BN167</f>
        <v>1.43</v>
      </c>
      <c r="I166" s="2" t="str">
        <f>'Overall Rankings'!BS167</f>
        <v>Northern Ireland</v>
      </c>
      <c r="J166" s="2" t="s">
        <v>167</v>
      </c>
      <c r="K166" s="7">
        <v>3</v>
      </c>
      <c r="L166" s="2" t="s">
        <v>58</v>
      </c>
      <c r="U166" s="17"/>
      <c r="V166" s="18"/>
    </row>
    <row r="167" spans="2:22" ht="12.3" x14ac:dyDescent="0.4">
      <c r="B167" s="2"/>
      <c r="C167" s="2"/>
      <c r="D167" s="2"/>
      <c r="E167" s="7"/>
      <c r="F167" s="14"/>
      <c r="G167" s="2" t="str">
        <f>'Overall Rankings'!BM168</f>
        <v>NSÍ Runavík</v>
      </c>
      <c r="H167" s="7">
        <f>'Overall Rankings'!BN168</f>
        <v>1.4125000000000001</v>
      </c>
      <c r="I167" s="2" t="str">
        <f>'Overall Rankings'!BS168</f>
        <v>Faroe Islands</v>
      </c>
      <c r="J167" s="2" t="s">
        <v>251</v>
      </c>
      <c r="K167" s="7">
        <v>1.1200000000000001</v>
      </c>
      <c r="L167" s="2" t="s">
        <v>58</v>
      </c>
      <c r="U167" s="17"/>
      <c r="V167" s="18"/>
    </row>
    <row r="168" spans="2:22" ht="12.3" x14ac:dyDescent="0.4">
      <c r="B168" s="2"/>
      <c r="C168" s="2"/>
      <c r="D168" s="2"/>
      <c r="E168" s="7"/>
      <c r="F168" s="14"/>
      <c r="G168" s="2" t="str">
        <f>'Overall Rankings'!BM169</f>
        <v>Iskra Danilovgrad</v>
      </c>
      <c r="H168" s="7">
        <f>'Overall Rankings'!BN169</f>
        <v>1.375</v>
      </c>
      <c r="I168" s="2" t="str">
        <f>'Overall Rankings'!BS169</f>
        <v>Montenegro</v>
      </c>
      <c r="J168" s="2" t="s">
        <v>108</v>
      </c>
      <c r="K168" s="7">
        <v>5.2887500000000003</v>
      </c>
      <c r="L168" s="2" t="s">
        <v>109</v>
      </c>
      <c r="U168" s="17"/>
      <c r="V168" s="18"/>
    </row>
    <row r="169" spans="2:22" ht="12.3" x14ac:dyDescent="0.4">
      <c r="B169" s="2"/>
      <c r="C169" s="2"/>
      <c r="D169" s="2"/>
      <c r="E169" s="7"/>
      <c r="F169" s="14"/>
      <c r="G169" s="2" t="str">
        <f>'Overall Rankings'!BM170</f>
        <v>Aris</v>
      </c>
      <c r="H169" s="7">
        <f>'Overall Rankings'!BN170</f>
        <v>1.345</v>
      </c>
      <c r="I169" s="2" t="str">
        <f>'Overall Rankings'!BS170</f>
        <v>Greece</v>
      </c>
      <c r="J169" s="2" t="s">
        <v>145</v>
      </c>
      <c r="K169" s="7">
        <v>3.6281249999999998</v>
      </c>
      <c r="L169" s="2" t="s">
        <v>109</v>
      </c>
      <c r="U169" s="17"/>
      <c r="V169" s="18"/>
    </row>
    <row r="170" spans="2:22" ht="12.3" x14ac:dyDescent="0.4">
      <c r="B170" s="2"/>
      <c r="C170" s="2"/>
      <c r="D170" s="2"/>
      <c r="E170" s="7"/>
      <c r="F170" s="14"/>
      <c r="G170" s="2" t="str">
        <f>'Overall Rankings'!BM171</f>
        <v>Zeta</v>
      </c>
      <c r="H170" s="7">
        <f>'Overall Rankings'!BN171</f>
        <v>1.3274999999999999</v>
      </c>
      <c r="I170" s="2" t="str">
        <f>'Overall Rankings'!BS171</f>
        <v>Montenegro</v>
      </c>
      <c r="J170" s="2" t="s">
        <v>155</v>
      </c>
      <c r="K170" s="7">
        <v>3.4333333333333336</v>
      </c>
      <c r="L170" s="2" t="s">
        <v>109</v>
      </c>
      <c r="U170" s="17"/>
      <c r="V170" s="18"/>
    </row>
    <row r="171" spans="2:22" ht="12.3" x14ac:dyDescent="0.4">
      <c r="B171" s="2"/>
      <c r="C171" s="2"/>
      <c r="D171" s="2"/>
      <c r="E171" s="7"/>
      <c r="F171" s="14"/>
      <c r="G171" s="2" t="str">
        <f>'Overall Rankings'!BM172</f>
        <v>Europa</v>
      </c>
      <c r="H171" s="7">
        <f>'Overall Rankings'!BN172</f>
        <v>1.3199999999999998</v>
      </c>
      <c r="I171" s="2" t="str">
        <f>'Overall Rankings'!BS172</f>
        <v>Gibraltar</v>
      </c>
      <c r="J171" s="2" t="s">
        <v>270</v>
      </c>
      <c r="K171" s="7">
        <v>0.82000000000000006</v>
      </c>
      <c r="L171" s="2" t="s">
        <v>109</v>
      </c>
      <c r="U171" s="17"/>
      <c r="V171" s="18"/>
    </row>
    <row r="172" spans="2:22" ht="12.3" x14ac:dyDescent="0.4">
      <c r="B172" s="2"/>
      <c r="C172" s="2"/>
      <c r="D172" s="2"/>
      <c r="E172" s="7"/>
      <c r="F172" s="14"/>
      <c r="G172" s="2" t="str">
        <f>'Overall Rankings'!BM173</f>
        <v>Fola Esch</v>
      </c>
      <c r="H172" s="7">
        <f>'Overall Rankings'!BN173</f>
        <v>1.3174999999999999</v>
      </c>
      <c r="I172" s="2" t="str">
        <f>'Overall Rankings'!BS173</f>
        <v>Luxembourg</v>
      </c>
      <c r="J172" s="2" t="s">
        <v>26</v>
      </c>
      <c r="K172" s="7">
        <v>14.35425</v>
      </c>
      <c r="L172" s="2" t="s">
        <v>27</v>
      </c>
      <c r="U172" s="17"/>
      <c r="V172" s="18"/>
    </row>
    <row r="173" spans="2:22" ht="12.3" x14ac:dyDescent="0.4">
      <c r="B173" s="2"/>
      <c r="C173" s="2"/>
      <c r="D173" s="2"/>
      <c r="E173" s="7"/>
      <c r="F173" s="14"/>
      <c r="G173" s="2" t="str">
        <f>'Overall Rankings'!BM174</f>
        <v>IFK Göteborg</v>
      </c>
      <c r="H173" s="7">
        <f>'Overall Rankings'!BN174</f>
        <v>1.3049999999999999</v>
      </c>
      <c r="I173" s="2" t="str">
        <f>'Overall Rankings'!BS174</f>
        <v>Sweden</v>
      </c>
      <c r="J173" s="2" t="s">
        <v>77</v>
      </c>
      <c r="K173" s="7">
        <v>7.9205555555555556</v>
      </c>
      <c r="L173" s="2" t="s">
        <v>27</v>
      </c>
      <c r="U173" s="17"/>
      <c r="V173" s="18"/>
    </row>
    <row r="174" spans="2:22" ht="12.3" x14ac:dyDescent="0.4">
      <c r="B174" s="2"/>
      <c r="C174" s="2"/>
      <c r="D174" s="2"/>
      <c r="E174" s="7"/>
      <c r="F174" s="14"/>
      <c r="G174" s="2" t="str">
        <f>'Overall Rankings'!BM175</f>
        <v>Astana</v>
      </c>
      <c r="H174" s="7">
        <f>'Overall Rankings'!BN175</f>
        <v>1.2999999999999998</v>
      </c>
      <c r="I174" s="2" t="str">
        <f>'Overall Rankings'!BS175</f>
        <v>Kazakhstan</v>
      </c>
      <c r="J174" s="2" t="s">
        <v>89</v>
      </c>
      <c r="K174" s="7">
        <v>7.0973437500000003</v>
      </c>
      <c r="L174" s="2" t="s">
        <v>27</v>
      </c>
      <c r="U174" s="17"/>
      <c r="V174" s="18"/>
    </row>
    <row r="175" spans="2:22" ht="12.3" x14ac:dyDescent="0.4">
      <c r="B175" s="2"/>
      <c r="C175" s="2"/>
      <c r="D175" s="2"/>
      <c r="E175" s="7"/>
      <c r="F175" s="14"/>
      <c r="G175" s="2" t="str">
        <f>'Overall Rankings'!BM176</f>
        <v>Osijek</v>
      </c>
      <c r="H175" s="7">
        <f>'Overall Rankings'!BN176</f>
        <v>1.2849999999999999</v>
      </c>
      <c r="I175" s="2" t="str">
        <f>'Overall Rankings'!BS176</f>
        <v>Croatia</v>
      </c>
      <c r="J175" s="2" t="s">
        <v>138</v>
      </c>
      <c r="K175" s="7">
        <v>3.940833333333333</v>
      </c>
      <c r="L175" s="2" t="s">
        <v>27</v>
      </c>
      <c r="U175" s="17"/>
      <c r="V175" s="18"/>
    </row>
    <row r="176" spans="2:22" ht="12.3" x14ac:dyDescent="0.4">
      <c r="B176" s="2"/>
      <c r="C176" s="2"/>
      <c r="D176" s="2"/>
      <c r="E176" s="7"/>
      <c r="F176" s="14"/>
      <c r="G176" s="2" t="str">
        <f>'Overall Rankings'!BM177</f>
        <v>Connah's Quay Nomads</v>
      </c>
      <c r="H176" s="7">
        <f>'Overall Rankings'!BN177</f>
        <v>1.2774999999999999</v>
      </c>
      <c r="I176" s="2" t="str">
        <f>'Overall Rankings'!BS177</f>
        <v>Wales</v>
      </c>
      <c r="J176" s="2" t="s">
        <v>146</v>
      </c>
      <c r="K176" s="7">
        <v>3.6256250000000003</v>
      </c>
      <c r="L176" s="2" t="s">
        <v>27</v>
      </c>
      <c r="U176" s="17"/>
      <c r="V176" s="18"/>
    </row>
    <row r="177" spans="2:22" ht="12.3" x14ac:dyDescent="0.4">
      <c r="B177" s="2"/>
      <c r="C177" s="2"/>
      <c r="D177" s="2"/>
      <c r="E177" s="7"/>
      <c r="F177" s="14"/>
      <c r="G177" s="2" t="str">
        <f>'Overall Rankings'!BM178</f>
        <v>Slovan Bratislava</v>
      </c>
      <c r="H177" s="7">
        <f>'Overall Rankings'!BN178</f>
        <v>1.2725</v>
      </c>
      <c r="I177" s="2" t="str">
        <f>'Overall Rankings'!BS178</f>
        <v>Slovakia</v>
      </c>
      <c r="J177" s="2" t="s">
        <v>120</v>
      </c>
      <c r="K177" s="7">
        <v>4.6377500000000005</v>
      </c>
      <c r="L177" s="2" t="s">
        <v>121</v>
      </c>
      <c r="U177" s="17"/>
      <c r="V177" s="18"/>
    </row>
    <row r="178" spans="2:22" ht="12.3" x14ac:dyDescent="0.4">
      <c r="B178" s="2"/>
      <c r="C178" s="2"/>
      <c r="D178" s="2"/>
      <c r="E178" s="7"/>
      <c r="F178" s="14"/>
      <c r="G178" s="2" t="str">
        <f>'Overall Rankings'!BM179</f>
        <v>OFI</v>
      </c>
      <c r="H178" s="7">
        <f>'Overall Rankings'!BN179</f>
        <v>1.2650000000000001</v>
      </c>
      <c r="I178" s="2" t="str">
        <f>'Overall Rankings'!BS179</f>
        <v>Greece</v>
      </c>
      <c r="J178" s="2" t="s">
        <v>219</v>
      </c>
      <c r="K178" s="7">
        <v>1.9849999999999999</v>
      </c>
      <c r="L178" s="2" t="s">
        <v>121</v>
      </c>
      <c r="U178" s="17"/>
      <c r="V178" s="18"/>
    </row>
    <row r="179" spans="2:22" ht="12.3" x14ac:dyDescent="0.4">
      <c r="B179" s="2"/>
      <c r="C179" s="2"/>
      <c r="D179" s="2"/>
      <c r="E179" s="7"/>
      <c r="F179" s="14"/>
      <c r="G179" s="2" t="str">
        <f>'Overall Rankings'!BM180</f>
        <v>Hartberg</v>
      </c>
      <c r="H179" s="7">
        <f>'Overall Rankings'!BN180</f>
        <v>1.2050000000000001</v>
      </c>
      <c r="I179" s="2" t="str">
        <f>'Overall Rankings'!BS180</f>
        <v>Austria</v>
      </c>
      <c r="J179" s="2" t="s">
        <v>259</v>
      </c>
      <c r="K179" s="7">
        <v>0.96</v>
      </c>
      <c r="L179" s="2" t="s">
        <v>121</v>
      </c>
      <c r="U179" s="17"/>
      <c r="V179" s="18"/>
    </row>
    <row r="180" spans="2:22" ht="12.3" x14ac:dyDescent="0.4">
      <c r="B180" s="2"/>
      <c r="C180" s="2"/>
      <c r="D180" s="2"/>
      <c r="E180" s="7"/>
      <c r="F180" s="14"/>
      <c r="G180" s="2" t="str">
        <f>'Overall Rankings'!BM181</f>
        <v>Inter Club d'Escaldes</v>
      </c>
      <c r="H180" s="7">
        <f>'Overall Rankings'!BN181</f>
        <v>1.175</v>
      </c>
      <c r="I180" s="2" t="str">
        <f>'Overall Rankings'!BS181</f>
        <v>Andorra</v>
      </c>
      <c r="J180" s="2" t="s">
        <v>277</v>
      </c>
      <c r="K180" s="7">
        <v>0.74499999999999988</v>
      </c>
      <c r="L180" s="2" t="s">
        <v>121</v>
      </c>
      <c r="U180" s="17"/>
      <c r="V180" s="18"/>
    </row>
    <row r="181" spans="2:22" ht="12.3" x14ac:dyDescent="0.4">
      <c r="B181" s="2"/>
      <c r="C181" s="2"/>
      <c r="D181" s="2"/>
      <c r="E181" s="7"/>
      <c r="F181" s="14"/>
      <c r="G181" s="2" t="str">
        <f>'Overall Rankings'!BM182</f>
        <v>KR</v>
      </c>
      <c r="H181" s="7">
        <f>'Overall Rankings'!BN182</f>
        <v>1.1324999999999998</v>
      </c>
      <c r="I181" s="2" t="str">
        <f>'Overall Rankings'!BS182</f>
        <v>Iceland</v>
      </c>
      <c r="J181" s="2" t="s">
        <v>103</v>
      </c>
      <c r="K181" s="7">
        <v>5.5827500000000008</v>
      </c>
      <c r="L181" s="2" t="s">
        <v>104</v>
      </c>
      <c r="U181" s="17"/>
      <c r="V181" s="18"/>
    </row>
    <row r="182" spans="2:22" ht="12.3" x14ac:dyDescent="0.4">
      <c r="B182" s="2"/>
      <c r="C182" s="2"/>
      <c r="D182" s="2"/>
      <c r="E182" s="7"/>
      <c r="F182" s="14"/>
      <c r="G182" s="2" t="str">
        <f>'Overall Rankings'!BM183</f>
        <v>Sileks</v>
      </c>
      <c r="H182" s="7">
        <f>'Overall Rankings'!BN183</f>
        <v>1.1299999999999999</v>
      </c>
      <c r="I182" s="2" t="str">
        <f>'Overall Rankings'!BS183</f>
        <v>North Macedonia</v>
      </c>
      <c r="J182" s="2" t="s">
        <v>171</v>
      </c>
      <c r="K182" s="7">
        <v>2.92625</v>
      </c>
      <c r="L182" s="2" t="s">
        <v>104</v>
      </c>
      <c r="U182" s="17"/>
      <c r="V182" s="18"/>
    </row>
    <row r="183" spans="2:22" ht="12.3" x14ac:dyDescent="0.4">
      <c r="B183" s="2"/>
      <c r="C183" s="2"/>
      <c r="D183" s="2"/>
      <c r="E183" s="7"/>
      <c r="F183" s="14"/>
      <c r="G183" s="2" t="str">
        <f>'Overall Rankings'!BM184</f>
        <v>Viking</v>
      </c>
      <c r="H183" s="7">
        <f>'Overall Rankings'!BN184</f>
        <v>1.1200000000000001</v>
      </c>
      <c r="I183" s="2" t="str">
        <f>'Overall Rankings'!BS184</f>
        <v>Norway</v>
      </c>
      <c r="J183" s="2" t="s">
        <v>186</v>
      </c>
      <c r="K183" s="7">
        <v>2.38375</v>
      </c>
      <c r="L183" s="2" t="s">
        <v>104</v>
      </c>
      <c r="U183" s="17"/>
      <c r="V183" s="18"/>
    </row>
    <row r="184" spans="2:22" ht="12.3" x14ac:dyDescent="0.4">
      <c r="B184" s="2"/>
      <c r="C184" s="2"/>
      <c r="D184" s="2"/>
      <c r="E184" s="7"/>
      <c r="F184" s="14"/>
      <c r="G184" s="2" t="str">
        <f>'Overall Rankings'!BM185</f>
        <v>Tre Fiori</v>
      </c>
      <c r="H184" s="7">
        <f>'Overall Rankings'!BN185</f>
        <v>1.0925</v>
      </c>
      <c r="I184" s="2" t="str">
        <f>'Overall Rankings'!BS185</f>
        <v>San Marino</v>
      </c>
      <c r="J184" s="2" t="s">
        <v>286</v>
      </c>
      <c r="K184" s="7">
        <v>0.67500000000000004</v>
      </c>
      <c r="L184" s="2" t="s">
        <v>104</v>
      </c>
      <c r="U184" s="17"/>
      <c r="V184" s="18"/>
    </row>
    <row r="185" spans="2:22" ht="12.3" x14ac:dyDescent="0.4">
      <c r="B185" s="2"/>
      <c r="C185" s="2"/>
      <c r="D185" s="2"/>
      <c r="E185" s="7"/>
      <c r="F185" s="14"/>
      <c r="G185" s="2" t="str">
        <f>'Overall Rankings'!BM186</f>
        <v>BATE Borisov</v>
      </c>
      <c r="H185" s="7">
        <f>'Overall Rankings'!BN186</f>
        <v>1.06</v>
      </c>
      <c r="I185" s="2" t="str">
        <f>'Overall Rankings'!BS186</f>
        <v>Belarus</v>
      </c>
      <c r="J185" s="2" t="s">
        <v>55</v>
      </c>
      <c r="K185" s="7">
        <v>9.9178749999999987</v>
      </c>
      <c r="L185" s="2" t="s">
        <v>56</v>
      </c>
      <c r="U185" s="17"/>
      <c r="V185" s="18"/>
    </row>
    <row r="186" spans="2:22" ht="12.3" x14ac:dyDescent="0.4">
      <c r="B186" s="2"/>
      <c r="C186" s="2"/>
      <c r="D186" s="2"/>
      <c r="E186" s="7"/>
      <c r="F186" s="14"/>
      <c r="G186" s="2" t="str">
        <f>'Overall Rankings'!BM187</f>
        <v>Jablonec</v>
      </c>
      <c r="H186" s="7">
        <f>'Overall Rankings'!BN187</f>
        <v>1.0299999999999998</v>
      </c>
      <c r="I186" s="2" t="str">
        <f>'Overall Rankings'!BS187</f>
        <v>Czech Republic</v>
      </c>
      <c r="J186" s="2" t="s">
        <v>78</v>
      </c>
      <c r="K186" s="7">
        <v>7.9024999999999999</v>
      </c>
      <c r="L186" s="2" t="s">
        <v>56</v>
      </c>
      <c r="U186" s="17"/>
      <c r="V186" s="18"/>
    </row>
    <row r="187" spans="2:22" ht="12.3" x14ac:dyDescent="0.4">
      <c r="B187" s="2"/>
      <c r="C187" s="2"/>
      <c r="D187" s="2"/>
      <c r="E187" s="7"/>
      <c r="F187" s="14"/>
      <c r="G187" s="2" t="str">
        <f>'Overall Rankings'!BM188</f>
        <v>Kaisar</v>
      </c>
      <c r="H187" s="7">
        <f>'Overall Rankings'!BN188</f>
        <v>1.0249999999999999</v>
      </c>
      <c r="I187" s="2" t="str">
        <f>'Overall Rankings'!BS188</f>
        <v>Kazakhstan</v>
      </c>
      <c r="J187" s="2" t="s">
        <v>84</v>
      </c>
      <c r="K187" s="7">
        <v>7.5058333333333334</v>
      </c>
      <c r="L187" s="2" t="s">
        <v>56</v>
      </c>
      <c r="U187" s="17"/>
      <c r="V187" s="18"/>
    </row>
    <row r="188" spans="2:22" ht="12.3" x14ac:dyDescent="0.4">
      <c r="B188" s="2"/>
      <c r="C188" s="2"/>
      <c r="D188" s="2"/>
      <c r="E188" s="7"/>
      <c r="F188" s="14"/>
      <c r="G188" s="2" t="str">
        <f>'Overall Rankings'!BM189</f>
        <v>Dynamo Moscow</v>
      </c>
      <c r="H188" s="7">
        <f>'Overall Rankings'!BN189</f>
        <v>0.97499999999999998</v>
      </c>
      <c r="I188" s="2" t="str">
        <f>'Overall Rankings'!BS189</f>
        <v>Russia</v>
      </c>
      <c r="J188" s="2" t="s">
        <v>124</v>
      </c>
      <c r="K188" s="7">
        <v>4.4858333333333329</v>
      </c>
      <c r="L188" s="2" t="s">
        <v>56</v>
      </c>
      <c r="U188" s="17"/>
      <c r="V188" s="18"/>
    </row>
    <row r="189" spans="2:22" ht="12.3" x14ac:dyDescent="0.4">
      <c r="B189" s="2"/>
      <c r="C189" s="2"/>
      <c r="D189" s="2"/>
      <c r="E189" s="7"/>
      <c r="F189" s="14"/>
      <c r="G189" s="2" t="str">
        <f>'Overall Rankings'!BM190</f>
        <v>RFS</v>
      </c>
      <c r="H189" s="7">
        <f>'Overall Rankings'!BN190</f>
        <v>0.97500000000000009</v>
      </c>
      <c r="I189" s="2" t="str">
        <f>'Overall Rankings'!BS190</f>
        <v>Latvia</v>
      </c>
      <c r="J189" s="2" t="s">
        <v>229</v>
      </c>
      <c r="K189" s="7">
        <v>1.645</v>
      </c>
      <c r="L189" s="2" t="s">
        <v>56</v>
      </c>
      <c r="U189" s="17"/>
      <c r="V189" s="18"/>
    </row>
    <row r="190" spans="2:22" ht="12.3" x14ac:dyDescent="0.4">
      <c r="B190" s="2"/>
      <c r="C190" s="2"/>
      <c r="D190" s="2"/>
      <c r="E190" s="7"/>
      <c r="F190" s="14"/>
      <c r="G190" s="2" t="str">
        <f>'Overall Rankings'!BM191</f>
        <v>Bohemians</v>
      </c>
      <c r="H190" s="7">
        <f>'Overall Rankings'!BN191</f>
        <v>0.96</v>
      </c>
      <c r="I190" s="2" t="str">
        <f>'Overall Rankings'!BS191</f>
        <v>Republic of Ireland</v>
      </c>
      <c r="J190" s="2" t="s">
        <v>257</v>
      </c>
      <c r="K190" s="7">
        <v>0.97499999999999998</v>
      </c>
      <c r="L190" s="2" t="s">
        <v>56</v>
      </c>
      <c r="U190" s="17"/>
      <c r="V190" s="18"/>
    </row>
    <row r="191" spans="2:22" ht="12.3" x14ac:dyDescent="0.4">
      <c r="B191" s="2"/>
      <c r="C191" s="2"/>
      <c r="D191" s="2"/>
      <c r="E191" s="7"/>
      <c r="F191" s="14"/>
      <c r="G191" s="2" t="str">
        <f>'Overall Rankings'!BM192</f>
        <v>Shakhtyor Soligorsk</v>
      </c>
      <c r="H191" s="7">
        <f>'Overall Rankings'!BN192</f>
        <v>0.94</v>
      </c>
      <c r="I191" s="2" t="str">
        <f>'Overall Rankings'!BS192</f>
        <v>Belarus</v>
      </c>
      <c r="J191" s="2" t="s">
        <v>252</v>
      </c>
      <c r="K191" s="7">
        <v>1.0925</v>
      </c>
      <c r="L191" s="2" t="s">
        <v>253</v>
      </c>
      <c r="U191" s="17"/>
      <c r="V191" s="18"/>
    </row>
    <row r="192" spans="2:22" ht="12.3" x14ac:dyDescent="0.4">
      <c r="B192" s="2"/>
      <c r="C192" s="2"/>
      <c r="D192" s="2"/>
      <c r="E192" s="7"/>
      <c r="F192" s="14"/>
      <c r="G192" s="2" t="str">
        <f>'Overall Rankings'!BM193</f>
        <v>Keşla</v>
      </c>
      <c r="H192" s="7">
        <f>'Overall Rankings'!BN193</f>
        <v>0.91999999999999993</v>
      </c>
      <c r="I192" s="2" t="str">
        <f>'Overall Rankings'!BS193</f>
        <v>Azerbaijan</v>
      </c>
      <c r="J192" s="2" t="s">
        <v>302</v>
      </c>
      <c r="K192" s="7">
        <v>0.495</v>
      </c>
      <c r="L192" s="2" t="s">
        <v>253</v>
      </c>
      <c r="U192" s="17"/>
      <c r="V192" s="18"/>
    </row>
    <row r="193" spans="2:22" ht="12.3" x14ac:dyDescent="0.4">
      <c r="B193" s="2"/>
      <c r="C193" s="2"/>
      <c r="D193" s="2"/>
      <c r="E193" s="7"/>
      <c r="F193" s="14"/>
      <c r="G193" s="2" t="str">
        <f>'Overall Rankings'!BM194</f>
        <v>Ilves</v>
      </c>
      <c r="H193" s="7">
        <f>'Overall Rankings'!BN194</f>
        <v>0.90999999999999992</v>
      </c>
      <c r="I193" s="2" t="str">
        <f>'Overall Rankings'!BS194</f>
        <v>Finland</v>
      </c>
      <c r="J193" s="2" t="s">
        <v>306</v>
      </c>
      <c r="K193" s="7">
        <v>0.36</v>
      </c>
      <c r="L193" s="2" t="s">
        <v>253</v>
      </c>
      <c r="U193" s="17"/>
      <c r="V193" s="18"/>
    </row>
    <row r="194" spans="2:22" ht="12.3" x14ac:dyDescent="0.4">
      <c r="B194" s="2"/>
      <c r="C194" s="2"/>
      <c r="D194" s="2"/>
      <c r="E194" s="7"/>
      <c r="F194" s="14"/>
      <c r="G194" s="2" t="str">
        <f>'Overall Rankings'!BM195</f>
        <v>Shkupi</v>
      </c>
      <c r="H194" s="7">
        <f>'Overall Rankings'!BN195</f>
        <v>0.90500000000000003</v>
      </c>
      <c r="I194" s="2" t="str">
        <f>'Overall Rankings'!BS195</f>
        <v>North Macedonia</v>
      </c>
      <c r="J194" s="2" t="s">
        <v>65</v>
      </c>
      <c r="K194" s="7">
        <v>8.6213461538461527</v>
      </c>
      <c r="L194" s="2" t="s">
        <v>66</v>
      </c>
      <c r="V194" s="19"/>
    </row>
    <row r="195" spans="2:22" ht="12.3" x14ac:dyDescent="0.4">
      <c r="B195" s="2"/>
      <c r="C195" s="2"/>
      <c r="D195" s="2"/>
      <c r="E195" s="7"/>
      <c r="F195" s="14"/>
      <c r="G195" s="2" t="str">
        <f>'Overall Rankings'!BM196</f>
        <v>Sirens</v>
      </c>
      <c r="H195" s="7">
        <f>'Overall Rankings'!BN196</f>
        <v>0.88500000000000001</v>
      </c>
      <c r="I195" s="2" t="str">
        <f>'Overall Rankings'!BS196</f>
        <v>Malta</v>
      </c>
      <c r="J195" s="2" t="s">
        <v>105</v>
      </c>
      <c r="K195" s="7">
        <v>5.5215000000000005</v>
      </c>
      <c r="L195" s="2" t="s">
        <v>66</v>
      </c>
      <c r="V195" s="19"/>
    </row>
    <row r="196" spans="2:22" ht="12.3" x14ac:dyDescent="0.4">
      <c r="B196" s="2"/>
      <c r="C196" s="2"/>
      <c r="D196" s="2"/>
      <c r="E196" s="7"/>
      <c r="F196" s="14"/>
      <c r="G196" s="2" t="str">
        <f>'Overall Rankings'!BM197</f>
        <v>Ordabasy</v>
      </c>
      <c r="H196" s="7">
        <f>'Overall Rankings'!BN197</f>
        <v>0.85499999999999998</v>
      </c>
      <c r="I196" s="2" t="str">
        <f>'Overall Rankings'!BS197</f>
        <v>Kazakhstan</v>
      </c>
      <c r="J196" s="2" t="s">
        <v>160</v>
      </c>
      <c r="K196" s="7">
        <v>3.1308333333333334</v>
      </c>
      <c r="L196" s="2" t="s">
        <v>66</v>
      </c>
      <c r="V196" s="19"/>
    </row>
    <row r="197" spans="2:22" ht="12.3" x14ac:dyDescent="0.4">
      <c r="B197" s="2"/>
      <c r="C197" s="2"/>
      <c r="D197" s="2"/>
      <c r="E197" s="7"/>
      <c r="F197" s="14"/>
      <c r="G197" s="2" t="str">
        <f>'Overall Rankings'!BM198</f>
        <v>Víkingur Reykjavík</v>
      </c>
      <c r="H197" s="7">
        <f>'Overall Rankings'!BN198</f>
        <v>0.84499999999999997</v>
      </c>
      <c r="I197" s="2" t="str">
        <f>'Overall Rankings'!BS198</f>
        <v>Iceland</v>
      </c>
      <c r="J197" s="2" t="s">
        <v>184</v>
      </c>
      <c r="K197" s="7">
        <v>2.415</v>
      </c>
      <c r="L197" s="2" t="s">
        <v>66</v>
      </c>
      <c r="V197" s="19"/>
    </row>
    <row r="198" spans="2:22" ht="12.3" x14ac:dyDescent="0.4">
      <c r="B198" s="2"/>
      <c r="C198" s="2"/>
      <c r="D198" s="2"/>
      <c r="E198" s="7"/>
      <c r="F198" s="14"/>
      <c r="G198" s="2" t="str">
        <f>'Overall Rankings'!BM199</f>
        <v>Petrocub Hîncești</v>
      </c>
      <c r="H198" s="7">
        <f>'Overall Rankings'!BN199</f>
        <v>0.83000000000000007</v>
      </c>
      <c r="I198" s="2" t="str">
        <f>'Overall Rankings'!BS199</f>
        <v>Moldova</v>
      </c>
      <c r="J198" s="2" t="s">
        <v>75</v>
      </c>
      <c r="K198" s="7">
        <v>8.1177083333333329</v>
      </c>
      <c r="L198" s="2" t="s">
        <v>76</v>
      </c>
      <c r="V198" s="19"/>
    </row>
    <row r="199" spans="2:22" ht="12.3" x14ac:dyDescent="0.4">
      <c r="B199" s="2"/>
      <c r="C199" s="2"/>
      <c r="D199" s="2"/>
      <c r="E199" s="7"/>
      <c r="F199" s="14"/>
      <c r="G199" s="2" t="str">
        <f>'Overall Rankings'!BM200</f>
        <v>Differdange 03</v>
      </c>
      <c r="H199" s="7">
        <f>'Overall Rankings'!BN200</f>
        <v>0.82499999999999996</v>
      </c>
      <c r="I199" s="2" t="str">
        <f>'Overall Rankings'!BS200</f>
        <v>Luxembourg</v>
      </c>
      <c r="J199" s="2" t="s">
        <v>169</v>
      </c>
      <c r="K199" s="7">
        <v>2.9583333333333335</v>
      </c>
      <c r="L199" s="2" t="s">
        <v>76</v>
      </c>
      <c r="V199" s="19"/>
    </row>
    <row r="200" spans="2:22" ht="12.3" x14ac:dyDescent="0.4">
      <c r="B200" s="2"/>
      <c r="C200" s="2"/>
      <c r="D200" s="2"/>
      <c r="E200" s="7"/>
      <c r="F200" s="14"/>
      <c r="G200" s="2" t="str">
        <f>'Overall Rankings'!BM201</f>
        <v>Inter Turku</v>
      </c>
      <c r="H200" s="7">
        <f>'Overall Rankings'!BN201</f>
        <v>0.82499999999999996</v>
      </c>
      <c r="I200" s="2" t="str">
        <f>'Overall Rankings'!BS201</f>
        <v>Finland</v>
      </c>
      <c r="J200" s="2" t="s">
        <v>196</v>
      </c>
      <c r="K200" s="7">
        <v>2.2837499999999995</v>
      </c>
      <c r="L200" s="2" t="s">
        <v>76</v>
      </c>
      <c r="V200" s="19"/>
    </row>
    <row r="201" spans="2:22" ht="12.3" x14ac:dyDescent="0.4">
      <c r="B201" s="2"/>
      <c r="C201" s="2"/>
      <c r="D201" s="2"/>
      <c r="E201" s="7"/>
      <c r="F201" s="14"/>
      <c r="G201" s="2" t="str">
        <f>'Overall Rankings'!BM202</f>
        <v>Cracovia</v>
      </c>
      <c r="H201" s="7">
        <f>'Overall Rankings'!BN202</f>
        <v>0.82000000000000006</v>
      </c>
      <c r="I201" s="2" t="str">
        <f>'Overall Rankings'!BS202</f>
        <v>Poland</v>
      </c>
      <c r="J201" s="2" t="s">
        <v>222</v>
      </c>
      <c r="K201" s="7">
        <v>1.8050000000000002</v>
      </c>
      <c r="L201" s="2" t="s">
        <v>76</v>
      </c>
      <c r="V201" s="19"/>
    </row>
    <row r="202" spans="2:22" ht="12.3" x14ac:dyDescent="0.4">
      <c r="B202" s="2"/>
      <c r="C202" s="2"/>
      <c r="D202" s="2"/>
      <c r="E202" s="7"/>
      <c r="F202" s="14"/>
      <c r="G202" s="2" t="str">
        <f>'Overall Rankings'!BM203</f>
        <v>Alashkert</v>
      </c>
      <c r="H202" s="7">
        <f>'Overall Rankings'!BN203</f>
        <v>0.80499999999999994</v>
      </c>
      <c r="I202" s="2" t="str">
        <f>'Overall Rankings'!BS203</f>
        <v>Armenia</v>
      </c>
      <c r="J202" s="2" t="s">
        <v>161</v>
      </c>
      <c r="K202" s="7">
        <v>3.0674999999999999</v>
      </c>
      <c r="L202" s="2" t="s">
        <v>162</v>
      </c>
      <c r="V202" s="19"/>
    </row>
    <row r="203" spans="2:22" ht="12.3" x14ac:dyDescent="0.4">
      <c r="B203" s="2"/>
      <c r="C203" s="2"/>
      <c r="D203" s="2"/>
      <c r="E203" s="7"/>
      <c r="F203" s="14"/>
      <c r="G203" s="2" t="str">
        <f>'Overall Rankings'!BM204</f>
        <v>Slavia Sofia</v>
      </c>
      <c r="H203" s="7">
        <f>'Overall Rankings'!BN204</f>
        <v>0.80499999999999994</v>
      </c>
      <c r="I203" s="2" t="str">
        <f>'Overall Rankings'!BS204</f>
        <v>Bulgaria</v>
      </c>
      <c r="J203" s="2" t="s">
        <v>243</v>
      </c>
      <c r="K203" s="7">
        <v>1.2725</v>
      </c>
      <c r="L203" s="2" t="s">
        <v>162</v>
      </c>
      <c r="V203" s="19"/>
    </row>
    <row r="204" spans="2:22" ht="12.3" x14ac:dyDescent="0.4">
      <c r="B204" s="2"/>
      <c r="C204" s="2"/>
      <c r="D204" s="2"/>
      <c r="E204" s="7"/>
      <c r="F204" s="14"/>
      <c r="G204" s="2" t="str">
        <f>'Overall Rankings'!BM205</f>
        <v>Breiðablik</v>
      </c>
      <c r="H204" s="7">
        <f>'Overall Rankings'!BN205</f>
        <v>0.8</v>
      </c>
      <c r="I204" s="2" t="str">
        <f>'Overall Rankings'!BS205</f>
        <v>Iceland</v>
      </c>
      <c r="J204" s="2" t="s">
        <v>282</v>
      </c>
      <c r="K204" s="7">
        <v>0.72499999999999987</v>
      </c>
      <c r="L204" s="2" t="s">
        <v>162</v>
      </c>
      <c r="V204" s="19"/>
    </row>
    <row r="205" spans="2:22" ht="12.3" x14ac:dyDescent="0.4">
      <c r="B205" s="2"/>
      <c r="C205" s="2"/>
      <c r="D205" s="2"/>
      <c r="E205" s="7"/>
      <c r="F205" s="14"/>
      <c r="G205" s="2" t="str">
        <f>'Overall Rankings'!BM206</f>
        <v>Dinamo Minsk</v>
      </c>
      <c r="H205" s="7">
        <f>'Overall Rankings'!BN206</f>
        <v>0.78</v>
      </c>
      <c r="I205" s="2" t="str">
        <f>'Overall Rankings'!BS206</f>
        <v>Belarus</v>
      </c>
      <c r="J205" s="2" t="s">
        <v>298</v>
      </c>
      <c r="K205" s="7">
        <v>0.56000000000000005</v>
      </c>
      <c r="L205" s="2" t="s">
        <v>162</v>
      </c>
      <c r="V205" s="19"/>
    </row>
    <row r="206" spans="2:22" ht="12.3" x14ac:dyDescent="0.4">
      <c r="B206" s="2"/>
      <c r="C206" s="2"/>
      <c r="D206" s="2"/>
      <c r="E206" s="7"/>
      <c r="F206" s="14"/>
      <c r="G206" s="2" t="str">
        <f>'Overall Rankings'!BM207</f>
        <v>Maribor</v>
      </c>
      <c r="H206" s="7">
        <f>'Overall Rankings'!BN207</f>
        <v>0.77</v>
      </c>
      <c r="I206" s="2" t="str">
        <f>'Overall Rankings'!BS207</f>
        <v>Slovenia</v>
      </c>
      <c r="J206" s="2" t="s">
        <v>158</v>
      </c>
      <c r="K206" s="7">
        <v>3.1312499999999996</v>
      </c>
      <c r="L206" s="2" t="s">
        <v>159</v>
      </c>
      <c r="V206" s="19"/>
    </row>
    <row r="207" spans="2:22" ht="12.3" x14ac:dyDescent="0.4">
      <c r="B207" s="2"/>
      <c r="C207" s="2"/>
      <c r="D207" s="2"/>
      <c r="E207" s="7"/>
      <c r="F207" s="14"/>
      <c r="G207" s="2" t="str">
        <f>'Overall Rankings'!BM208</f>
        <v>Željezničar</v>
      </c>
      <c r="H207" s="7">
        <f>'Overall Rankings'!BN208</f>
        <v>0.77</v>
      </c>
      <c r="I207" s="2" t="str">
        <f>'Overall Rankings'!BS208</f>
        <v>Bosnia and Herzegovina</v>
      </c>
      <c r="J207" s="2" t="s">
        <v>170</v>
      </c>
      <c r="K207" s="7">
        <v>2.92875</v>
      </c>
      <c r="L207" s="2" t="s">
        <v>159</v>
      </c>
      <c r="V207" s="19"/>
    </row>
    <row r="208" spans="2:22" ht="12.3" x14ac:dyDescent="0.4">
      <c r="B208" s="2"/>
      <c r="C208" s="2"/>
      <c r="D208" s="2"/>
      <c r="E208" s="7"/>
      <c r="F208" s="14"/>
      <c r="G208" s="2" t="str">
        <f>'Overall Rankings'!BM209</f>
        <v>Derry City</v>
      </c>
      <c r="H208" s="7">
        <f>'Overall Rankings'!BN209</f>
        <v>0.74499999999999988</v>
      </c>
      <c r="I208" s="2" t="str">
        <f>'Overall Rankings'!BS209</f>
        <v>Republic of Ireland</v>
      </c>
      <c r="J208" s="2" t="s">
        <v>201</v>
      </c>
      <c r="K208" s="7">
        <v>2.2043749999999998</v>
      </c>
      <c r="L208" s="2" t="s">
        <v>159</v>
      </c>
      <c r="V208" s="19"/>
    </row>
    <row r="209" spans="2:22" ht="12.3" x14ac:dyDescent="0.4">
      <c r="B209" s="2"/>
      <c r="C209" s="2"/>
      <c r="D209" s="2"/>
      <c r="E209" s="7"/>
      <c r="F209" s="14"/>
      <c r="G209" s="2" t="str">
        <f>'Overall Rankings'!BM210</f>
        <v>Sutjeska Nikšić</v>
      </c>
      <c r="H209" s="7">
        <f>'Overall Rankings'!BN210</f>
        <v>0.74499999999999988</v>
      </c>
      <c r="I209" s="2" t="str">
        <f>'Overall Rankings'!BS210</f>
        <v>Montenegro</v>
      </c>
      <c r="J209" s="2" t="s">
        <v>275</v>
      </c>
      <c r="K209" s="7">
        <v>0.77</v>
      </c>
      <c r="L209" s="2" t="s">
        <v>159</v>
      </c>
      <c r="V209" s="19"/>
    </row>
    <row r="210" spans="2:22" ht="12.3" x14ac:dyDescent="0.4">
      <c r="B210" s="2"/>
      <c r="C210" s="2"/>
      <c r="D210" s="2"/>
      <c r="E210" s="7"/>
      <c r="F210" s="14"/>
      <c r="G210" s="2" t="str">
        <f>'Overall Rankings'!BM211</f>
        <v>Dinamo-Auto</v>
      </c>
      <c r="H210" s="7">
        <f>'Overall Rankings'!BN211</f>
        <v>0.7350000000000001</v>
      </c>
      <c r="I210" s="2" t="str">
        <f>'Overall Rankings'!BS211</f>
        <v>Moldova</v>
      </c>
      <c r="J210" s="2" t="s">
        <v>18</v>
      </c>
      <c r="K210" s="7">
        <v>16.264895833333334</v>
      </c>
      <c r="L210" s="2" t="s">
        <v>19</v>
      </c>
      <c r="V210" s="19"/>
    </row>
    <row r="211" spans="2:22" ht="12.3" x14ac:dyDescent="0.4">
      <c r="B211" s="2"/>
      <c r="C211" s="2"/>
      <c r="D211" s="2"/>
      <c r="E211" s="7"/>
      <c r="F211" s="14"/>
      <c r="G211" s="2" t="str">
        <f>'Overall Rankings'!BM212</f>
        <v>Honka</v>
      </c>
      <c r="H211" s="7">
        <f>'Overall Rankings'!BN212</f>
        <v>0.73499999999999988</v>
      </c>
      <c r="I211" s="2" t="str">
        <f>'Overall Rankings'!BS212</f>
        <v>Finland</v>
      </c>
      <c r="J211" s="2" t="s">
        <v>29</v>
      </c>
      <c r="K211" s="7">
        <v>13.068166666666666</v>
      </c>
      <c r="L211" s="2" t="s">
        <v>19</v>
      </c>
      <c r="V211" s="19"/>
    </row>
    <row r="212" spans="2:22" ht="12.3" x14ac:dyDescent="0.4">
      <c r="B212" s="2"/>
      <c r="C212" s="2"/>
      <c r="D212" s="2"/>
      <c r="E212" s="7"/>
      <c r="F212" s="14"/>
      <c r="G212" s="2" t="str">
        <f>'Overall Rankings'!BM213</f>
        <v>FH</v>
      </c>
      <c r="H212" s="7">
        <f>'Overall Rankings'!BN213</f>
        <v>0.73</v>
      </c>
      <c r="I212" s="2" t="str">
        <f>'Overall Rankings'!BS213</f>
        <v>Iceland</v>
      </c>
      <c r="J212" s="2" t="s">
        <v>34</v>
      </c>
      <c r="K212" s="7">
        <v>12.212656249999998</v>
      </c>
      <c r="L212" s="2" t="s">
        <v>19</v>
      </c>
      <c r="V212" s="19"/>
    </row>
    <row r="213" spans="2:22" ht="12.3" x14ac:dyDescent="0.4">
      <c r="B213" s="2"/>
      <c r="C213" s="2"/>
      <c r="D213" s="2"/>
      <c r="E213" s="7"/>
      <c r="F213" s="14"/>
      <c r="G213" s="2" t="str">
        <f>'Overall Rankings'!BM214</f>
        <v>Ružomberok</v>
      </c>
      <c r="H213" s="7">
        <f>'Overall Rankings'!BN214</f>
        <v>0.72499999999999987</v>
      </c>
      <c r="I213" s="2" t="str">
        <f>'Overall Rankings'!BS214</f>
        <v>Slovakia</v>
      </c>
      <c r="J213" s="2" t="s">
        <v>35</v>
      </c>
      <c r="K213" s="7">
        <v>12.15671875</v>
      </c>
      <c r="L213" s="2" t="s">
        <v>19</v>
      </c>
      <c r="V213" s="19"/>
    </row>
    <row r="214" spans="2:22" ht="12.3" x14ac:dyDescent="0.4">
      <c r="B214" s="2"/>
      <c r="C214" s="2"/>
      <c r="D214" s="2"/>
      <c r="E214" s="7"/>
      <c r="F214" s="14"/>
      <c r="G214" s="2" t="str">
        <f>'Overall Rankings'!BM215</f>
        <v>Sumgayit</v>
      </c>
      <c r="H214" s="7">
        <f>'Overall Rankings'!BN215</f>
        <v>0.69</v>
      </c>
      <c r="I214" s="2" t="str">
        <f>'Overall Rankings'!BS215</f>
        <v>Azerbaijan</v>
      </c>
      <c r="J214" s="2" t="s">
        <v>41</v>
      </c>
      <c r="K214" s="7">
        <v>11.474375</v>
      </c>
      <c r="L214" s="2" t="s">
        <v>19</v>
      </c>
      <c r="V214" s="19"/>
    </row>
    <row r="215" spans="2:22" ht="12.3" x14ac:dyDescent="0.4">
      <c r="B215" s="2"/>
      <c r="C215" s="2"/>
      <c r="D215" s="2"/>
      <c r="E215" s="7"/>
      <c r="F215" s="14"/>
      <c r="G215" s="2" t="str">
        <f>'Overall Rankings'!BM216</f>
        <v>Puskás Akadémia</v>
      </c>
      <c r="H215" s="7">
        <f>'Overall Rankings'!BN216</f>
        <v>0.68500000000000005</v>
      </c>
      <c r="I215" s="2" t="str">
        <f>'Overall Rankings'!BS216</f>
        <v>Hungary</v>
      </c>
      <c r="J215" s="2" t="s">
        <v>61</v>
      </c>
      <c r="K215" s="7">
        <v>8.9853333333333332</v>
      </c>
      <c r="L215" s="2" t="s">
        <v>19</v>
      </c>
      <c r="V215" s="19"/>
    </row>
    <row r="216" spans="2:22" ht="12.3" x14ac:dyDescent="0.4">
      <c r="B216" s="2"/>
      <c r="C216" s="2"/>
      <c r="D216" s="2"/>
      <c r="E216" s="7"/>
      <c r="F216" s="14"/>
      <c r="G216" s="2" t="str">
        <f>'Overall Rankings'!BM217</f>
        <v>Noah</v>
      </c>
      <c r="H216" s="7">
        <f>'Overall Rankings'!BN217</f>
        <v>0.67500000000000004</v>
      </c>
      <c r="I216" s="2" t="str">
        <f>'Overall Rankings'!BS217</f>
        <v>Armenia</v>
      </c>
      <c r="J216" s="2" t="s">
        <v>95</v>
      </c>
      <c r="K216" s="7">
        <v>6.7284375000000001</v>
      </c>
      <c r="L216" s="2" t="s">
        <v>19</v>
      </c>
      <c r="V216" s="19"/>
    </row>
    <row r="217" spans="2:22" ht="12.3" x14ac:dyDescent="0.4">
      <c r="B217" s="2"/>
      <c r="C217" s="2"/>
      <c r="D217" s="2"/>
      <c r="E217" s="7"/>
      <c r="F217" s="14"/>
      <c r="G217" s="2" t="str">
        <f>'Overall Rankings'!BM218</f>
        <v>Universitatea Craiova</v>
      </c>
      <c r="H217" s="7">
        <f>'Overall Rankings'!BN218</f>
        <v>0.67500000000000004</v>
      </c>
      <c r="I217" s="2" t="str">
        <f>'Overall Rankings'!BS218</f>
        <v>Romania</v>
      </c>
      <c r="J217" s="2" t="s">
        <v>125</v>
      </c>
      <c r="K217" s="7">
        <v>4.4074999999999998</v>
      </c>
      <c r="L217" s="2" t="s">
        <v>126</v>
      </c>
      <c r="V217" s="19"/>
    </row>
    <row r="218" spans="2:22" ht="12.3" x14ac:dyDescent="0.4">
      <c r="B218" s="2"/>
      <c r="C218" s="2"/>
      <c r="D218" s="2"/>
      <c r="E218" s="7"/>
      <c r="F218" s="14"/>
      <c r="G218" s="2" t="str">
        <f>'Overall Rankings'!BM219</f>
        <v>Valletta</v>
      </c>
      <c r="H218" s="7">
        <f>'Overall Rankings'!BN219</f>
        <v>0.67500000000000004</v>
      </c>
      <c r="I218" s="2" t="str">
        <f>'Overall Rankings'!BS219</f>
        <v>Malta</v>
      </c>
      <c r="J218" s="2" t="s">
        <v>187</v>
      </c>
      <c r="K218" s="7">
        <v>2.3587500000000001</v>
      </c>
      <c r="L218" s="2" t="s">
        <v>126</v>
      </c>
      <c r="M218" s="20"/>
      <c r="V218" s="19"/>
    </row>
    <row r="219" spans="2:22" ht="12.3" x14ac:dyDescent="0.4">
      <c r="B219" s="2"/>
      <c r="C219" s="2"/>
      <c r="D219" s="2"/>
      <c r="E219" s="7"/>
      <c r="F219" s="14"/>
      <c r="G219" s="2" t="str">
        <f>'Overall Rankings'!BM220</f>
        <v>Beitar Jerusalem</v>
      </c>
      <c r="H219" s="7">
        <f>'Overall Rankings'!BN220</f>
        <v>0.66999999999999993</v>
      </c>
      <c r="I219" s="2" t="str">
        <f>'Overall Rankings'!BS220</f>
        <v>Israel</v>
      </c>
      <c r="J219" s="2" t="s">
        <v>200</v>
      </c>
      <c r="K219" s="7">
        <v>2.2043749999999998</v>
      </c>
      <c r="L219" s="2" t="s">
        <v>126</v>
      </c>
      <c r="V219" s="19"/>
    </row>
    <row r="220" spans="2:22" ht="12.3" x14ac:dyDescent="0.4">
      <c r="B220" s="2"/>
      <c r="C220" s="2"/>
      <c r="D220" s="2"/>
      <c r="E220" s="7"/>
      <c r="F220" s="14"/>
      <c r="G220" s="2" t="str">
        <f>'Overall Rankings'!BM221</f>
        <v>FCI Levadia</v>
      </c>
      <c r="H220" s="7">
        <f>'Overall Rankings'!BN221</f>
        <v>0.66500000000000004</v>
      </c>
      <c r="I220" s="2" t="str">
        <f>'Overall Rankings'!BS221</f>
        <v>Estonia</v>
      </c>
      <c r="J220" s="2" t="s">
        <v>239</v>
      </c>
      <c r="K220" s="7">
        <v>1.3049999999999999</v>
      </c>
      <c r="L220" s="2" t="s">
        <v>126</v>
      </c>
      <c r="M220" s="20"/>
      <c r="V220" s="19"/>
    </row>
    <row r="221" spans="2:22" ht="12.3" x14ac:dyDescent="0.4">
      <c r="B221" s="2"/>
      <c r="C221" s="2"/>
      <c r="D221" s="2"/>
      <c r="E221" s="7"/>
      <c r="F221" s="14"/>
      <c r="G221" s="2" t="str">
        <f>'Overall Rankings'!BM222</f>
        <v>Valmiera</v>
      </c>
      <c r="H221" s="7">
        <f>'Overall Rankings'!BN222</f>
        <v>0.66500000000000004</v>
      </c>
      <c r="I221" s="2" t="str">
        <f>'Overall Rankings'!BS222</f>
        <v>Latvia</v>
      </c>
      <c r="J221" s="2" t="s">
        <v>62</v>
      </c>
      <c r="K221" s="7">
        <v>8.8591346153846153</v>
      </c>
      <c r="L221" s="2" t="s">
        <v>63</v>
      </c>
      <c r="V221" s="19"/>
    </row>
    <row r="222" spans="2:22" ht="12.3" x14ac:dyDescent="0.4">
      <c r="B222" s="2"/>
      <c r="C222" s="2"/>
      <c r="D222" s="2"/>
      <c r="E222" s="7"/>
      <c r="F222" s="14"/>
      <c r="G222" s="2" t="str">
        <f>'Overall Rankings'!BM223</f>
        <v>FC Santa Coloma</v>
      </c>
      <c r="H222" s="7">
        <f>'Overall Rankings'!BN223</f>
        <v>0.64</v>
      </c>
      <c r="I222" s="2" t="str">
        <f>'Overall Rankings'!BS223</f>
        <v>Andorra</v>
      </c>
      <c r="J222" s="2" t="s">
        <v>131</v>
      </c>
      <c r="K222" s="7">
        <v>4.1945833333333331</v>
      </c>
      <c r="L222" s="2" t="s">
        <v>63</v>
      </c>
      <c r="M222" s="20"/>
      <c r="V222" s="19"/>
    </row>
    <row r="223" spans="2:22" ht="12.3" x14ac:dyDescent="0.4">
      <c r="B223" s="2"/>
      <c r="C223" s="2"/>
      <c r="D223" s="2"/>
      <c r="E223" s="7"/>
      <c r="F223" s="14"/>
      <c r="G223" s="2" t="str">
        <f>'Overall Rankings'!BM224</f>
        <v>Dinamo Batumi</v>
      </c>
      <c r="H223" s="7">
        <f>'Overall Rankings'!BN224</f>
        <v>0.63500000000000001</v>
      </c>
      <c r="I223" s="2" t="str">
        <f>'Overall Rankings'!BS224</f>
        <v>Georgia</v>
      </c>
      <c r="J223" s="2" t="s">
        <v>183</v>
      </c>
      <c r="K223" s="7">
        <v>2.4531249999999996</v>
      </c>
      <c r="L223" s="2" t="s">
        <v>63</v>
      </c>
      <c r="V223" s="19"/>
    </row>
    <row r="224" spans="2:22" ht="12.3" x14ac:dyDescent="0.4">
      <c r="B224" s="2"/>
      <c r="C224" s="2"/>
      <c r="D224" s="2"/>
      <c r="E224" s="7"/>
      <c r="F224" s="14"/>
      <c r="G224" s="2" t="str">
        <f>'Overall Rankings'!BM225</f>
        <v>Paide Linnameeskond</v>
      </c>
      <c r="H224" s="7">
        <f>'Overall Rankings'!BN225</f>
        <v>0.62999999999999989</v>
      </c>
      <c r="I224" s="2" t="str">
        <f>'Overall Rankings'!BS225</f>
        <v>Estonia</v>
      </c>
      <c r="J224" s="2" t="s">
        <v>223</v>
      </c>
      <c r="K224" s="7">
        <v>1.7650000000000001</v>
      </c>
      <c r="L224" s="2" t="s">
        <v>63</v>
      </c>
      <c r="M224" s="20"/>
      <c r="V224" s="19"/>
    </row>
    <row r="225" spans="2:22" ht="12.3" x14ac:dyDescent="0.4">
      <c r="B225" s="2"/>
      <c r="C225" s="2"/>
      <c r="D225" s="2"/>
      <c r="E225" s="7"/>
      <c r="F225" s="14"/>
      <c r="G225" s="2" t="str">
        <f>'Overall Rankings'!BM226</f>
        <v>Shirak</v>
      </c>
      <c r="H225" s="7">
        <f>'Overall Rankings'!BN226</f>
        <v>0.61499999999999999</v>
      </c>
      <c r="I225" s="2" t="str">
        <f>'Overall Rankings'!BS226</f>
        <v>Armenia</v>
      </c>
      <c r="J225" s="2" t="s">
        <v>79</v>
      </c>
      <c r="K225" s="7">
        <v>7.8</v>
      </c>
      <c r="L225" s="2" t="s">
        <v>80</v>
      </c>
      <c r="V225" s="19"/>
    </row>
    <row r="226" spans="2:22" ht="12.3" x14ac:dyDescent="0.4">
      <c r="B226" s="2"/>
      <c r="C226" s="2"/>
      <c r="D226" s="2"/>
      <c r="E226" s="7"/>
      <c r="F226" s="14"/>
      <c r="G226" s="2" t="str">
        <f>'Overall Rankings'!BM227</f>
        <v>Saburtalo Tbilisi</v>
      </c>
      <c r="H226" s="7">
        <f>'Overall Rankings'!BN227</f>
        <v>0.59000000000000008</v>
      </c>
      <c r="I226" s="2" t="str">
        <f>'Overall Rankings'!BS227</f>
        <v>Georgia</v>
      </c>
      <c r="J226" s="2" t="s">
        <v>119</v>
      </c>
      <c r="K226" s="7">
        <v>4.7887499999999994</v>
      </c>
      <c r="L226" s="2" t="s">
        <v>80</v>
      </c>
      <c r="M226" s="20"/>
      <c r="V226" s="19"/>
    </row>
    <row r="227" spans="2:22" ht="12.3" x14ac:dyDescent="0.4">
      <c r="B227" s="2"/>
      <c r="C227" s="2"/>
      <c r="D227" s="2"/>
      <c r="E227" s="7"/>
      <c r="F227" s="14"/>
      <c r="G227" s="2" t="str">
        <f>'Overall Rankings'!BM228</f>
        <v>Vaduz</v>
      </c>
      <c r="H227" s="7">
        <f>'Overall Rankings'!BN228</f>
        <v>0.58000000000000007</v>
      </c>
      <c r="I227" s="2" t="str">
        <f>'Overall Rankings'!BS228</f>
        <v>Lichtenstein</v>
      </c>
      <c r="J227" s="2" t="s">
        <v>130</v>
      </c>
      <c r="K227" s="7">
        <v>4.2033333333333331</v>
      </c>
      <c r="L227" s="2" t="s">
        <v>80</v>
      </c>
      <c r="V227" s="19"/>
    </row>
    <row r="228" spans="2:22" ht="12.3" x14ac:dyDescent="0.4">
      <c r="B228" s="2"/>
      <c r="C228" s="2"/>
      <c r="D228" s="2"/>
      <c r="E228" s="7"/>
      <c r="F228" s="14"/>
      <c r="G228" s="2" t="str">
        <f>'Overall Rankings'!BM229</f>
        <v>Žilina</v>
      </c>
      <c r="H228" s="7">
        <f>'Overall Rankings'!BN229</f>
        <v>0.56000000000000005</v>
      </c>
      <c r="I228" s="2" t="str">
        <f>'Overall Rankings'!BS229</f>
        <v>Slovakia</v>
      </c>
      <c r="J228" s="2" t="s">
        <v>185</v>
      </c>
      <c r="K228" s="7">
        <v>2.3949999999999996</v>
      </c>
      <c r="L228" s="2" t="s">
        <v>80</v>
      </c>
      <c r="M228" s="20"/>
      <c r="V228" s="19"/>
    </row>
    <row r="229" spans="2:22" ht="12.3" x14ac:dyDescent="0.4">
      <c r="B229" s="2"/>
      <c r="C229" s="2"/>
      <c r="D229" s="2"/>
      <c r="E229" s="7"/>
      <c r="F229" s="14"/>
      <c r="G229" s="2" t="str">
        <f>'Overall Rankings'!BM230</f>
        <v>Union Titus Pétange</v>
      </c>
      <c r="H229" s="7">
        <f>'Overall Rankings'!BN230</f>
        <v>0.52</v>
      </c>
      <c r="I229" s="2" t="str">
        <f>'Overall Rankings'!BS230</f>
        <v>Luxembourg</v>
      </c>
      <c r="J229" s="2" t="s">
        <v>228</v>
      </c>
      <c r="K229" s="7">
        <v>1.675</v>
      </c>
      <c r="L229" s="2" t="s">
        <v>80</v>
      </c>
      <c r="V229" s="19"/>
    </row>
    <row r="230" spans="2:22" ht="12.3" x14ac:dyDescent="0.4">
      <c r="B230" s="2"/>
      <c r="C230" s="2"/>
      <c r="D230" s="2"/>
      <c r="E230" s="7"/>
      <c r="F230" s="14"/>
      <c r="G230" s="2" t="str">
        <f>'Overall Rankings'!BM231</f>
        <v>St Joseph's</v>
      </c>
      <c r="H230" s="7">
        <f>'Overall Rankings'!BN231</f>
        <v>0.51500000000000001</v>
      </c>
      <c r="I230" s="2" t="str">
        <f>'Overall Rankings'!BS231</f>
        <v>Gibraltar</v>
      </c>
      <c r="J230" s="2" t="s">
        <v>42</v>
      </c>
      <c r="K230" s="7">
        <v>11.121499999999999</v>
      </c>
      <c r="L230" s="2" t="s">
        <v>43</v>
      </c>
      <c r="M230" s="20"/>
      <c r="V230" s="19"/>
    </row>
    <row r="231" spans="2:22" ht="12.3" x14ac:dyDescent="0.4">
      <c r="B231" s="2"/>
      <c r="C231" s="2"/>
      <c r="D231" s="2"/>
      <c r="E231" s="7"/>
      <c r="F231" s="14"/>
      <c r="G231" s="2" t="str">
        <f>'Overall Rankings'!BM232</f>
        <v>HB Tórshavn</v>
      </c>
      <c r="H231" s="7">
        <f>'Overall Rankings'!BN232</f>
        <v>0.495</v>
      </c>
      <c r="I231" s="2" t="str">
        <f>'Overall Rankings'!BS232</f>
        <v>Faroe Islands</v>
      </c>
      <c r="J231" s="2" t="s">
        <v>44</v>
      </c>
      <c r="K231" s="7">
        <v>11.043365384615385</v>
      </c>
      <c r="L231" s="2" t="s">
        <v>43</v>
      </c>
      <c r="V231" s="19"/>
    </row>
    <row r="232" spans="2:22" ht="12.3" x14ac:dyDescent="0.4">
      <c r="B232" s="2"/>
      <c r="C232" s="2"/>
      <c r="D232" s="2"/>
      <c r="E232" s="7"/>
      <c r="F232" s="14"/>
      <c r="G232" s="2" t="str">
        <f>'Overall Rankings'!BM233</f>
        <v>La Fiorita</v>
      </c>
      <c r="H232" s="7">
        <f>'Overall Rankings'!BN233</f>
        <v>0.495</v>
      </c>
      <c r="I232" s="2" t="str">
        <f>'Overall Rankings'!BS233</f>
        <v>San Marino</v>
      </c>
      <c r="J232" s="2" t="s">
        <v>116</v>
      </c>
      <c r="K232" s="7">
        <v>4.9712499999999995</v>
      </c>
      <c r="L232" s="2" t="s">
        <v>43</v>
      </c>
      <c r="M232" s="20"/>
      <c r="V232" s="19"/>
    </row>
    <row r="233" spans="2:22" ht="12.3" x14ac:dyDescent="0.4">
      <c r="B233" s="2"/>
      <c r="C233" s="2"/>
      <c r="D233" s="2"/>
      <c r="E233" s="7"/>
      <c r="F233" s="14"/>
      <c r="G233" s="2" t="str">
        <f>'Overall Rankings'!BM234</f>
        <v>Nõmme Kalju</v>
      </c>
      <c r="H233" s="7">
        <f>'Overall Rankings'!BN234</f>
        <v>0.46999999999999992</v>
      </c>
      <c r="I233" s="2" t="str">
        <f>'Overall Rankings'!BS234</f>
        <v>Estonia</v>
      </c>
      <c r="J233" s="2" t="s">
        <v>166</v>
      </c>
      <c r="K233" s="7">
        <v>3.0262500000000001</v>
      </c>
      <c r="L233" s="2" t="s">
        <v>43</v>
      </c>
      <c r="V233" s="19"/>
    </row>
    <row r="234" spans="2:22" ht="12.3" x14ac:dyDescent="0.4">
      <c r="B234" s="2"/>
      <c r="C234" s="2"/>
      <c r="D234" s="2"/>
      <c r="E234" s="7"/>
      <c r="F234" s="14"/>
      <c r="G234" s="2" t="str">
        <f>'Overall Rankings'!BM235</f>
        <v>Kauno Žalgiris</v>
      </c>
      <c r="H234" s="7">
        <f>'Overall Rankings'!BN235</f>
        <v>0.435</v>
      </c>
      <c r="I234" s="2" t="str">
        <f>'Overall Rankings'!BS235</f>
        <v>Lithuania</v>
      </c>
      <c r="J234" s="2" t="s">
        <v>227</v>
      </c>
      <c r="K234" s="7">
        <v>1.7</v>
      </c>
      <c r="L234" s="2" t="s">
        <v>43</v>
      </c>
      <c r="M234" s="20"/>
      <c r="V234" s="19"/>
    </row>
    <row r="235" spans="2:22" ht="12.3" x14ac:dyDescent="0.4">
      <c r="B235" s="2"/>
      <c r="C235" s="2"/>
      <c r="D235" s="2"/>
      <c r="E235" s="7"/>
      <c r="F235" s="14"/>
      <c r="G235" s="2" t="str">
        <f>'Overall Rankings'!BM236</f>
        <v>Engordany</v>
      </c>
      <c r="H235" s="7">
        <f>'Overall Rankings'!BN236</f>
        <v>0.38</v>
      </c>
      <c r="I235" s="2" t="str">
        <f>'Overall Rankings'!BS236</f>
        <v>Andorra</v>
      </c>
      <c r="J235" s="2" t="s">
        <v>193</v>
      </c>
      <c r="K235" s="7">
        <v>2.3112499999999998</v>
      </c>
      <c r="L235" s="2" t="s">
        <v>194</v>
      </c>
      <c r="V235" s="19"/>
    </row>
    <row r="236" spans="2:22" ht="12.3" x14ac:dyDescent="0.4">
      <c r="B236" s="2"/>
      <c r="C236" s="2"/>
      <c r="D236" s="2"/>
      <c r="E236" s="7"/>
      <c r="F236" s="14"/>
      <c r="G236" s="2" t="str">
        <f>'Overall Rankings'!BM237</f>
        <v>Tre Penne</v>
      </c>
      <c r="H236" s="7">
        <f>'Overall Rankings'!BN237</f>
        <v>0.36</v>
      </c>
      <c r="I236" s="2" t="str">
        <f>'Overall Rankings'!BS237</f>
        <v>San Marino</v>
      </c>
      <c r="J236" s="2" t="s">
        <v>215</v>
      </c>
      <c r="K236" s="7">
        <v>2.0287500000000001</v>
      </c>
      <c r="L236" s="2" t="s">
        <v>194</v>
      </c>
      <c r="M236" s="20"/>
      <c r="V236" s="19"/>
    </row>
    <row r="237" spans="2:22" ht="12.3" x14ac:dyDescent="0.4">
      <c r="B237" s="2"/>
      <c r="C237" s="2"/>
      <c r="D237" s="2"/>
      <c r="E237" s="7"/>
      <c r="F237" s="14"/>
      <c r="G237" s="2" t="str">
        <f>'Overall Rankings'!BM238</f>
        <v>Prishtina</v>
      </c>
      <c r="H237" s="7">
        <f>'Overall Rankings'!BN238</f>
        <v>0.24499999999999997</v>
      </c>
      <c r="I237" s="2" t="str">
        <f>'Overall Rankings'!BS238</f>
        <v>Kosovo</v>
      </c>
      <c r="J237" s="2" t="s">
        <v>242</v>
      </c>
      <c r="K237" s="7">
        <v>1.2774999999999999</v>
      </c>
      <c r="L237" s="2" t="s">
        <v>194</v>
      </c>
      <c r="V237" s="19"/>
    </row>
    <row r="238" spans="2:22" ht="12.3" x14ac:dyDescent="0.4">
      <c r="B238" s="2"/>
      <c r="C238" s="2"/>
      <c r="D238" s="2"/>
      <c r="E238" s="7"/>
      <c r="F238" s="14"/>
      <c r="G238" s="2" t="str">
        <f>'Overall Rankings'!BM239</f>
        <v>Barry Town United</v>
      </c>
      <c r="H238" s="7">
        <f>'Overall Rankings'!BN239</f>
        <v>0.12999999999999998</v>
      </c>
      <c r="I238" s="2" t="str">
        <f>'Overall Rankings'!BS239</f>
        <v>Wales</v>
      </c>
      <c r="J238" s="2" t="s">
        <v>308</v>
      </c>
      <c r="K238" s="7">
        <v>0.12999999999999998</v>
      </c>
      <c r="L238" s="2" t="s">
        <v>194</v>
      </c>
      <c r="M238" s="20"/>
      <c r="V238" s="19"/>
    </row>
    <row r="239" spans="2:22" ht="12.3" x14ac:dyDescent="0.4">
      <c r="B239" s="2"/>
      <c r="C239" s="2"/>
      <c r="D239" s="2"/>
      <c r="E239" s="7"/>
      <c r="F239" s="14"/>
      <c r="J239" s="2"/>
      <c r="K239" s="2"/>
      <c r="L239" s="2"/>
      <c r="V239" s="19"/>
    </row>
    <row r="240" spans="2:22" ht="12.3" x14ac:dyDescent="0.4">
      <c r="B240" s="2"/>
      <c r="C240" s="2"/>
      <c r="D240" s="2"/>
      <c r="E240" s="7"/>
      <c r="F240" s="14"/>
      <c r="J240" s="2"/>
      <c r="K240" s="2"/>
      <c r="L240" s="2"/>
      <c r="V240" s="19"/>
    </row>
    <row r="241" spans="2:22" ht="12.3" x14ac:dyDescent="0.4">
      <c r="B241" s="2"/>
      <c r="C241" s="2"/>
      <c r="D241" s="2"/>
      <c r="E241" s="7"/>
      <c r="F241" s="14"/>
      <c r="J241" s="2"/>
      <c r="K241" s="2"/>
      <c r="L241" s="2"/>
      <c r="V241" s="19"/>
    </row>
    <row r="242" spans="2:22" ht="12.3" x14ac:dyDescent="0.4">
      <c r="B242" s="2"/>
      <c r="C242" s="2"/>
      <c r="D242" s="2"/>
      <c r="E242" s="7"/>
      <c r="F242" s="14"/>
      <c r="J242" s="2"/>
      <c r="K242" s="2"/>
      <c r="L242" s="2"/>
      <c r="V242" s="19"/>
    </row>
    <row r="243" spans="2:22" ht="12.3" x14ac:dyDescent="0.4">
      <c r="B243" s="2"/>
      <c r="C243" s="2"/>
      <c r="D243" s="2"/>
      <c r="E243" s="7"/>
      <c r="F243" s="14"/>
      <c r="J243" s="2"/>
      <c r="K243" s="2"/>
      <c r="L243" s="2"/>
      <c r="V243" s="19"/>
    </row>
    <row r="244" spans="2:22" ht="12.3" x14ac:dyDescent="0.4">
      <c r="B244" s="2"/>
      <c r="C244" s="2"/>
      <c r="D244" s="2"/>
      <c r="E244" s="7"/>
      <c r="F244" s="14"/>
      <c r="J244" s="2"/>
      <c r="K244" s="2"/>
      <c r="L244" s="2"/>
      <c r="V244" s="19"/>
    </row>
    <row r="245" spans="2:22" ht="12.3" x14ac:dyDescent="0.4">
      <c r="B245" s="2"/>
      <c r="C245" s="2"/>
      <c r="D245" s="2"/>
      <c r="E245" s="7"/>
      <c r="F245" s="14"/>
      <c r="J245" s="2"/>
      <c r="K245" s="2"/>
      <c r="L245" s="2"/>
      <c r="V245" s="19"/>
    </row>
    <row r="246" spans="2:22" ht="12.3" x14ac:dyDescent="0.4">
      <c r="B246" s="2"/>
      <c r="C246" s="2"/>
      <c r="D246" s="2"/>
      <c r="E246" s="7"/>
      <c r="F246" s="14"/>
      <c r="J246" s="2"/>
      <c r="K246" s="2"/>
      <c r="L246" s="2"/>
      <c r="V246" s="19"/>
    </row>
    <row r="247" spans="2:22" ht="12.3" x14ac:dyDescent="0.4">
      <c r="B247" s="2"/>
      <c r="C247" s="2"/>
      <c r="D247" s="2"/>
      <c r="E247" s="7"/>
      <c r="F247" s="14"/>
      <c r="J247" s="2"/>
      <c r="K247" s="2"/>
      <c r="L247" s="2"/>
      <c r="V247" s="19"/>
    </row>
    <row r="248" spans="2:22" ht="12.3" x14ac:dyDescent="0.4">
      <c r="B248" s="2"/>
      <c r="C248" s="2"/>
      <c r="D248" s="2"/>
      <c r="E248" s="7"/>
      <c r="F248" s="14"/>
      <c r="J248" s="2"/>
      <c r="K248" s="2"/>
      <c r="L248" s="2"/>
      <c r="V248" s="19"/>
    </row>
    <row r="249" spans="2:22" ht="12.3" x14ac:dyDescent="0.4">
      <c r="B249" s="2"/>
      <c r="C249" s="2"/>
      <c r="D249" s="2"/>
      <c r="E249" s="7"/>
      <c r="F249" s="14"/>
      <c r="J249" s="2"/>
      <c r="K249" s="2"/>
      <c r="L249" s="2"/>
      <c r="V249" s="19"/>
    </row>
    <row r="250" spans="2:22" ht="12.3" x14ac:dyDescent="0.4">
      <c r="B250" s="2"/>
      <c r="C250" s="2"/>
      <c r="D250" s="2"/>
      <c r="E250" s="7"/>
      <c r="F250" s="14"/>
      <c r="J250" s="2"/>
      <c r="K250" s="2"/>
      <c r="L250" s="2"/>
      <c r="V250" s="19"/>
    </row>
    <row r="251" spans="2:22" ht="12.3" x14ac:dyDescent="0.4">
      <c r="B251" s="2"/>
      <c r="C251" s="2"/>
      <c r="D251" s="2"/>
      <c r="E251" s="7"/>
      <c r="F251" s="14"/>
      <c r="J251" s="2"/>
      <c r="K251" s="2"/>
      <c r="L251" s="2"/>
      <c r="V251" s="19"/>
    </row>
    <row r="252" spans="2:22" ht="12.3" x14ac:dyDescent="0.4">
      <c r="B252" s="2"/>
      <c r="C252" s="2"/>
      <c r="D252" s="2"/>
      <c r="E252" s="7"/>
      <c r="F252" s="14"/>
      <c r="J252" s="2"/>
      <c r="K252" s="2"/>
      <c r="L252" s="2"/>
      <c r="V252" s="19"/>
    </row>
    <row r="253" spans="2:22" ht="12.3" x14ac:dyDescent="0.4">
      <c r="B253" s="2"/>
      <c r="C253" s="2"/>
      <c r="D253" s="2"/>
      <c r="E253" s="7"/>
      <c r="F253" s="14"/>
      <c r="J253" s="2"/>
      <c r="K253" s="2"/>
      <c r="L253" s="2"/>
      <c r="V253" s="19"/>
    </row>
    <row r="254" spans="2:22" ht="12.3" x14ac:dyDescent="0.4">
      <c r="B254" s="2"/>
      <c r="C254" s="2"/>
      <c r="D254" s="2"/>
      <c r="E254" s="7"/>
      <c r="F254" s="14"/>
      <c r="J254" s="2"/>
      <c r="K254" s="2"/>
      <c r="L254" s="2"/>
      <c r="V254" s="19"/>
    </row>
    <row r="255" spans="2:22" ht="12.3" x14ac:dyDescent="0.4">
      <c r="B255" s="2"/>
      <c r="C255" s="2"/>
      <c r="D255" s="2"/>
      <c r="E255" s="7"/>
      <c r="F255" s="14"/>
      <c r="J255" s="2"/>
      <c r="K255" s="2"/>
      <c r="L255" s="2"/>
      <c r="V255" s="19"/>
    </row>
    <row r="256" spans="2:22" ht="12.3" x14ac:dyDescent="0.4">
      <c r="B256" s="2"/>
      <c r="C256" s="2"/>
      <c r="D256" s="2"/>
      <c r="E256" s="7"/>
      <c r="F256" s="14"/>
      <c r="J256" s="2"/>
      <c r="K256" s="2"/>
      <c r="L256" s="2"/>
      <c r="V256" s="19"/>
    </row>
    <row r="257" spans="2:22" ht="12.3" x14ac:dyDescent="0.4">
      <c r="B257" s="2"/>
      <c r="C257" s="2"/>
      <c r="D257" s="2"/>
      <c r="E257" s="7"/>
      <c r="F257" s="14"/>
      <c r="J257" s="2"/>
      <c r="K257" s="2"/>
      <c r="L257" s="2"/>
      <c r="V257" s="19"/>
    </row>
    <row r="258" spans="2:22" ht="12.3" x14ac:dyDescent="0.4">
      <c r="B258" s="2"/>
      <c r="C258" s="2"/>
      <c r="D258" s="2"/>
      <c r="E258" s="7"/>
      <c r="F258" s="14"/>
      <c r="J258" s="2"/>
      <c r="K258" s="2"/>
      <c r="L258" s="2"/>
      <c r="V258" s="19"/>
    </row>
    <row r="259" spans="2:22" ht="12.3" x14ac:dyDescent="0.4">
      <c r="B259" s="2"/>
      <c r="C259" s="2"/>
      <c r="D259" s="2"/>
      <c r="E259" s="7"/>
      <c r="F259" s="14"/>
      <c r="J259" s="2"/>
      <c r="K259" s="2"/>
      <c r="L259" s="2"/>
      <c r="V259" s="19"/>
    </row>
    <row r="260" spans="2:22" ht="12.3" x14ac:dyDescent="0.4">
      <c r="B260" s="2"/>
      <c r="C260" s="2"/>
      <c r="D260" s="2"/>
      <c r="E260" s="7"/>
      <c r="F260" s="14"/>
      <c r="J260" s="2"/>
      <c r="K260" s="2"/>
      <c r="L260" s="2"/>
      <c r="V260" s="19"/>
    </row>
    <row r="261" spans="2:22" ht="12.3" x14ac:dyDescent="0.4">
      <c r="B261" s="2"/>
      <c r="C261" s="2"/>
      <c r="D261" s="2"/>
      <c r="E261" s="7"/>
      <c r="F261" s="14"/>
      <c r="J261" s="2"/>
      <c r="K261" s="2"/>
      <c r="L261" s="2"/>
      <c r="V261" s="19"/>
    </row>
    <row r="262" spans="2:22" ht="12.3" x14ac:dyDescent="0.4">
      <c r="B262" s="2"/>
      <c r="C262" s="2"/>
      <c r="D262" s="2"/>
      <c r="E262" s="7"/>
      <c r="F262" s="14"/>
      <c r="J262" s="2"/>
      <c r="K262" s="2"/>
      <c r="L262" s="2"/>
      <c r="V262" s="19"/>
    </row>
    <row r="263" spans="2:22" ht="12.3" x14ac:dyDescent="0.4">
      <c r="B263" s="2"/>
      <c r="C263" s="2"/>
      <c r="D263" s="2"/>
      <c r="E263" s="7"/>
      <c r="F263" s="14"/>
      <c r="J263" s="2"/>
      <c r="K263" s="2"/>
      <c r="L263" s="2"/>
      <c r="V263" s="19"/>
    </row>
    <row r="264" spans="2:22" ht="12.3" x14ac:dyDescent="0.4">
      <c r="B264" s="2"/>
      <c r="C264" s="2"/>
      <c r="D264" s="2"/>
      <c r="E264" s="7"/>
      <c r="F264" s="14"/>
      <c r="J264" s="2"/>
      <c r="K264" s="2"/>
      <c r="L264" s="2"/>
      <c r="V264" s="19"/>
    </row>
    <row r="265" spans="2:22" ht="12.3" x14ac:dyDescent="0.4">
      <c r="B265" s="2"/>
      <c r="C265" s="2"/>
      <c r="D265" s="2"/>
      <c r="E265" s="7"/>
      <c r="F265" s="14"/>
      <c r="J265" s="2"/>
      <c r="K265" s="2"/>
      <c r="L265" s="2"/>
      <c r="V265" s="19"/>
    </row>
    <row r="266" spans="2:22" ht="12.3" x14ac:dyDescent="0.4">
      <c r="B266" s="2"/>
      <c r="C266" s="2"/>
      <c r="D266" s="2"/>
      <c r="E266" s="7"/>
      <c r="F266" s="14"/>
      <c r="J266" s="2"/>
      <c r="K266" s="2"/>
      <c r="L266" s="2"/>
      <c r="V266" s="19"/>
    </row>
    <row r="267" spans="2:22" ht="12.3" x14ac:dyDescent="0.4">
      <c r="B267" s="2"/>
      <c r="C267" s="2"/>
      <c r="D267" s="2"/>
      <c r="E267" s="7"/>
      <c r="F267" s="14"/>
      <c r="J267" s="2"/>
      <c r="K267" s="2"/>
      <c r="L267" s="2"/>
      <c r="V267" s="19"/>
    </row>
    <row r="268" spans="2:22" ht="12.3" x14ac:dyDescent="0.4">
      <c r="B268" s="2"/>
      <c r="C268" s="2"/>
      <c r="D268" s="2"/>
      <c r="E268" s="7"/>
      <c r="F268" s="14"/>
      <c r="J268" s="2"/>
      <c r="K268" s="2"/>
      <c r="L268" s="2"/>
      <c r="V268" s="19"/>
    </row>
    <row r="269" spans="2:22" ht="12.3" x14ac:dyDescent="0.4">
      <c r="B269" s="2"/>
      <c r="C269" s="2"/>
      <c r="D269" s="2"/>
      <c r="E269" s="7"/>
      <c r="F269" s="14"/>
      <c r="J269" s="2"/>
      <c r="K269" s="2"/>
      <c r="L269" s="2"/>
      <c r="V269" s="19"/>
    </row>
    <row r="270" spans="2:22" ht="12.3" x14ac:dyDescent="0.4">
      <c r="B270" s="2"/>
      <c r="C270" s="2"/>
      <c r="D270" s="2"/>
      <c r="E270" s="7"/>
      <c r="F270" s="14"/>
      <c r="J270" s="2"/>
      <c r="K270" s="2"/>
      <c r="L270" s="2"/>
      <c r="V270" s="19"/>
    </row>
    <row r="271" spans="2:22" ht="12.3" x14ac:dyDescent="0.4">
      <c r="B271" s="2"/>
      <c r="C271" s="2"/>
      <c r="D271" s="2"/>
      <c r="E271" s="7"/>
      <c r="F271" s="14"/>
      <c r="J271" s="2"/>
      <c r="K271" s="2"/>
      <c r="L271" s="2"/>
      <c r="V271" s="19"/>
    </row>
    <row r="272" spans="2:22" ht="12.3" x14ac:dyDescent="0.4">
      <c r="B272" s="2"/>
      <c r="C272" s="2"/>
      <c r="D272" s="2"/>
      <c r="E272" s="7"/>
      <c r="F272" s="14"/>
      <c r="J272" s="2"/>
      <c r="K272" s="2"/>
      <c r="L272" s="2"/>
      <c r="V272" s="19"/>
    </row>
    <row r="273" spans="2:22" ht="12.3" x14ac:dyDescent="0.4">
      <c r="B273" s="2"/>
      <c r="C273" s="2"/>
      <c r="D273" s="2"/>
      <c r="E273" s="7"/>
      <c r="F273" s="14"/>
      <c r="J273" s="2"/>
      <c r="K273" s="2"/>
      <c r="L273" s="2"/>
      <c r="V273" s="19"/>
    </row>
    <row r="274" spans="2:22" ht="12.3" x14ac:dyDescent="0.4">
      <c r="B274" s="2"/>
      <c r="C274" s="2"/>
      <c r="D274" s="2"/>
      <c r="E274" s="7"/>
      <c r="F274" s="14"/>
      <c r="J274" s="2"/>
      <c r="K274" s="2"/>
      <c r="L274" s="2"/>
      <c r="V274" s="19"/>
    </row>
    <row r="275" spans="2:22" ht="12.3" x14ac:dyDescent="0.4">
      <c r="B275" s="2"/>
      <c r="C275" s="2"/>
      <c r="D275" s="2"/>
      <c r="E275" s="7"/>
      <c r="F275" s="14"/>
      <c r="J275" s="2"/>
      <c r="K275" s="2"/>
      <c r="L275" s="2"/>
      <c r="V275" s="19"/>
    </row>
    <row r="276" spans="2:22" ht="12.3" x14ac:dyDescent="0.4">
      <c r="B276" s="2"/>
      <c r="C276" s="2"/>
      <c r="D276" s="2"/>
      <c r="E276" s="7"/>
      <c r="F276" s="14"/>
      <c r="J276" s="2"/>
      <c r="K276" s="2"/>
      <c r="L276" s="2"/>
      <c r="V276" s="19"/>
    </row>
    <row r="277" spans="2:22" ht="12.3" x14ac:dyDescent="0.4">
      <c r="B277" s="2"/>
      <c r="C277" s="2"/>
      <c r="D277" s="2"/>
      <c r="E277" s="7"/>
      <c r="F277" s="14"/>
      <c r="J277" s="2"/>
      <c r="K277" s="2"/>
      <c r="L277" s="2"/>
      <c r="V277" s="19"/>
    </row>
    <row r="278" spans="2:22" ht="12.3" x14ac:dyDescent="0.4">
      <c r="B278" s="2"/>
      <c r="C278" s="2"/>
      <c r="D278" s="2"/>
      <c r="E278" s="7"/>
      <c r="F278" s="14"/>
      <c r="J278" s="2"/>
      <c r="K278" s="2"/>
      <c r="L278" s="2"/>
      <c r="V278" s="19"/>
    </row>
    <row r="279" spans="2:22" ht="12.3" x14ac:dyDescent="0.4">
      <c r="B279" s="2"/>
      <c r="C279" s="2"/>
      <c r="D279" s="2"/>
      <c r="E279" s="7"/>
      <c r="F279" s="14"/>
      <c r="J279" s="2"/>
      <c r="K279" s="2"/>
      <c r="L279" s="2"/>
      <c r="V279" s="19"/>
    </row>
    <row r="280" spans="2:22" ht="12.3" x14ac:dyDescent="0.4">
      <c r="B280" s="2"/>
      <c r="C280" s="2"/>
      <c r="D280" s="2"/>
      <c r="E280" s="7"/>
      <c r="F280" s="14"/>
      <c r="J280" s="2"/>
      <c r="K280" s="2"/>
      <c r="L280" s="2"/>
      <c r="V280" s="19"/>
    </row>
    <row r="281" spans="2:22" ht="12.3" x14ac:dyDescent="0.4">
      <c r="B281" s="2"/>
      <c r="C281" s="2"/>
      <c r="D281" s="2"/>
      <c r="E281" s="7"/>
      <c r="F281" s="14"/>
      <c r="J281" s="2"/>
      <c r="K281" s="2"/>
      <c r="L281" s="2"/>
      <c r="V281" s="19"/>
    </row>
    <row r="282" spans="2:22" ht="12.3" x14ac:dyDescent="0.4">
      <c r="B282" s="2"/>
      <c r="C282" s="2"/>
      <c r="D282" s="2"/>
      <c r="E282" s="7"/>
      <c r="F282" s="14"/>
      <c r="J282" s="2"/>
      <c r="K282" s="2"/>
      <c r="L282" s="2"/>
      <c r="V282" s="19"/>
    </row>
    <row r="283" spans="2:22" ht="12.3" x14ac:dyDescent="0.4">
      <c r="B283" s="2"/>
      <c r="C283" s="2"/>
      <c r="D283" s="2"/>
      <c r="E283" s="7"/>
      <c r="F283" s="14"/>
      <c r="J283" s="2"/>
      <c r="K283" s="2"/>
      <c r="L283" s="2"/>
      <c r="V283" s="19"/>
    </row>
    <row r="284" spans="2:22" ht="12.3" x14ac:dyDescent="0.4">
      <c r="B284" s="2"/>
      <c r="C284" s="2"/>
      <c r="D284" s="2"/>
      <c r="E284" s="7"/>
      <c r="F284" s="14"/>
      <c r="J284" s="2"/>
      <c r="K284" s="2"/>
      <c r="L284" s="2"/>
      <c r="V284" s="19"/>
    </row>
    <row r="285" spans="2:22" ht="12.3" x14ac:dyDescent="0.4">
      <c r="B285" s="2"/>
      <c r="C285" s="2"/>
      <c r="D285" s="2"/>
      <c r="E285" s="7"/>
      <c r="F285" s="14"/>
      <c r="J285" s="2"/>
      <c r="K285" s="2"/>
      <c r="L285" s="2"/>
      <c r="V285" s="19"/>
    </row>
    <row r="286" spans="2:22" ht="12.3" x14ac:dyDescent="0.4">
      <c r="B286" s="2"/>
      <c r="C286" s="2"/>
      <c r="D286" s="2"/>
      <c r="E286" s="7"/>
      <c r="F286" s="14"/>
      <c r="J286" s="2"/>
      <c r="K286" s="2"/>
      <c r="L286" s="2"/>
      <c r="V286" s="19"/>
    </row>
    <row r="287" spans="2:22" ht="12.3" x14ac:dyDescent="0.4">
      <c r="B287" s="2"/>
      <c r="C287" s="2"/>
      <c r="D287" s="2"/>
      <c r="E287" s="7"/>
      <c r="F287" s="14"/>
      <c r="J287" s="2"/>
      <c r="K287" s="2"/>
      <c r="L287" s="2"/>
      <c r="V287" s="19"/>
    </row>
    <row r="288" spans="2:22" ht="12.3" x14ac:dyDescent="0.4">
      <c r="B288" s="2"/>
      <c r="C288" s="2"/>
      <c r="D288" s="2"/>
      <c r="E288" s="7"/>
      <c r="F288" s="14"/>
      <c r="J288" s="2"/>
      <c r="K288" s="2"/>
      <c r="L288" s="2"/>
      <c r="V288" s="19"/>
    </row>
    <row r="289" spans="2:22" ht="12.3" x14ac:dyDescent="0.4">
      <c r="B289" s="2"/>
      <c r="C289" s="2"/>
      <c r="D289" s="2"/>
      <c r="E289" s="7"/>
      <c r="F289" s="14"/>
      <c r="J289" s="2"/>
      <c r="K289" s="2"/>
      <c r="L289" s="2"/>
      <c r="V289" s="19"/>
    </row>
    <row r="290" spans="2:22" ht="12.3" x14ac:dyDescent="0.4">
      <c r="B290" s="2"/>
      <c r="C290" s="2"/>
      <c r="D290" s="2"/>
      <c r="E290" s="7"/>
      <c r="F290" s="14"/>
      <c r="J290" s="2"/>
      <c r="K290" s="2"/>
      <c r="L290" s="2"/>
      <c r="V290" s="19"/>
    </row>
    <row r="291" spans="2:22" ht="12.3" x14ac:dyDescent="0.4">
      <c r="B291" s="2"/>
      <c r="C291" s="2"/>
      <c r="D291" s="2"/>
      <c r="E291" s="7"/>
      <c r="F291" s="14"/>
      <c r="J291" s="2"/>
      <c r="K291" s="2"/>
      <c r="L291" s="2"/>
      <c r="V291" s="19"/>
    </row>
    <row r="292" spans="2:22" ht="12.3" x14ac:dyDescent="0.4">
      <c r="B292" s="2"/>
      <c r="C292" s="2"/>
      <c r="D292" s="2"/>
      <c r="E292" s="7"/>
      <c r="F292" s="14"/>
      <c r="J292" s="2"/>
      <c r="K292" s="2"/>
      <c r="L292" s="2"/>
      <c r="V292" s="19"/>
    </row>
    <row r="293" spans="2:22" ht="12.3" x14ac:dyDescent="0.4">
      <c r="B293" s="2"/>
      <c r="C293" s="2"/>
      <c r="D293" s="2"/>
      <c r="E293" s="7"/>
      <c r="F293" s="14"/>
      <c r="J293" s="2"/>
      <c r="K293" s="2"/>
      <c r="L293" s="2"/>
      <c r="V293" s="19"/>
    </row>
    <row r="294" spans="2:22" ht="12.3" x14ac:dyDescent="0.4">
      <c r="B294" s="2"/>
      <c r="C294" s="2"/>
      <c r="D294" s="2"/>
      <c r="E294" s="7"/>
      <c r="F294" s="14"/>
      <c r="J294" s="2"/>
      <c r="K294" s="2"/>
      <c r="L294" s="2"/>
      <c r="V294" s="19"/>
    </row>
    <row r="295" spans="2:22" ht="12.3" x14ac:dyDescent="0.4">
      <c r="B295" s="2"/>
      <c r="C295" s="2"/>
      <c r="D295" s="2"/>
      <c r="E295" s="7"/>
      <c r="F295" s="14"/>
      <c r="J295" s="2"/>
      <c r="K295" s="2"/>
      <c r="L295" s="2"/>
      <c r="V295" s="19"/>
    </row>
    <row r="296" spans="2:22" ht="12.3" x14ac:dyDescent="0.4">
      <c r="B296" s="2"/>
      <c r="C296" s="2"/>
      <c r="D296" s="2"/>
      <c r="E296" s="7"/>
      <c r="F296" s="14"/>
      <c r="J296" s="2"/>
      <c r="K296" s="2"/>
      <c r="L296" s="2"/>
      <c r="V296" s="19"/>
    </row>
    <row r="297" spans="2:22" ht="12.3" x14ac:dyDescent="0.4">
      <c r="B297" s="2"/>
      <c r="C297" s="2"/>
      <c r="D297" s="2"/>
      <c r="E297" s="7"/>
      <c r="F297" s="14"/>
      <c r="J297" s="2"/>
      <c r="K297" s="2"/>
      <c r="L297" s="2"/>
      <c r="V297" s="19"/>
    </row>
    <row r="298" spans="2:22" ht="12.3" x14ac:dyDescent="0.4">
      <c r="B298" s="2"/>
      <c r="C298" s="2"/>
      <c r="D298" s="2"/>
      <c r="E298" s="7"/>
      <c r="F298" s="14"/>
      <c r="J298" s="2"/>
      <c r="K298" s="2"/>
      <c r="L298" s="2"/>
      <c r="V298" s="19"/>
    </row>
    <row r="299" spans="2:22" ht="12.3" x14ac:dyDescent="0.4">
      <c r="B299" s="2"/>
      <c r="C299" s="2"/>
      <c r="D299" s="2"/>
      <c r="E299" s="7"/>
      <c r="F299" s="14"/>
      <c r="J299" s="2"/>
      <c r="K299" s="2"/>
      <c r="L299" s="2"/>
      <c r="V299" s="19"/>
    </row>
    <row r="300" spans="2:22" ht="12.3" x14ac:dyDescent="0.4">
      <c r="B300" s="2"/>
      <c r="C300" s="2"/>
      <c r="D300" s="2"/>
      <c r="E300" s="7"/>
      <c r="F300" s="14"/>
      <c r="J300" s="2"/>
      <c r="K300" s="2"/>
      <c r="L300" s="2"/>
      <c r="V300" s="19"/>
    </row>
    <row r="301" spans="2:22" ht="12.3" x14ac:dyDescent="0.4">
      <c r="B301" s="2"/>
      <c r="C301" s="2"/>
      <c r="D301" s="2"/>
      <c r="E301" s="7"/>
      <c r="F301" s="14"/>
      <c r="J301" s="2"/>
      <c r="K301" s="2"/>
      <c r="L301" s="2"/>
      <c r="V301" s="19"/>
    </row>
    <row r="302" spans="2:22" ht="12.3" x14ac:dyDescent="0.4">
      <c r="B302" s="2"/>
      <c r="C302" s="2"/>
      <c r="D302" s="2"/>
      <c r="E302" s="7"/>
      <c r="F302" s="14"/>
      <c r="J302" s="2"/>
      <c r="K302" s="2"/>
      <c r="L302" s="2"/>
      <c r="V302" s="19"/>
    </row>
    <row r="303" spans="2:22" ht="12.3" x14ac:dyDescent="0.4">
      <c r="B303" s="2"/>
      <c r="C303" s="2"/>
      <c r="D303" s="2"/>
      <c r="E303" s="7"/>
      <c r="F303" s="14"/>
      <c r="J303" s="2"/>
      <c r="K303" s="2"/>
      <c r="L303" s="2"/>
      <c r="V303" s="19"/>
    </row>
    <row r="304" spans="2:22" ht="12.3" x14ac:dyDescent="0.4">
      <c r="B304" s="2"/>
      <c r="C304" s="2"/>
      <c r="D304" s="2"/>
      <c r="E304" s="7"/>
      <c r="F304" s="14"/>
      <c r="J304" s="2"/>
      <c r="K304" s="2"/>
      <c r="L304" s="2"/>
      <c r="V304" s="19"/>
    </row>
    <row r="305" spans="2:22" ht="12.3" x14ac:dyDescent="0.4">
      <c r="B305" s="2"/>
      <c r="C305" s="2"/>
      <c r="D305" s="2"/>
      <c r="E305" s="7"/>
      <c r="F305" s="14"/>
      <c r="J305" s="2"/>
      <c r="K305" s="2"/>
      <c r="L305" s="2"/>
      <c r="V305" s="19"/>
    </row>
    <row r="306" spans="2:22" ht="12.3" x14ac:dyDescent="0.4">
      <c r="B306" s="2"/>
      <c r="C306" s="2"/>
      <c r="D306" s="2"/>
      <c r="E306" s="7"/>
      <c r="F306" s="14"/>
      <c r="J306" s="2"/>
      <c r="K306" s="2"/>
      <c r="L306" s="2"/>
      <c r="V306" s="19"/>
    </row>
    <row r="307" spans="2:22" ht="12.3" x14ac:dyDescent="0.4">
      <c r="B307" s="2"/>
      <c r="C307" s="2"/>
      <c r="D307" s="2"/>
      <c r="E307" s="7"/>
      <c r="F307" s="14"/>
      <c r="J307" s="2"/>
      <c r="K307" s="2"/>
      <c r="L307" s="2"/>
      <c r="V307" s="19"/>
    </row>
    <row r="308" spans="2:22" ht="12.3" x14ac:dyDescent="0.4">
      <c r="B308" s="2"/>
      <c r="C308" s="2"/>
      <c r="D308" s="2"/>
      <c r="E308" s="7"/>
      <c r="F308" s="14"/>
      <c r="J308" s="2"/>
      <c r="K308" s="2"/>
      <c r="L308" s="2"/>
      <c r="V308" s="19"/>
    </row>
    <row r="309" spans="2:22" ht="12.3" x14ac:dyDescent="0.4">
      <c r="B309" s="2"/>
      <c r="C309" s="2"/>
      <c r="D309" s="2"/>
      <c r="E309" s="7"/>
      <c r="F309" s="14"/>
      <c r="J309" s="2"/>
      <c r="K309" s="2"/>
      <c r="L309" s="2"/>
      <c r="V309" s="19"/>
    </row>
    <row r="310" spans="2:22" ht="12.3" x14ac:dyDescent="0.4">
      <c r="B310" s="2"/>
      <c r="C310" s="2"/>
      <c r="D310" s="2"/>
      <c r="E310" s="7"/>
      <c r="F310" s="14"/>
      <c r="J310" s="2"/>
      <c r="K310" s="2"/>
      <c r="L310" s="2"/>
      <c r="V310" s="19"/>
    </row>
    <row r="311" spans="2:22" ht="12.3" x14ac:dyDescent="0.4">
      <c r="B311" s="2"/>
      <c r="C311" s="2"/>
      <c r="D311" s="2"/>
      <c r="E311" s="7"/>
      <c r="F311" s="14"/>
      <c r="J311" s="2"/>
      <c r="K311" s="2"/>
      <c r="L311" s="2"/>
      <c r="V311" s="19"/>
    </row>
    <row r="312" spans="2:22" ht="12.3" x14ac:dyDescent="0.4">
      <c r="B312" s="2"/>
      <c r="C312" s="2"/>
      <c r="D312" s="2"/>
      <c r="E312" s="7"/>
      <c r="F312" s="14"/>
      <c r="J312" s="2"/>
      <c r="K312" s="2"/>
      <c r="L312" s="2"/>
      <c r="V312" s="19"/>
    </row>
    <row r="313" spans="2:22" ht="12.3" x14ac:dyDescent="0.4">
      <c r="B313" s="2"/>
      <c r="C313" s="2"/>
      <c r="D313" s="2"/>
      <c r="E313" s="7"/>
      <c r="F313" s="14"/>
      <c r="J313" s="2"/>
      <c r="K313" s="2"/>
      <c r="L313" s="2"/>
      <c r="V313" s="19"/>
    </row>
    <row r="314" spans="2:22" ht="12.3" x14ac:dyDescent="0.4">
      <c r="B314" s="2"/>
      <c r="C314" s="2"/>
      <c r="D314" s="2"/>
      <c r="E314" s="7"/>
      <c r="F314" s="14"/>
      <c r="J314" s="2"/>
      <c r="K314" s="2"/>
      <c r="L314" s="2"/>
      <c r="V314" s="19"/>
    </row>
    <row r="315" spans="2:22" ht="12.3" x14ac:dyDescent="0.4">
      <c r="B315" s="2"/>
      <c r="C315" s="2"/>
      <c r="D315" s="2"/>
      <c r="E315" s="7"/>
      <c r="F315" s="14"/>
      <c r="J315" s="2"/>
      <c r="K315" s="2"/>
      <c r="L315" s="2"/>
      <c r="V315" s="19"/>
    </row>
    <row r="316" spans="2:22" ht="12.3" x14ac:dyDescent="0.4">
      <c r="B316" s="2"/>
      <c r="C316" s="2"/>
      <c r="D316" s="2"/>
      <c r="E316" s="7"/>
      <c r="F316" s="14"/>
      <c r="J316" s="2"/>
      <c r="K316" s="2"/>
      <c r="L316" s="2"/>
      <c r="V316" s="19"/>
    </row>
    <row r="317" spans="2:22" ht="12.3" x14ac:dyDescent="0.4">
      <c r="B317" s="2"/>
      <c r="C317" s="2"/>
      <c r="D317" s="2"/>
      <c r="E317" s="7"/>
      <c r="F317" s="14"/>
      <c r="J317" s="2"/>
      <c r="K317" s="2"/>
      <c r="L317" s="2"/>
      <c r="V317" s="19"/>
    </row>
    <row r="318" spans="2:22" ht="12.3" x14ac:dyDescent="0.4">
      <c r="B318" s="2"/>
      <c r="C318" s="2"/>
      <c r="D318" s="2"/>
      <c r="E318" s="7"/>
      <c r="F318" s="14"/>
      <c r="J318" s="2"/>
      <c r="K318" s="2"/>
      <c r="L318" s="2"/>
      <c r="V318" s="19"/>
    </row>
    <row r="319" spans="2:22" ht="12.3" x14ac:dyDescent="0.4">
      <c r="B319" s="2"/>
      <c r="C319" s="2"/>
      <c r="D319" s="2"/>
      <c r="E319" s="7"/>
      <c r="F319" s="14"/>
      <c r="J319" s="2"/>
      <c r="K319" s="2"/>
      <c r="L319" s="2"/>
      <c r="V319" s="19"/>
    </row>
    <row r="320" spans="2:22" ht="12.3" x14ac:dyDescent="0.4">
      <c r="B320" s="2"/>
      <c r="C320" s="2"/>
      <c r="D320" s="2"/>
      <c r="E320" s="7"/>
      <c r="F320" s="14"/>
      <c r="J320" s="2"/>
      <c r="K320" s="2"/>
      <c r="L320" s="2"/>
      <c r="V320" s="19"/>
    </row>
    <row r="321" spans="2:22" ht="12.3" x14ac:dyDescent="0.4">
      <c r="B321" s="2"/>
      <c r="C321" s="2"/>
      <c r="D321" s="2"/>
      <c r="E321" s="7"/>
      <c r="F321" s="14"/>
      <c r="J321" s="2"/>
      <c r="K321" s="2"/>
      <c r="L321" s="2"/>
      <c r="V321" s="19"/>
    </row>
    <row r="322" spans="2:22" ht="12.3" x14ac:dyDescent="0.4">
      <c r="B322" s="2"/>
      <c r="C322" s="2"/>
      <c r="D322" s="2"/>
      <c r="E322" s="7"/>
      <c r="F322" s="14"/>
      <c r="J322" s="2"/>
      <c r="K322" s="2"/>
      <c r="L322" s="2"/>
      <c r="V322" s="19"/>
    </row>
    <row r="323" spans="2:22" ht="12.3" x14ac:dyDescent="0.4">
      <c r="B323" s="2"/>
      <c r="C323" s="2"/>
      <c r="D323" s="2"/>
      <c r="E323" s="7"/>
      <c r="F323" s="14"/>
      <c r="J323" s="2"/>
      <c r="K323" s="2"/>
      <c r="L323" s="2"/>
      <c r="V323" s="19"/>
    </row>
    <row r="324" spans="2:22" ht="12.3" x14ac:dyDescent="0.4">
      <c r="B324" s="2"/>
      <c r="C324" s="2"/>
      <c r="D324" s="2"/>
      <c r="E324" s="7"/>
      <c r="F324" s="14"/>
      <c r="J324" s="2"/>
      <c r="K324" s="2"/>
      <c r="L324" s="2"/>
      <c r="V324" s="19"/>
    </row>
    <row r="325" spans="2:22" ht="12.3" x14ac:dyDescent="0.4">
      <c r="B325" s="2"/>
      <c r="C325" s="2"/>
      <c r="D325" s="2"/>
      <c r="E325" s="7"/>
      <c r="F325" s="14"/>
      <c r="J325" s="2"/>
      <c r="K325" s="2"/>
      <c r="L325" s="2"/>
      <c r="V325" s="19"/>
    </row>
    <row r="326" spans="2:22" ht="12.3" x14ac:dyDescent="0.4">
      <c r="B326" s="2"/>
      <c r="C326" s="2"/>
      <c r="D326" s="2"/>
      <c r="E326" s="7"/>
      <c r="F326" s="14"/>
      <c r="J326" s="2"/>
      <c r="K326" s="2"/>
      <c r="L326" s="2"/>
      <c r="V326" s="19"/>
    </row>
    <row r="327" spans="2:22" ht="12.3" x14ac:dyDescent="0.4">
      <c r="B327" s="2"/>
      <c r="C327" s="2"/>
      <c r="D327" s="2"/>
      <c r="E327" s="7"/>
      <c r="F327" s="14"/>
      <c r="J327" s="2"/>
      <c r="K327" s="2"/>
      <c r="L327" s="2"/>
      <c r="V327" s="19"/>
    </row>
    <row r="328" spans="2:22" ht="12.3" x14ac:dyDescent="0.4">
      <c r="B328" s="2"/>
      <c r="C328" s="2"/>
      <c r="D328" s="2"/>
      <c r="E328" s="7"/>
      <c r="F328" s="14"/>
      <c r="J328" s="2"/>
      <c r="K328" s="2"/>
      <c r="L328" s="2"/>
      <c r="V328" s="19"/>
    </row>
    <row r="329" spans="2:22" ht="12.3" x14ac:dyDescent="0.4">
      <c r="B329" s="2"/>
      <c r="C329" s="2"/>
      <c r="D329" s="2"/>
      <c r="E329" s="7"/>
      <c r="F329" s="14"/>
      <c r="J329" s="2"/>
      <c r="K329" s="2"/>
      <c r="L329" s="2"/>
      <c r="V329" s="19"/>
    </row>
    <row r="330" spans="2:22" ht="12.3" x14ac:dyDescent="0.4">
      <c r="B330" s="2"/>
      <c r="C330" s="2"/>
      <c r="D330" s="2"/>
      <c r="E330" s="7"/>
      <c r="F330" s="14"/>
      <c r="J330" s="2"/>
      <c r="K330" s="2"/>
      <c r="L330" s="2"/>
      <c r="V330" s="19"/>
    </row>
    <row r="331" spans="2:22" ht="12.3" x14ac:dyDescent="0.4">
      <c r="B331" s="2"/>
      <c r="C331" s="2"/>
      <c r="D331" s="2"/>
      <c r="E331" s="7"/>
      <c r="F331" s="14"/>
      <c r="J331" s="2"/>
      <c r="K331" s="2"/>
      <c r="L331" s="2"/>
      <c r="V331" s="19"/>
    </row>
    <row r="332" spans="2:22" ht="12.3" x14ac:dyDescent="0.4">
      <c r="B332" s="2"/>
      <c r="C332" s="2"/>
      <c r="D332" s="2"/>
      <c r="E332" s="7"/>
      <c r="F332" s="14"/>
      <c r="J332" s="2"/>
      <c r="K332" s="2"/>
      <c r="L332" s="2"/>
      <c r="V332" s="19"/>
    </row>
    <row r="333" spans="2:22" ht="12.3" x14ac:dyDescent="0.4">
      <c r="B333" s="2"/>
      <c r="C333" s="2"/>
      <c r="D333" s="2"/>
      <c r="E333" s="7"/>
      <c r="F333" s="14"/>
      <c r="J333" s="2"/>
      <c r="K333" s="2"/>
      <c r="L333" s="2"/>
      <c r="V333" s="19"/>
    </row>
    <row r="334" spans="2:22" ht="12.3" x14ac:dyDescent="0.4">
      <c r="B334" s="2"/>
      <c r="C334" s="2"/>
      <c r="D334" s="2"/>
      <c r="E334" s="7"/>
      <c r="F334" s="14"/>
      <c r="J334" s="2"/>
      <c r="K334" s="2"/>
      <c r="L334" s="2"/>
      <c r="V334" s="19"/>
    </row>
    <row r="335" spans="2:22" ht="12.3" x14ac:dyDescent="0.4">
      <c r="B335" s="2"/>
      <c r="C335" s="2"/>
      <c r="D335" s="2"/>
      <c r="E335" s="7"/>
      <c r="F335" s="14"/>
      <c r="J335" s="2"/>
      <c r="K335" s="2"/>
      <c r="L335" s="2"/>
      <c r="V335" s="19"/>
    </row>
    <row r="336" spans="2:22" ht="12.3" x14ac:dyDescent="0.4">
      <c r="B336" s="2"/>
      <c r="C336" s="2"/>
      <c r="D336" s="2"/>
      <c r="E336" s="7"/>
      <c r="F336" s="14"/>
      <c r="J336" s="2"/>
      <c r="K336" s="2"/>
      <c r="L336" s="2"/>
      <c r="V336" s="19"/>
    </row>
    <row r="337" spans="2:22" ht="12.3" x14ac:dyDescent="0.4">
      <c r="B337" s="2"/>
      <c r="C337" s="2"/>
      <c r="D337" s="2"/>
      <c r="E337" s="7"/>
      <c r="F337" s="14"/>
      <c r="J337" s="2"/>
      <c r="K337" s="2"/>
      <c r="L337" s="2"/>
      <c r="V337" s="19"/>
    </row>
    <row r="338" spans="2:22" ht="12.3" x14ac:dyDescent="0.4">
      <c r="B338" s="2"/>
      <c r="C338" s="2"/>
      <c r="D338" s="2"/>
      <c r="E338" s="7"/>
      <c r="F338" s="14"/>
      <c r="J338" s="2"/>
      <c r="K338" s="2"/>
      <c r="L338" s="2"/>
      <c r="V338" s="19"/>
    </row>
    <row r="339" spans="2:22" ht="12.3" x14ac:dyDescent="0.4">
      <c r="B339" s="2"/>
      <c r="C339" s="2"/>
      <c r="D339" s="2"/>
      <c r="E339" s="7"/>
      <c r="F339" s="14"/>
      <c r="J339" s="2"/>
      <c r="K339" s="2"/>
      <c r="L339" s="2"/>
      <c r="V339" s="19"/>
    </row>
    <row r="340" spans="2:22" ht="12.3" x14ac:dyDescent="0.4">
      <c r="B340" s="2"/>
      <c r="C340" s="2"/>
      <c r="D340" s="2"/>
      <c r="E340" s="7"/>
      <c r="F340" s="14"/>
      <c r="J340" s="2"/>
      <c r="K340" s="2"/>
      <c r="L340" s="2"/>
      <c r="V340" s="19"/>
    </row>
    <row r="341" spans="2:22" ht="12.3" x14ac:dyDescent="0.4">
      <c r="B341" s="2"/>
      <c r="C341" s="2"/>
      <c r="D341" s="2"/>
      <c r="E341" s="7"/>
      <c r="F341" s="14"/>
      <c r="J341" s="2"/>
      <c r="K341" s="2"/>
      <c r="L341" s="2"/>
      <c r="V341" s="19"/>
    </row>
    <row r="342" spans="2:22" ht="12.3" x14ac:dyDescent="0.4">
      <c r="B342" s="2"/>
      <c r="C342" s="2"/>
      <c r="D342" s="2"/>
      <c r="E342" s="7"/>
      <c r="F342" s="14"/>
      <c r="J342" s="2"/>
      <c r="K342" s="2"/>
      <c r="L342" s="2"/>
      <c r="V342" s="19"/>
    </row>
    <row r="343" spans="2:22" ht="12.3" x14ac:dyDescent="0.4">
      <c r="B343" s="2"/>
      <c r="C343" s="2"/>
      <c r="D343" s="2"/>
      <c r="E343" s="7"/>
      <c r="F343" s="14"/>
      <c r="J343" s="2"/>
      <c r="K343" s="2"/>
      <c r="L343" s="2"/>
      <c r="V343" s="19"/>
    </row>
    <row r="344" spans="2:22" ht="12.3" x14ac:dyDescent="0.4">
      <c r="B344" s="2"/>
      <c r="C344" s="2"/>
      <c r="D344" s="2"/>
      <c r="E344" s="7"/>
      <c r="F344" s="14"/>
      <c r="J344" s="2"/>
      <c r="K344" s="2"/>
      <c r="L344" s="2"/>
      <c r="V344" s="19"/>
    </row>
    <row r="345" spans="2:22" ht="12.3" x14ac:dyDescent="0.4">
      <c r="B345" s="2"/>
      <c r="C345" s="2"/>
      <c r="D345" s="2"/>
      <c r="E345" s="7"/>
      <c r="F345" s="14"/>
      <c r="J345" s="2"/>
      <c r="K345" s="2"/>
      <c r="L345" s="2"/>
      <c r="V345" s="19"/>
    </row>
    <row r="346" spans="2:22" ht="12.3" x14ac:dyDescent="0.4">
      <c r="B346" s="2"/>
      <c r="C346" s="2"/>
      <c r="D346" s="2"/>
      <c r="E346" s="7"/>
      <c r="F346" s="14"/>
      <c r="J346" s="2"/>
      <c r="K346" s="2"/>
      <c r="L346" s="2"/>
      <c r="V346" s="19"/>
    </row>
    <row r="347" spans="2:22" ht="12.3" x14ac:dyDescent="0.4">
      <c r="B347" s="2"/>
      <c r="C347" s="2"/>
      <c r="D347" s="2"/>
      <c r="E347" s="7"/>
      <c r="F347" s="14"/>
      <c r="J347" s="2"/>
      <c r="K347" s="2"/>
      <c r="L347" s="2"/>
      <c r="V347" s="19"/>
    </row>
    <row r="348" spans="2:22" ht="12.3" x14ac:dyDescent="0.4">
      <c r="B348" s="2"/>
      <c r="C348" s="2"/>
      <c r="D348" s="2"/>
      <c r="E348" s="7"/>
      <c r="F348" s="14"/>
      <c r="J348" s="2"/>
      <c r="K348" s="2"/>
      <c r="L348" s="2"/>
      <c r="V348" s="19"/>
    </row>
    <row r="349" spans="2:22" ht="12.3" x14ac:dyDescent="0.4">
      <c r="B349" s="2"/>
      <c r="C349" s="2"/>
      <c r="D349" s="2"/>
      <c r="E349" s="7"/>
      <c r="F349" s="14"/>
      <c r="J349" s="2"/>
      <c r="K349" s="2"/>
      <c r="L349" s="2"/>
      <c r="V349" s="19"/>
    </row>
    <row r="350" spans="2:22" ht="12.3" x14ac:dyDescent="0.4">
      <c r="B350" s="2"/>
      <c r="C350" s="2"/>
      <c r="D350" s="2"/>
      <c r="E350" s="7"/>
      <c r="F350" s="14"/>
      <c r="J350" s="2"/>
      <c r="K350" s="2"/>
      <c r="L350" s="2"/>
      <c r="V350" s="19"/>
    </row>
    <row r="351" spans="2:22" ht="12.3" x14ac:dyDescent="0.4">
      <c r="B351" s="2"/>
      <c r="C351" s="2"/>
      <c r="D351" s="2"/>
      <c r="E351" s="7"/>
      <c r="F351" s="14"/>
      <c r="J351" s="2"/>
      <c r="K351" s="2"/>
      <c r="L351" s="2"/>
      <c r="V351" s="19"/>
    </row>
    <row r="352" spans="2:22" ht="12.3" x14ac:dyDescent="0.4">
      <c r="B352" s="2"/>
      <c r="C352" s="2"/>
      <c r="D352" s="2"/>
      <c r="E352" s="7"/>
      <c r="F352" s="14"/>
      <c r="J352" s="2"/>
      <c r="K352" s="2"/>
      <c r="L352" s="2"/>
      <c r="V352" s="19"/>
    </row>
    <row r="353" spans="2:22" ht="12.3" x14ac:dyDescent="0.4">
      <c r="B353" s="2"/>
      <c r="C353" s="2"/>
      <c r="D353" s="2"/>
      <c r="E353" s="7"/>
      <c r="F353" s="14"/>
      <c r="J353" s="2"/>
      <c r="K353" s="2"/>
      <c r="L353" s="2"/>
      <c r="V353" s="19"/>
    </row>
    <row r="354" spans="2:22" ht="12.3" x14ac:dyDescent="0.4">
      <c r="B354" s="2"/>
      <c r="C354" s="2"/>
      <c r="D354" s="2"/>
      <c r="E354" s="7"/>
      <c r="F354" s="14"/>
      <c r="J354" s="2"/>
      <c r="K354" s="2"/>
      <c r="L354" s="2"/>
      <c r="V354" s="19"/>
    </row>
    <row r="355" spans="2:22" ht="12.3" x14ac:dyDescent="0.4">
      <c r="B355" s="2"/>
      <c r="C355" s="2"/>
      <c r="D355" s="2"/>
      <c r="E355" s="7"/>
      <c r="F355" s="14"/>
      <c r="J355" s="2"/>
      <c r="K355" s="2"/>
      <c r="L355" s="2"/>
      <c r="V355" s="19"/>
    </row>
    <row r="356" spans="2:22" ht="12.3" x14ac:dyDescent="0.4">
      <c r="B356" s="2"/>
      <c r="C356" s="2"/>
      <c r="D356" s="2"/>
      <c r="E356" s="7"/>
      <c r="F356" s="14"/>
      <c r="J356" s="2"/>
      <c r="K356" s="2"/>
      <c r="L356" s="2"/>
      <c r="V356" s="19"/>
    </row>
    <row r="357" spans="2:22" ht="12.3" x14ac:dyDescent="0.4">
      <c r="B357" s="2"/>
      <c r="C357" s="2"/>
      <c r="D357" s="2"/>
      <c r="E357" s="7"/>
      <c r="F357" s="14"/>
      <c r="J357" s="2"/>
      <c r="K357" s="2"/>
      <c r="L357" s="2"/>
      <c r="V357" s="19"/>
    </row>
    <row r="358" spans="2:22" ht="12.3" x14ac:dyDescent="0.4">
      <c r="B358" s="2"/>
      <c r="C358" s="2"/>
      <c r="D358" s="2"/>
      <c r="E358" s="7"/>
      <c r="F358" s="14"/>
      <c r="J358" s="2"/>
      <c r="K358" s="2"/>
      <c r="L358" s="2"/>
      <c r="V358" s="19"/>
    </row>
    <row r="359" spans="2:22" ht="12.3" x14ac:dyDescent="0.4">
      <c r="B359" s="2"/>
      <c r="C359" s="2"/>
      <c r="D359" s="2"/>
      <c r="E359" s="7"/>
      <c r="F359" s="14"/>
      <c r="J359" s="2"/>
      <c r="K359" s="2"/>
      <c r="L359" s="2"/>
      <c r="V359" s="19"/>
    </row>
    <row r="360" spans="2:22" ht="12.3" x14ac:dyDescent="0.4">
      <c r="B360" s="2"/>
      <c r="C360" s="2"/>
      <c r="D360" s="2"/>
      <c r="E360" s="7"/>
      <c r="F360" s="14"/>
      <c r="J360" s="2"/>
      <c r="K360" s="2"/>
      <c r="L360" s="2"/>
      <c r="V360" s="19"/>
    </row>
    <row r="361" spans="2:22" ht="12.3" x14ac:dyDescent="0.4">
      <c r="B361" s="2"/>
      <c r="C361" s="2"/>
      <c r="D361" s="2"/>
      <c r="E361" s="7"/>
      <c r="F361" s="14"/>
      <c r="J361" s="2"/>
      <c r="K361" s="2"/>
      <c r="L361" s="2"/>
      <c r="V361" s="19"/>
    </row>
    <row r="362" spans="2:22" ht="12.3" x14ac:dyDescent="0.4">
      <c r="B362" s="2"/>
      <c r="C362" s="2"/>
      <c r="D362" s="2"/>
      <c r="E362" s="7"/>
      <c r="F362" s="14"/>
      <c r="J362" s="2"/>
      <c r="K362" s="2"/>
      <c r="L362" s="2"/>
      <c r="V362" s="19"/>
    </row>
    <row r="363" spans="2:22" ht="12.3" x14ac:dyDescent="0.4">
      <c r="B363" s="2"/>
      <c r="C363" s="2"/>
      <c r="D363" s="2"/>
      <c r="E363" s="7"/>
      <c r="F363" s="14"/>
      <c r="J363" s="2"/>
      <c r="K363" s="2"/>
      <c r="L363" s="2"/>
      <c r="V363" s="19"/>
    </row>
    <row r="364" spans="2:22" ht="12.3" x14ac:dyDescent="0.4">
      <c r="B364" s="2"/>
      <c r="C364" s="2"/>
      <c r="D364" s="2"/>
      <c r="E364" s="7"/>
      <c r="F364" s="14"/>
      <c r="J364" s="2"/>
      <c r="K364" s="2"/>
      <c r="L364" s="2"/>
      <c r="V364" s="19"/>
    </row>
    <row r="365" spans="2:22" ht="12.3" x14ac:dyDescent="0.4">
      <c r="B365" s="2"/>
      <c r="C365" s="2"/>
      <c r="D365" s="2"/>
      <c r="E365" s="7"/>
      <c r="F365" s="14"/>
      <c r="J365" s="2"/>
      <c r="K365" s="2"/>
      <c r="L365" s="2"/>
      <c r="V365" s="19"/>
    </row>
    <row r="366" spans="2:22" ht="12.3" x14ac:dyDescent="0.4">
      <c r="B366" s="2"/>
      <c r="C366" s="2"/>
      <c r="D366" s="2"/>
      <c r="E366" s="7"/>
      <c r="F366" s="14"/>
      <c r="J366" s="2"/>
      <c r="K366" s="2"/>
      <c r="L366" s="2"/>
      <c r="V366" s="19"/>
    </row>
    <row r="367" spans="2:22" ht="12.3" x14ac:dyDescent="0.4">
      <c r="B367" s="2"/>
      <c r="C367" s="2"/>
      <c r="D367" s="2"/>
      <c r="E367" s="7"/>
      <c r="F367" s="14"/>
      <c r="J367" s="2"/>
      <c r="K367" s="2"/>
      <c r="L367" s="2"/>
      <c r="V367" s="19"/>
    </row>
    <row r="368" spans="2:22" ht="12.3" x14ac:dyDescent="0.4">
      <c r="B368" s="2"/>
      <c r="C368" s="2"/>
      <c r="D368" s="2"/>
      <c r="E368" s="7"/>
      <c r="F368" s="14"/>
      <c r="J368" s="2"/>
      <c r="K368" s="2"/>
      <c r="L368" s="2"/>
      <c r="V368" s="19"/>
    </row>
    <row r="369" spans="2:22" ht="12.3" x14ac:dyDescent="0.4">
      <c r="B369" s="2"/>
      <c r="C369" s="2"/>
      <c r="D369" s="2"/>
      <c r="E369" s="7"/>
      <c r="F369" s="14"/>
      <c r="J369" s="2"/>
      <c r="K369" s="2"/>
      <c r="L369" s="2"/>
      <c r="V369" s="19"/>
    </row>
    <row r="370" spans="2:22" ht="12.3" x14ac:dyDescent="0.4">
      <c r="B370" s="2"/>
      <c r="C370" s="2"/>
      <c r="D370" s="2"/>
      <c r="E370" s="7"/>
      <c r="F370" s="14"/>
      <c r="J370" s="2"/>
      <c r="K370" s="2"/>
      <c r="L370" s="2"/>
      <c r="V370" s="19"/>
    </row>
    <row r="371" spans="2:22" ht="12.3" x14ac:dyDescent="0.4">
      <c r="B371" s="2"/>
      <c r="C371" s="2"/>
      <c r="D371" s="2"/>
      <c r="E371" s="7"/>
      <c r="F371" s="14"/>
      <c r="J371" s="2"/>
      <c r="K371" s="2"/>
      <c r="L371" s="2"/>
      <c r="V371" s="19"/>
    </row>
    <row r="372" spans="2:22" ht="12.3" x14ac:dyDescent="0.4">
      <c r="B372" s="2"/>
      <c r="C372" s="2"/>
      <c r="D372" s="2"/>
      <c r="E372" s="7"/>
      <c r="F372" s="14"/>
      <c r="J372" s="2"/>
      <c r="K372" s="2"/>
      <c r="L372" s="2"/>
      <c r="V372" s="19"/>
    </row>
    <row r="373" spans="2:22" ht="12.3" x14ac:dyDescent="0.4">
      <c r="B373" s="2"/>
      <c r="C373" s="2"/>
      <c r="D373" s="2"/>
      <c r="E373" s="7"/>
      <c r="F373" s="14"/>
      <c r="J373" s="2"/>
      <c r="K373" s="2"/>
      <c r="L373" s="2"/>
      <c r="V373" s="19"/>
    </row>
    <row r="374" spans="2:22" ht="12.3" x14ac:dyDescent="0.4">
      <c r="B374" s="2"/>
      <c r="C374" s="2"/>
      <c r="D374" s="2"/>
      <c r="E374" s="7"/>
      <c r="F374" s="14"/>
      <c r="J374" s="2"/>
      <c r="K374" s="2"/>
      <c r="L374" s="2"/>
      <c r="V374" s="19"/>
    </row>
    <row r="375" spans="2:22" ht="12.3" x14ac:dyDescent="0.4">
      <c r="B375" s="2"/>
      <c r="C375" s="2"/>
      <c r="D375" s="2"/>
      <c r="E375" s="7"/>
      <c r="F375" s="14"/>
      <c r="J375" s="2"/>
      <c r="K375" s="2"/>
      <c r="L375" s="2"/>
      <c r="V375" s="19"/>
    </row>
    <row r="376" spans="2:22" ht="12.3" x14ac:dyDescent="0.4">
      <c r="B376" s="2"/>
      <c r="C376" s="2"/>
      <c r="D376" s="2"/>
      <c r="E376" s="7"/>
      <c r="F376" s="14"/>
      <c r="J376" s="2"/>
      <c r="K376" s="2"/>
      <c r="L376" s="2"/>
      <c r="V376" s="19"/>
    </row>
    <row r="377" spans="2:22" ht="12.3" x14ac:dyDescent="0.4">
      <c r="B377" s="2"/>
      <c r="C377" s="2"/>
      <c r="D377" s="2"/>
      <c r="E377" s="7"/>
      <c r="F377" s="14"/>
      <c r="J377" s="2"/>
      <c r="K377" s="2"/>
      <c r="L377" s="2"/>
      <c r="V377" s="19"/>
    </row>
    <row r="378" spans="2:22" ht="12.3" x14ac:dyDescent="0.4">
      <c r="B378" s="2"/>
      <c r="C378" s="2"/>
      <c r="D378" s="2"/>
      <c r="E378" s="7"/>
      <c r="F378" s="14"/>
      <c r="J378" s="2"/>
      <c r="K378" s="2"/>
      <c r="L378" s="2"/>
      <c r="V378" s="19"/>
    </row>
    <row r="379" spans="2:22" ht="12.3" x14ac:dyDescent="0.4">
      <c r="B379" s="2"/>
      <c r="C379" s="2"/>
      <c r="D379" s="2"/>
      <c r="E379" s="7"/>
      <c r="F379" s="14"/>
      <c r="J379" s="2"/>
      <c r="K379" s="2"/>
      <c r="L379" s="2"/>
      <c r="V379" s="19"/>
    </row>
    <row r="380" spans="2:22" ht="12.3" x14ac:dyDescent="0.4">
      <c r="B380" s="2"/>
      <c r="C380" s="2"/>
      <c r="D380" s="2"/>
      <c r="E380" s="7"/>
      <c r="F380" s="14"/>
      <c r="J380" s="2"/>
      <c r="K380" s="2"/>
      <c r="L380" s="2"/>
      <c r="V380" s="19"/>
    </row>
    <row r="381" spans="2:22" ht="12.3" x14ac:dyDescent="0.4">
      <c r="B381" s="2"/>
      <c r="C381" s="2"/>
      <c r="D381" s="2"/>
      <c r="E381" s="7"/>
      <c r="F381" s="14"/>
      <c r="J381" s="2"/>
      <c r="K381" s="2"/>
      <c r="L381" s="2"/>
      <c r="V381" s="19"/>
    </row>
    <row r="382" spans="2:22" ht="12.3" x14ac:dyDescent="0.4">
      <c r="B382" s="2"/>
      <c r="C382" s="2"/>
      <c r="D382" s="2"/>
      <c r="E382" s="7"/>
      <c r="F382" s="14"/>
      <c r="J382" s="2"/>
      <c r="K382" s="2"/>
      <c r="L382" s="2"/>
      <c r="V382" s="19"/>
    </row>
    <row r="383" spans="2:22" ht="12.3" x14ac:dyDescent="0.4">
      <c r="B383" s="2"/>
      <c r="C383" s="2"/>
      <c r="D383" s="2"/>
      <c r="E383" s="7"/>
      <c r="F383" s="14"/>
      <c r="J383" s="2"/>
      <c r="K383" s="2"/>
      <c r="L383" s="2"/>
      <c r="V383" s="19"/>
    </row>
    <row r="384" spans="2:22" ht="12.3" x14ac:dyDescent="0.4">
      <c r="B384" s="2"/>
      <c r="C384" s="2"/>
      <c r="D384" s="2"/>
      <c r="E384" s="7"/>
      <c r="F384" s="14"/>
      <c r="J384" s="2"/>
      <c r="K384" s="2"/>
      <c r="L384" s="2"/>
      <c r="V384" s="19"/>
    </row>
    <row r="385" spans="2:22" ht="12.3" x14ac:dyDescent="0.4">
      <c r="B385" s="2"/>
      <c r="C385" s="2"/>
      <c r="D385" s="2"/>
      <c r="E385" s="7"/>
      <c r="F385" s="14"/>
      <c r="J385" s="2"/>
      <c r="K385" s="2"/>
      <c r="L385" s="2"/>
      <c r="V385" s="19"/>
    </row>
    <row r="386" spans="2:22" ht="12.3" x14ac:dyDescent="0.4">
      <c r="B386" s="2"/>
      <c r="C386" s="2"/>
      <c r="D386" s="2"/>
      <c r="E386" s="7"/>
      <c r="F386" s="14"/>
      <c r="J386" s="2"/>
      <c r="K386" s="2"/>
      <c r="L386" s="2"/>
      <c r="V386" s="19"/>
    </row>
    <row r="387" spans="2:22" ht="12.3" x14ac:dyDescent="0.4">
      <c r="B387" s="2"/>
      <c r="C387" s="2"/>
      <c r="D387" s="2"/>
      <c r="E387" s="7"/>
      <c r="F387" s="14"/>
      <c r="J387" s="2"/>
      <c r="K387" s="2"/>
      <c r="L387" s="2"/>
      <c r="V387" s="19"/>
    </row>
    <row r="388" spans="2:22" ht="12.3" x14ac:dyDescent="0.4">
      <c r="B388" s="2"/>
      <c r="C388" s="2"/>
      <c r="D388" s="2"/>
      <c r="E388" s="7"/>
      <c r="F388" s="14"/>
      <c r="J388" s="2"/>
      <c r="K388" s="2"/>
      <c r="L388" s="2"/>
      <c r="V388" s="19"/>
    </row>
    <row r="389" spans="2:22" ht="12.3" x14ac:dyDescent="0.4">
      <c r="B389" s="2"/>
      <c r="C389" s="2"/>
      <c r="D389" s="2"/>
      <c r="E389" s="7"/>
      <c r="F389" s="14"/>
      <c r="J389" s="2"/>
      <c r="K389" s="2"/>
      <c r="L389" s="2"/>
      <c r="V389" s="19"/>
    </row>
    <row r="390" spans="2:22" ht="12.3" x14ac:dyDescent="0.4">
      <c r="B390" s="2"/>
      <c r="C390" s="2"/>
      <c r="D390" s="2"/>
      <c r="E390" s="7"/>
      <c r="F390" s="14"/>
      <c r="J390" s="2"/>
      <c r="K390" s="2"/>
      <c r="L390" s="2"/>
      <c r="V390" s="19"/>
    </row>
    <row r="391" spans="2:22" ht="12.3" x14ac:dyDescent="0.4">
      <c r="B391" s="2"/>
      <c r="C391" s="2"/>
      <c r="D391" s="2"/>
      <c r="E391" s="7"/>
      <c r="F391" s="14"/>
      <c r="J391" s="2"/>
      <c r="K391" s="2"/>
      <c r="L391" s="2"/>
      <c r="V391" s="19"/>
    </row>
    <row r="392" spans="2:22" ht="12.3" x14ac:dyDescent="0.4">
      <c r="B392" s="2"/>
      <c r="C392" s="2"/>
      <c r="D392" s="2"/>
      <c r="E392" s="7"/>
      <c r="F392" s="14"/>
      <c r="J392" s="2"/>
      <c r="K392" s="2"/>
      <c r="L392" s="2"/>
      <c r="V392" s="19"/>
    </row>
    <row r="393" spans="2:22" ht="12.3" x14ac:dyDescent="0.4">
      <c r="B393" s="2"/>
      <c r="C393" s="2"/>
      <c r="D393" s="2"/>
      <c r="E393" s="7"/>
      <c r="F393" s="14"/>
      <c r="J393" s="2"/>
      <c r="K393" s="2"/>
      <c r="L393" s="2"/>
      <c r="V393" s="19"/>
    </row>
    <row r="394" spans="2:22" ht="12.3" x14ac:dyDescent="0.4">
      <c r="B394" s="2"/>
      <c r="C394" s="2"/>
      <c r="D394" s="2"/>
      <c r="E394" s="7"/>
      <c r="F394" s="14"/>
      <c r="J394" s="2"/>
      <c r="K394" s="2"/>
      <c r="L394" s="2"/>
      <c r="V394" s="19"/>
    </row>
    <row r="395" spans="2:22" ht="12.3" x14ac:dyDescent="0.4">
      <c r="B395" s="2"/>
      <c r="C395" s="2"/>
      <c r="D395" s="2"/>
      <c r="E395" s="7"/>
      <c r="F395" s="14"/>
      <c r="J395" s="2"/>
      <c r="K395" s="2"/>
      <c r="L395" s="2"/>
      <c r="V395" s="19"/>
    </row>
    <row r="396" spans="2:22" ht="12.3" x14ac:dyDescent="0.4">
      <c r="B396" s="2"/>
      <c r="C396" s="2"/>
      <c r="D396" s="2"/>
      <c r="E396" s="7"/>
      <c r="F396" s="14"/>
      <c r="J396" s="2"/>
      <c r="K396" s="2"/>
      <c r="L396" s="2"/>
      <c r="V396" s="19"/>
    </row>
    <row r="397" spans="2:22" ht="12.3" x14ac:dyDescent="0.4">
      <c r="B397" s="2"/>
      <c r="C397" s="2"/>
      <c r="D397" s="2"/>
      <c r="E397" s="7"/>
      <c r="F397" s="14"/>
      <c r="J397" s="2"/>
      <c r="K397" s="2"/>
      <c r="L397" s="2"/>
      <c r="V397" s="19"/>
    </row>
    <row r="398" spans="2:22" ht="12.3" x14ac:dyDescent="0.4">
      <c r="B398" s="2"/>
      <c r="C398" s="2"/>
      <c r="D398" s="2"/>
      <c r="E398" s="7"/>
      <c r="F398" s="14"/>
      <c r="J398" s="2"/>
      <c r="K398" s="2"/>
      <c r="L398" s="2"/>
      <c r="V398" s="19"/>
    </row>
    <row r="399" spans="2:22" ht="12.3" x14ac:dyDescent="0.4">
      <c r="B399" s="2"/>
      <c r="C399" s="2"/>
      <c r="D399" s="2"/>
      <c r="E399" s="7"/>
      <c r="F399" s="14"/>
      <c r="J399" s="2"/>
      <c r="K399" s="2"/>
      <c r="L399" s="2"/>
      <c r="V399" s="19"/>
    </row>
    <row r="400" spans="2:22" ht="12.3" x14ac:dyDescent="0.4">
      <c r="B400" s="2"/>
      <c r="C400" s="2"/>
      <c r="D400" s="2"/>
      <c r="E400" s="7"/>
      <c r="F400" s="14"/>
      <c r="J400" s="2"/>
      <c r="K400" s="2"/>
      <c r="L400" s="2"/>
      <c r="V400" s="19"/>
    </row>
    <row r="401" spans="2:22" ht="12.3" x14ac:dyDescent="0.4">
      <c r="B401" s="2"/>
      <c r="C401" s="2"/>
      <c r="D401" s="2"/>
      <c r="E401" s="7"/>
      <c r="F401" s="14"/>
      <c r="J401" s="2"/>
      <c r="K401" s="2"/>
      <c r="L401" s="2"/>
      <c r="V401" s="19"/>
    </row>
    <row r="402" spans="2:22" ht="12.3" x14ac:dyDescent="0.4">
      <c r="B402" s="2"/>
      <c r="C402" s="2"/>
      <c r="D402" s="2"/>
      <c r="E402" s="7"/>
      <c r="F402" s="14"/>
      <c r="J402" s="2"/>
      <c r="K402" s="2"/>
      <c r="L402" s="2"/>
      <c r="V402" s="19"/>
    </row>
    <row r="403" spans="2:22" ht="12.3" x14ac:dyDescent="0.4">
      <c r="B403" s="2"/>
      <c r="C403" s="2"/>
      <c r="D403" s="2"/>
      <c r="E403" s="7"/>
      <c r="F403" s="14"/>
      <c r="J403" s="2"/>
      <c r="K403" s="2"/>
      <c r="L403" s="2"/>
      <c r="V403" s="19"/>
    </row>
    <row r="404" spans="2:22" ht="12.3" x14ac:dyDescent="0.4">
      <c r="B404" s="2"/>
      <c r="C404" s="2"/>
      <c r="D404" s="2"/>
      <c r="E404" s="7"/>
      <c r="F404" s="14"/>
      <c r="J404" s="2"/>
      <c r="K404" s="2"/>
      <c r="L404" s="2"/>
      <c r="V404" s="19"/>
    </row>
    <row r="405" spans="2:22" ht="12.3" x14ac:dyDescent="0.4">
      <c r="B405" s="2"/>
      <c r="C405" s="2"/>
      <c r="D405" s="2"/>
      <c r="E405" s="7"/>
      <c r="F405" s="14"/>
      <c r="J405" s="2"/>
      <c r="K405" s="2"/>
      <c r="L405" s="2"/>
      <c r="V405" s="19"/>
    </row>
    <row r="406" spans="2:22" ht="12.3" x14ac:dyDescent="0.4">
      <c r="B406" s="2"/>
      <c r="C406" s="2"/>
      <c r="D406" s="2"/>
      <c r="E406" s="7"/>
      <c r="F406" s="14"/>
      <c r="J406" s="2"/>
      <c r="K406" s="2"/>
      <c r="L406" s="2"/>
      <c r="V406" s="19"/>
    </row>
    <row r="407" spans="2:22" ht="12.3" x14ac:dyDescent="0.4">
      <c r="B407" s="2"/>
      <c r="C407" s="2"/>
      <c r="D407" s="2"/>
      <c r="E407" s="7"/>
      <c r="F407" s="14"/>
      <c r="J407" s="2"/>
      <c r="K407" s="2"/>
      <c r="L407" s="2"/>
      <c r="V407" s="19"/>
    </row>
    <row r="408" spans="2:22" ht="12.3" x14ac:dyDescent="0.4">
      <c r="B408" s="2"/>
      <c r="C408" s="2"/>
      <c r="D408" s="2"/>
      <c r="E408" s="7"/>
      <c r="F408" s="14"/>
      <c r="J408" s="2"/>
      <c r="K408" s="2"/>
      <c r="L408" s="2"/>
      <c r="V408" s="19"/>
    </row>
    <row r="409" spans="2:22" ht="12.3" x14ac:dyDescent="0.4">
      <c r="B409" s="2"/>
      <c r="C409" s="2"/>
      <c r="D409" s="2"/>
      <c r="E409" s="7"/>
      <c r="F409" s="14"/>
      <c r="J409" s="2"/>
      <c r="K409" s="2"/>
      <c r="L409" s="2"/>
      <c r="V409" s="19"/>
    </row>
    <row r="410" spans="2:22" ht="12.3" x14ac:dyDescent="0.4">
      <c r="B410" s="2"/>
      <c r="C410" s="2"/>
      <c r="D410" s="2"/>
      <c r="E410" s="7"/>
      <c r="F410" s="14"/>
      <c r="J410" s="2"/>
      <c r="K410" s="2"/>
      <c r="L410" s="2"/>
      <c r="V410" s="19"/>
    </row>
    <row r="411" spans="2:22" ht="12.3" x14ac:dyDescent="0.4">
      <c r="B411" s="2"/>
      <c r="C411" s="2"/>
      <c r="D411" s="2"/>
      <c r="E411" s="7"/>
      <c r="F411" s="14"/>
      <c r="J411" s="2"/>
      <c r="K411" s="2"/>
      <c r="L411" s="2"/>
      <c r="V411" s="19"/>
    </row>
    <row r="412" spans="2:22" ht="12.3" x14ac:dyDescent="0.4">
      <c r="B412" s="2"/>
      <c r="C412" s="2"/>
      <c r="D412" s="2"/>
      <c r="E412" s="7"/>
      <c r="F412" s="14"/>
      <c r="J412" s="2"/>
      <c r="K412" s="2"/>
      <c r="L412" s="2"/>
      <c r="V412" s="19"/>
    </row>
    <row r="413" spans="2:22" ht="12.3" x14ac:dyDescent="0.4">
      <c r="B413" s="2"/>
      <c r="C413" s="2"/>
      <c r="D413" s="2"/>
      <c r="E413" s="7"/>
      <c r="F413" s="14"/>
      <c r="J413" s="2"/>
      <c r="K413" s="2"/>
      <c r="L413" s="2"/>
      <c r="V413" s="19"/>
    </row>
    <row r="414" spans="2:22" ht="12.3" x14ac:dyDescent="0.4">
      <c r="B414" s="2"/>
      <c r="C414" s="2"/>
      <c r="D414" s="2"/>
      <c r="E414" s="7"/>
      <c r="F414" s="14"/>
      <c r="J414" s="2"/>
      <c r="K414" s="2"/>
      <c r="L414" s="2"/>
      <c r="V414" s="19"/>
    </row>
    <row r="415" spans="2:22" ht="12.3" x14ac:dyDescent="0.4">
      <c r="B415" s="2"/>
      <c r="C415" s="2"/>
      <c r="D415" s="2"/>
      <c r="E415" s="7"/>
      <c r="F415" s="14"/>
      <c r="J415" s="2"/>
      <c r="K415" s="2"/>
      <c r="L415" s="2"/>
      <c r="V415" s="19"/>
    </row>
    <row r="416" spans="2:22" ht="12.3" x14ac:dyDescent="0.4">
      <c r="B416" s="2"/>
      <c r="C416" s="2"/>
      <c r="D416" s="2"/>
      <c r="E416" s="7"/>
      <c r="F416" s="14"/>
      <c r="J416" s="2"/>
      <c r="K416" s="2"/>
      <c r="L416" s="2"/>
      <c r="V416" s="19"/>
    </row>
    <row r="417" spans="2:22" ht="12.3" x14ac:dyDescent="0.4">
      <c r="B417" s="2"/>
      <c r="C417" s="2"/>
      <c r="D417" s="2"/>
      <c r="E417" s="7"/>
      <c r="F417" s="14"/>
      <c r="J417" s="2"/>
      <c r="K417" s="2"/>
      <c r="L417" s="2"/>
      <c r="V417" s="19"/>
    </row>
    <row r="418" spans="2:22" ht="12.3" x14ac:dyDescent="0.4">
      <c r="B418" s="2"/>
      <c r="C418" s="2"/>
      <c r="D418" s="2"/>
      <c r="E418" s="7"/>
      <c r="F418" s="14"/>
      <c r="J418" s="2"/>
      <c r="K418" s="2"/>
      <c r="L418" s="2"/>
      <c r="V418" s="19"/>
    </row>
    <row r="419" spans="2:22" ht="12.3" x14ac:dyDescent="0.4">
      <c r="B419" s="2"/>
      <c r="C419" s="2"/>
      <c r="D419" s="2"/>
      <c r="E419" s="7"/>
      <c r="F419" s="14"/>
      <c r="J419" s="2"/>
      <c r="K419" s="2"/>
      <c r="L419" s="2"/>
      <c r="V419" s="19"/>
    </row>
    <row r="420" spans="2:22" ht="12.3" x14ac:dyDescent="0.4">
      <c r="B420" s="2"/>
      <c r="C420" s="2"/>
      <c r="D420" s="2"/>
      <c r="E420" s="7"/>
      <c r="F420" s="14"/>
      <c r="J420" s="2"/>
      <c r="K420" s="2"/>
      <c r="L420" s="2"/>
      <c r="V420" s="19"/>
    </row>
    <row r="421" spans="2:22" ht="12.3" x14ac:dyDescent="0.4">
      <c r="B421" s="2"/>
      <c r="C421" s="2"/>
      <c r="D421" s="2"/>
      <c r="E421" s="7"/>
      <c r="F421" s="14"/>
      <c r="J421" s="2"/>
      <c r="K421" s="2"/>
      <c r="L421" s="2"/>
      <c r="V421" s="19"/>
    </row>
    <row r="422" spans="2:22" ht="12.3" x14ac:dyDescent="0.4">
      <c r="B422" s="2"/>
      <c r="C422" s="2"/>
      <c r="D422" s="2"/>
      <c r="E422" s="7"/>
      <c r="F422" s="14"/>
      <c r="J422" s="2"/>
      <c r="K422" s="2"/>
      <c r="L422" s="2"/>
      <c r="V422" s="19"/>
    </row>
    <row r="423" spans="2:22" ht="12.3" x14ac:dyDescent="0.4">
      <c r="B423" s="2"/>
      <c r="C423" s="2"/>
      <c r="D423" s="2"/>
      <c r="E423" s="7"/>
      <c r="F423" s="14"/>
      <c r="J423" s="2"/>
      <c r="K423" s="2"/>
      <c r="L423" s="2"/>
      <c r="V423" s="19"/>
    </row>
    <row r="424" spans="2:22" ht="12.3" x14ac:dyDescent="0.4">
      <c r="B424" s="2"/>
      <c r="C424" s="2"/>
      <c r="D424" s="2"/>
      <c r="E424" s="7"/>
      <c r="F424" s="14"/>
      <c r="J424" s="2"/>
      <c r="K424" s="2"/>
      <c r="L424" s="2"/>
      <c r="V424" s="19"/>
    </row>
    <row r="425" spans="2:22" ht="12.3" x14ac:dyDescent="0.4">
      <c r="B425" s="2"/>
      <c r="C425" s="2"/>
      <c r="D425" s="2"/>
      <c r="E425" s="7"/>
      <c r="F425" s="14"/>
      <c r="J425" s="2"/>
      <c r="K425" s="2"/>
      <c r="L425" s="2"/>
      <c r="V425" s="19"/>
    </row>
    <row r="426" spans="2:22" ht="12.3" x14ac:dyDescent="0.4">
      <c r="B426" s="2"/>
      <c r="C426" s="2"/>
      <c r="D426" s="2"/>
      <c r="E426" s="7"/>
      <c r="F426" s="14"/>
      <c r="J426" s="2"/>
      <c r="K426" s="2"/>
      <c r="L426" s="2"/>
      <c r="V426" s="19"/>
    </row>
    <row r="427" spans="2:22" ht="12.3" x14ac:dyDescent="0.4">
      <c r="B427" s="2"/>
      <c r="C427" s="2"/>
      <c r="D427" s="2"/>
      <c r="E427" s="7"/>
      <c r="F427" s="14"/>
      <c r="J427" s="2"/>
      <c r="K427" s="2"/>
      <c r="L427" s="2"/>
      <c r="V427" s="19"/>
    </row>
    <row r="428" spans="2:22" ht="12.3" x14ac:dyDescent="0.4">
      <c r="B428" s="2"/>
      <c r="C428" s="2"/>
      <c r="D428" s="2"/>
      <c r="E428" s="7"/>
      <c r="F428" s="14"/>
      <c r="J428" s="2"/>
      <c r="K428" s="2"/>
      <c r="L428" s="2"/>
      <c r="V428" s="19"/>
    </row>
    <row r="429" spans="2:22" ht="12.3" x14ac:dyDescent="0.4">
      <c r="B429" s="2"/>
      <c r="C429" s="2"/>
      <c r="D429" s="2"/>
      <c r="E429" s="7"/>
      <c r="F429" s="14"/>
      <c r="J429" s="2"/>
      <c r="K429" s="2"/>
      <c r="L429" s="2"/>
      <c r="V429" s="19"/>
    </row>
    <row r="430" spans="2:22" ht="12.3" x14ac:dyDescent="0.4">
      <c r="B430" s="2"/>
      <c r="C430" s="2"/>
      <c r="D430" s="2"/>
      <c r="E430" s="7"/>
      <c r="F430" s="14"/>
      <c r="J430" s="2"/>
      <c r="K430" s="2"/>
      <c r="L430" s="2"/>
      <c r="V430" s="19"/>
    </row>
    <row r="431" spans="2:22" ht="12.3" x14ac:dyDescent="0.4">
      <c r="B431" s="2"/>
      <c r="C431" s="2"/>
      <c r="D431" s="2"/>
      <c r="E431" s="7"/>
      <c r="F431" s="14"/>
      <c r="J431" s="2"/>
      <c r="K431" s="2"/>
      <c r="L431" s="2"/>
      <c r="V431" s="19"/>
    </row>
    <row r="432" spans="2:22" ht="12.3" x14ac:dyDescent="0.4">
      <c r="B432" s="2"/>
      <c r="C432" s="2"/>
      <c r="D432" s="2"/>
      <c r="E432" s="7"/>
      <c r="F432" s="14"/>
      <c r="J432" s="2"/>
      <c r="K432" s="2"/>
      <c r="L432" s="2"/>
      <c r="V432" s="19"/>
    </row>
    <row r="433" spans="2:22" ht="12.3" x14ac:dyDescent="0.4">
      <c r="B433" s="2"/>
      <c r="C433" s="2"/>
      <c r="D433" s="2"/>
      <c r="E433" s="7"/>
      <c r="F433" s="14"/>
      <c r="J433" s="2"/>
      <c r="K433" s="2"/>
      <c r="L433" s="2"/>
      <c r="V433" s="19"/>
    </row>
    <row r="434" spans="2:22" ht="12.3" x14ac:dyDescent="0.4">
      <c r="B434" s="2"/>
      <c r="C434" s="2"/>
      <c r="D434" s="2"/>
      <c r="E434" s="7"/>
      <c r="F434" s="14"/>
      <c r="J434" s="2"/>
      <c r="K434" s="2"/>
      <c r="L434" s="2"/>
      <c r="V434" s="19"/>
    </row>
    <row r="435" spans="2:22" ht="12.3" x14ac:dyDescent="0.4">
      <c r="B435" s="2"/>
      <c r="C435" s="2"/>
      <c r="D435" s="2"/>
      <c r="E435" s="7"/>
      <c r="F435" s="14"/>
      <c r="J435" s="2"/>
      <c r="K435" s="2"/>
      <c r="L435" s="2"/>
      <c r="V435" s="19"/>
    </row>
    <row r="436" spans="2:22" ht="12.3" x14ac:dyDescent="0.4">
      <c r="B436" s="2"/>
      <c r="C436" s="2"/>
      <c r="D436" s="2"/>
      <c r="E436" s="7"/>
      <c r="F436" s="14"/>
      <c r="J436" s="2"/>
      <c r="K436" s="2"/>
      <c r="L436" s="2"/>
      <c r="V436" s="19"/>
    </row>
    <row r="437" spans="2:22" ht="12.3" x14ac:dyDescent="0.4">
      <c r="B437" s="2"/>
      <c r="C437" s="2"/>
      <c r="D437" s="2"/>
      <c r="E437" s="7"/>
      <c r="F437" s="14"/>
      <c r="J437" s="2"/>
      <c r="K437" s="2"/>
      <c r="L437" s="2"/>
      <c r="V437" s="19"/>
    </row>
    <row r="438" spans="2:22" ht="12.3" x14ac:dyDescent="0.4">
      <c r="B438" s="2"/>
      <c r="C438" s="2"/>
      <c r="D438" s="2"/>
      <c r="E438" s="7"/>
      <c r="F438" s="14"/>
      <c r="J438" s="2"/>
      <c r="K438" s="2"/>
      <c r="L438" s="2"/>
      <c r="V438" s="19"/>
    </row>
    <row r="439" spans="2:22" ht="12.3" x14ac:dyDescent="0.4">
      <c r="B439" s="2"/>
      <c r="C439" s="2"/>
      <c r="D439" s="2"/>
      <c r="E439" s="7"/>
      <c r="F439" s="14"/>
      <c r="J439" s="2"/>
      <c r="K439" s="2"/>
      <c r="L439" s="2"/>
      <c r="V439" s="19"/>
    </row>
    <row r="440" spans="2:22" ht="12.3" x14ac:dyDescent="0.4">
      <c r="B440" s="2"/>
      <c r="C440" s="2"/>
      <c r="D440" s="2"/>
      <c r="E440" s="7"/>
      <c r="F440" s="14"/>
      <c r="J440" s="2"/>
      <c r="K440" s="2"/>
      <c r="L440" s="2"/>
      <c r="V440" s="19"/>
    </row>
    <row r="441" spans="2:22" ht="12.3" x14ac:dyDescent="0.4">
      <c r="B441" s="2"/>
      <c r="C441" s="2"/>
      <c r="D441" s="2"/>
      <c r="E441" s="7"/>
      <c r="F441" s="14"/>
      <c r="J441" s="2"/>
      <c r="K441" s="2"/>
      <c r="L441" s="2"/>
      <c r="V441" s="19"/>
    </row>
    <row r="442" spans="2:22" ht="12.3" x14ac:dyDescent="0.4">
      <c r="B442" s="2"/>
      <c r="C442" s="2"/>
      <c r="D442" s="2"/>
      <c r="E442" s="7"/>
      <c r="F442" s="14"/>
      <c r="J442" s="2"/>
      <c r="K442" s="2"/>
      <c r="L442" s="2"/>
      <c r="V442" s="19"/>
    </row>
    <row r="443" spans="2:22" ht="12.3" x14ac:dyDescent="0.4">
      <c r="B443" s="2"/>
      <c r="C443" s="2"/>
      <c r="D443" s="2"/>
      <c r="E443" s="7"/>
      <c r="F443" s="14"/>
      <c r="J443" s="2"/>
      <c r="K443" s="2"/>
      <c r="L443" s="2"/>
      <c r="V443" s="19"/>
    </row>
    <row r="444" spans="2:22" ht="12.3" x14ac:dyDescent="0.4">
      <c r="B444" s="2"/>
      <c r="C444" s="2"/>
      <c r="D444" s="2"/>
      <c r="E444" s="7"/>
      <c r="F444" s="14"/>
      <c r="J444" s="2"/>
      <c r="K444" s="2"/>
      <c r="L444" s="2"/>
      <c r="V444" s="19"/>
    </row>
    <row r="445" spans="2:22" ht="12.3" x14ac:dyDescent="0.4">
      <c r="B445" s="2"/>
      <c r="C445" s="2"/>
      <c r="D445" s="2"/>
      <c r="E445" s="7"/>
      <c r="F445" s="14"/>
      <c r="J445" s="2"/>
      <c r="K445" s="2"/>
      <c r="L445" s="2"/>
      <c r="V445" s="19"/>
    </row>
    <row r="446" spans="2:22" ht="12.3" x14ac:dyDescent="0.4">
      <c r="B446" s="2"/>
      <c r="C446" s="2"/>
      <c r="D446" s="2"/>
      <c r="E446" s="7"/>
      <c r="F446" s="14"/>
      <c r="J446" s="2"/>
      <c r="K446" s="2"/>
      <c r="L446" s="2"/>
      <c r="V446" s="19"/>
    </row>
    <row r="447" spans="2:22" ht="12.3" x14ac:dyDescent="0.4">
      <c r="B447" s="2"/>
      <c r="C447" s="2"/>
      <c r="D447" s="2"/>
      <c r="E447" s="7"/>
      <c r="F447" s="14"/>
      <c r="J447" s="2"/>
      <c r="K447" s="2"/>
      <c r="L447" s="2"/>
      <c r="V447" s="19"/>
    </row>
    <row r="448" spans="2:22" ht="12.3" x14ac:dyDescent="0.4">
      <c r="B448" s="2"/>
      <c r="C448" s="2"/>
      <c r="D448" s="2"/>
      <c r="E448" s="7"/>
      <c r="F448" s="14"/>
      <c r="J448" s="2"/>
      <c r="K448" s="2"/>
      <c r="L448" s="2"/>
      <c r="V448" s="19"/>
    </row>
    <row r="449" spans="2:22" ht="12.3" x14ac:dyDescent="0.4">
      <c r="B449" s="2"/>
      <c r="C449" s="2"/>
      <c r="D449" s="2"/>
      <c r="E449" s="7"/>
      <c r="F449" s="14"/>
      <c r="J449" s="2"/>
      <c r="K449" s="2"/>
      <c r="L449" s="2"/>
      <c r="V449" s="19"/>
    </row>
    <row r="450" spans="2:22" ht="12.3" x14ac:dyDescent="0.4">
      <c r="B450" s="2"/>
      <c r="C450" s="2"/>
      <c r="D450" s="2"/>
      <c r="E450" s="7"/>
      <c r="F450" s="14"/>
      <c r="J450" s="2"/>
      <c r="K450" s="2"/>
      <c r="L450" s="2"/>
      <c r="V450" s="19"/>
    </row>
    <row r="451" spans="2:22" ht="12.3" x14ac:dyDescent="0.4">
      <c r="B451" s="2"/>
      <c r="C451" s="2"/>
      <c r="D451" s="2"/>
      <c r="E451" s="7"/>
      <c r="F451" s="14"/>
      <c r="J451" s="2"/>
      <c r="K451" s="2"/>
      <c r="L451" s="2"/>
      <c r="V451" s="19"/>
    </row>
    <row r="452" spans="2:22" ht="12.3" x14ac:dyDescent="0.4">
      <c r="B452" s="2"/>
      <c r="C452" s="2"/>
      <c r="D452" s="2"/>
      <c r="E452" s="7"/>
      <c r="F452" s="14"/>
      <c r="J452" s="2"/>
      <c r="K452" s="2"/>
      <c r="L452" s="2"/>
      <c r="V452" s="19"/>
    </row>
    <row r="453" spans="2:22" ht="12.3" x14ac:dyDescent="0.4">
      <c r="B453" s="2"/>
      <c r="C453" s="2"/>
      <c r="D453" s="2"/>
      <c r="E453" s="7"/>
      <c r="F453" s="14"/>
      <c r="J453" s="2"/>
      <c r="K453" s="2"/>
      <c r="L453" s="2"/>
      <c r="V453" s="19"/>
    </row>
    <row r="454" spans="2:22" ht="12.3" x14ac:dyDescent="0.4">
      <c r="B454" s="2"/>
      <c r="C454" s="2"/>
      <c r="D454" s="2"/>
      <c r="E454" s="7"/>
      <c r="F454" s="14"/>
      <c r="J454" s="2"/>
      <c r="K454" s="2"/>
      <c r="L454" s="2"/>
      <c r="V454" s="19"/>
    </row>
    <row r="455" spans="2:22" ht="12.3" x14ac:dyDescent="0.4">
      <c r="B455" s="2"/>
      <c r="C455" s="2"/>
      <c r="D455" s="2"/>
      <c r="E455" s="7"/>
      <c r="F455" s="14"/>
      <c r="J455" s="2"/>
      <c r="K455" s="2"/>
      <c r="L455" s="2"/>
      <c r="V455" s="19"/>
    </row>
    <row r="456" spans="2:22" ht="12.3" x14ac:dyDescent="0.4">
      <c r="B456" s="2"/>
      <c r="C456" s="2"/>
      <c r="D456" s="2"/>
      <c r="E456" s="7"/>
      <c r="F456" s="14"/>
      <c r="J456" s="2"/>
      <c r="K456" s="2"/>
      <c r="L456" s="2"/>
      <c r="V456" s="19"/>
    </row>
    <row r="457" spans="2:22" ht="12.3" x14ac:dyDescent="0.4">
      <c r="B457" s="2"/>
      <c r="C457" s="2"/>
      <c r="D457" s="2"/>
      <c r="E457" s="7"/>
      <c r="F457" s="14"/>
      <c r="J457" s="2"/>
      <c r="K457" s="2"/>
      <c r="L457" s="2"/>
      <c r="V457" s="19"/>
    </row>
    <row r="458" spans="2:22" ht="12.3" x14ac:dyDescent="0.4">
      <c r="B458" s="2"/>
      <c r="C458" s="2"/>
      <c r="D458" s="2"/>
      <c r="E458" s="7"/>
      <c r="F458" s="14"/>
      <c r="J458" s="2"/>
      <c r="K458" s="2"/>
      <c r="L458" s="2"/>
      <c r="V458" s="19"/>
    </row>
    <row r="459" spans="2:22" ht="12.3" x14ac:dyDescent="0.4">
      <c r="B459" s="2"/>
      <c r="C459" s="2"/>
      <c r="D459" s="2"/>
      <c r="E459" s="7"/>
      <c r="F459" s="14"/>
      <c r="J459" s="2"/>
      <c r="K459" s="2"/>
      <c r="L459" s="2"/>
      <c r="V459" s="19"/>
    </row>
    <row r="460" spans="2:22" ht="12.3" x14ac:dyDescent="0.4">
      <c r="B460" s="2"/>
      <c r="C460" s="2"/>
      <c r="D460" s="2"/>
      <c r="E460" s="7"/>
      <c r="F460" s="14"/>
      <c r="J460" s="2"/>
      <c r="K460" s="2"/>
      <c r="L460" s="2"/>
      <c r="V460" s="19"/>
    </row>
    <row r="461" spans="2:22" ht="12.3" x14ac:dyDescent="0.4">
      <c r="B461" s="2"/>
      <c r="C461" s="2"/>
      <c r="D461" s="2"/>
      <c r="E461" s="7"/>
      <c r="F461" s="14"/>
      <c r="J461" s="2"/>
      <c r="K461" s="2"/>
      <c r="L461" s="2"/>
      <c r="V461" s="19"/>
    </row>
    <row r="462" spans="2:22" ht="12.3" x14ac:dyDescent="0.4">
      <c r="B462" s="2"/>
      <c r="C462" s="2"/>
      <c r="D462" s="2"/>
      <c r="E462" s="7"/>
      <c r="F462" s="14"/>
      <c r="J462" s="2"/>
      <c r="K462" s="2"/>
      <c r="L462" s="2"/>
      <c r="V462" s="19"/>
    </row>
    <row r="463" spans="2:22" ht="12.3" x14ac:dyDescent="0.4">
      <c r="B463" s="2"/>
      <c r="C463" s="2"/>
      <c r="D463" s="2"/>
      <c r="E463" s="7"/>
      <c r="F463" s="14"/>
      <c r="J463" s="2"/>
      <c r="K463" s="2"/>
      <c r="L463" s="2"/>
      <c r="V463" s="19"/>
    </row>
    <row r="464" spans="2:22" ht="12.3" x14ac:dyDescent="0.4">
      <c r="B464" s="2"/>
      <c r="C464" s="2"/>
      <c r="D464" s="2"/>
      <c r="E464" s="7"/>
      <c r="F464" s="14"/>
      <c r="J464" s="2"/>
      <c r="K464" s="2"/>
      <c r="L464" s="2"/>
      <c r="V464" s="19"/>
    </row>
    <row r="465" spans="2:22" ht="12.3" x14ac:dyDescent="0.4">
      <c r="B465" s="2"/>
      <c r="C465" s="2"/>
      <c r="D465" s="2"/>
      <c r="E465" s="7"/>
      <c r="F465" s="14"/>
      <c r="J465" s="2"/>
      <c r="K465" s="2"/>
      <c r="L465" s="2"/>
      <c r="V465" s="19"/>
    </row>
    <row r="466" spans="2:22" ht="12.3" x14ac:dyDescent="0.4">
      <c r="B466" s="2"/>
      <c r="C466" s="2"/>
      <c r="D466" s="2"/>
      <c r="E466" s="7"/>
      <c r="F466" s="14"/>
      <c r="J466" s="2"/>
      <c r="K466" s="2"/>
      <c r="L466" s="2"/>
      <c r="V466" s="19"/>
    </row>
    <row r="467" spans="2:22" ht="12.3" x14ac:dyDescent="0.4">
      <c r="B467" s="2"/>
      <c r="C467" s="2"/>
      <c r="D467" s="2"/>
      <c r="E467" s="7"/>
      <c r="F467" s="14"/>
      <c r="J467" s="2"/>
      <c r="K467" s="2"/>
      <c r="L467" s="2"/>
      <c r="V467" s="19"/>
    </row>
    <row r="468" spans="2:22" ht="12.3" x14ac:dyDescent="0.4">
      <c r="B468" s="2"/>
      <c r="C468" s="2"/>
      <c r="D468" s="2"/>
      <c r="E468" s="7"/>
      <c r="F468" s="14"/>
      <c r="J468" s="2"/>
      <c r="K468" s="2"/>
      <c r="L468" s="2"/>
      <c r="V468" s="19"/>
    </row>
    <row r="469" spans="2:22" ht="12.3" x14ac:dyDescent="0.4">
      <c r="B469" s="2"/>
      <c r="C469" s="2"/>
      <c r="D469" s="2"/>
      <c r="E469" s="7"/>
      <c r="F469" s="14"/>
      <c r="J469" s="2"/>
      <c r="K469" s="2"/>
      <c r="L469" s="2"/>
      <c r="V469" s="19"/>
    </row>
    <row r="470" spans="2:22" ht="12.3" x14ac:dyDescent="0.4">
      <c r="B470" s="2"/>
      <c r="C470" s="2"/>
      <c r="D470" s="2"/>
      <c r="E470" s="7"/>
      <c r="F470" s="14"/>
      <c r="J470" s="2"/>
      <c r="K470" s="2"/>
      <c r="L470" s="2"/>
      <c r="V470" s="19"/>
    </row>
    <row r="471" spans="2:22" ht="12.3" x14ac:dyDescent="0.4">
      <c r="B471" s="2"/>
      <c r="C471" s="2"/>
      <c r="D471" s="2"/>
      <c r="E471" s="7"/>
      <c r="F471" s="14"/>
      <c r="J471" s="2"/>
      <c r="K471" s="2"/>
      <c r="L471" s="2"/>
      <c r="V471" s="19"/>
    </row>
    <row r="472" spans="2:22" ht="12.3" x14ac:dyDescent="0.4">
      <c r="B472" s="2"/>
      <c r="C472" s="2"/>
      <c r="D472" s="2"/>
      <c r="E472" s="7"/>
      <c r="F472" s="14"/>
      <c r="J472" s="2"/>
      <c r="K472" s="2"/>
      <c r="L472" s="2"/>
      <c r="V472" s="19"/>
    </row>
    <row r="473" spans="2:22" ht="12.3" x14ac:dyDescent="0.4">
      <c r="B473" s="2"/>
      <c r="C473" s="2"/>
      <c r="D473" s="2"/>
      <c r="E473" s="7"/>
      <c r="F473" s="14"/>
      <c r="J473" s="2"/>
      <c r="K473" s="2"/>
      <c r="L473" s="2"/>
      <c r="V473" s="19"/>
    </row>
    <row r="474" spans="2:22" ht="12.3" x14ac:dyDescent="0.4">
      <c r="B474" s="2"/>
      <c r="C474" s="2"/>
      <c r="D474" s="2"/>
      <c r="E474" s="7"/>
      <c r="F474" s="14"/>
      <c r="J474" s="2"/>
      <c r="K474" s="2"/>
      <c r="L474" s="2"/>
      <c r="V474" s="19"/>
    </row>
    <row r="475" spans="2:22" ht="12.3" x14ac:dyDescent="0.4">
      <c r="B475" s="2"/>
      <c r="C475" s="2"/>
      <c r="D475" s="2"/>
      <c r="E475" s="7"/>
      <c r="F475" s="14"/>
      <c r="J475" s="2"/>
      <c r="K475" s="2"/>
      <c r="L475" s="2"/>
      <c r="V475" s="19"/>
    </row>
    <row r="476" spans="2:22" ht="12.3" x14ac:dyDescent="0.4">
      <c r="B476" s="2"/>
      <c r="C476" s="2"/>
      <c r="D476" s="2"/>
      <c r="E476" s="7"/>
      <c r="F476" s="14"/>
      <c r="J476" s="2"/>
      <c r="K476" s="2"/>
      <c r="L476" s="2"/>
      <c r="V476" s="19"/>
    </row>
    <row r="477" spans="2:22" ht="12.3" x14ac:dyDescent="0.4">
      <c r="B477" s="2"/>
      <c r="C477" s="2"/>
      <c r="D477" s="2"/>
      <c r="E477" s="7"/>
      <c r="F477" s="14"/>
      <c r="J477" s="2"/>
      <c r="K477" s="2"/>
      <c r="L477" s="2"/>
      <c r="V477" s="19"/>
    </row>
    <row r="478" spans="2:22" ht="12.3" x14ac:dyDescent="0.4">
      <c r="B478" s="2"/>
      <c r="C478" s="2"/>
      <c r="D478" s="2"/>
      <c r="E478" s="7"/>
      <c r="F478" s="14"/>
      <c r="J478" s="2"/>
      <c r="K478" s="2"/>
      <c r="L478" s="2"/>
      <c r="V478" s="19"/>
    </row>
    <row r="479" spans="2:22" ht="12.3" x14ac:dyDescent="0.4">
      <c r="B479" s="2"/>
      <c r="C479" s="2"/>
      <c r="D479" s="2"/>
      <c r="E479" s="7"/>
      <c r="F479" s="14"/>
      <c r="J479" s="2"/>
      <c r="K479" s="2"/>
      <c r="L479" s="2"/>
      <c r="V479" s="19"/>
    </row>
    <row r="480" spans="2:22" ht="12.3" x14ac:dyDescent="0.4">
      <c r="B480" s="2"/>
      <c r="C480" s="2"/>
      <c r="D480" s="2"/>
      <c r="E480" s="7"/>
      <c r="F480" s="14"/>
      <c r="J480" s="2"/>
      <c r="K480" s="2"/>
      <c r="L480" s="2"/>
      <c r="V480" s="19"/>
    </row>
    <row r="481" spans="2:22" ht="12.3" x14ac:dyDescent="0.4">
      <c r="B481" s="2"/>
      <c r="C481" s="2"/>
      <c r="D481" s="2"/>
      <c r="E481" s="7"/>
      <c r="F481" s="14"/>
      <c r="J481" s="2"/>
      <c r="K481" s="2"/>
      <c r="L481" s="2"/>
      <c r="V481" s="19"/>
    </row>
    <row r="482" spans="2:22" ht="12.3" x14ac:dyDescent="0.4">
      <c r="B482" s="2"/>
      <c r="C482" s="2"/>
      <c r="D482" s="2"/>
      <c r="E482" s="7"/>
      <c r="F482" s="14"/>
      <c r="J482" s="2"/>
      <c r="K482" s="2"/>
      <c r="L482" s="2"/>
      <c r="V482" s="19"/>
    </row>
    <row r="483" spans="2:22" ht="12.3" x14ac:dyDescent="0.4">
      <c r="B483" s="2"/>
      <c r="C483" s="2"/>
      <c r="D483" s="2"/>
      <c r="E483" s="7"/>
      <c r="F483" s="14"/>
      <c r="J483" s="2"/>
      <c r="K483" s="2"/>
      <c r="L483" s="2"/>
      <c r="V483" s="19"/>
    </row>
    <row r="484" spans="2:22" ht="12.3" x14ac:dyDescent="0.4">
      <c r="B484" s="2"/>
      <c r="C484" s="2"/>
      <c r="D484" s="2"/>
      <c r="E484" s="7"/>
      <c r="F484" s="14"/>
      <c r="J484" s="2"/>
      <c r="K484" s="2"/>
      <c r="L484" s="2"/>
      <c r="V484" s="19"/>
    </row>
    <row r="485" spans="2:22" ht="12.3" x14ac:dyDescent="0.4">
      <c r="B485" s="2"/>
      <c r="C485" s="2"/>
      <c r="D485" s="2"/>
      <c r="E485" s="7"/>
      <c r="F485" s="14"/>
      <c r="J485" s="2"/>
      <c r="K485" s="2"/>
      <c r="L485" s="2"/>
      <c r="V485" s="19"/>
    </row>
    <row r="486" spans="2:22" ht="12.3" x14ac:dyDescent="0.4">
      <c r="B486" s="2"/>
      <c r="C486" s="2"/>
      <c r="D486" s="2"/>
      <c r="E486" s="7"/>
      <c r="F486" s="14"/>
      <c r="J486" s="2"/>
      <c r="K486" s="2"/>
      <c r="L486" s="2"/>
      <c r="V486" s="19"/>
    </row>
    <row r="487" spans="2:22" ht="12.3" x14ac:dyDescent="0.4">
      <c r="B487" s="2"/>
      <c r="C487" s="2"/>
      <c r="D487" s="2"/>
      <c r="E487" s="7"/>
      <c r="F487" s="14"/>
      <c r="J487" s="2"/>
      <c r="K487" s="2"/>
      <c r="L487" s="2"/>
      <c r="V487" s="19"/>
    </row>
    <row r="488" spans="2:22" ht="12.3" x14ac:dyDescent="0.4">
      <c r="B488" s="2"/>
      <c r="C488" s="2"/>
      <c r="D488" s="2"/>
      <c r="E488" s="7"/>
      <c r="F488" s="14"/>
      <c r="J488" s="2"/>
      <c r="K488" s="2"/>
      <c r="L488" s="2"/>
      <c r="V488" s="19"/>
    </row>
    <row r="489" spans="2:22" ht="12.3" x14ac:dyDescent="0.4">
      <c r="B489" s="2"/>
      <c r="C489" s="2"/>
      <c r="D489" s="2"/>
      <c r="E489" s="7"/>
      <c r="F489" s="14"/>
      <c r="J489" s="2"/>
      <c r="K489" s="2"/>
      <c r="L489" s="2"/>
      <c r="V489" s="19"/>
    </row>
    <row r="490" spans="2:22" ht="12.3" x14ac:dyDescent="0.4">
      <c r="B490" s="2"/>
      <c r="C490" s="2"/>
      <c r="D490" s="2"/>
      <c r="E490" s="7"/>
      <c r="F490" s="14"/>
      <c r="J490" s="2"/>
      <c r="K490" s="2"/>
      <c r="L490" s="2"/>
      <c r="V490" s="19"/>
    </row>
    <row r="491" spans="2:22" ht="12.3" x14ac:dyDescent="0.4">
      <c r="B491" s="2"/>
      <c r="C491" s="2"/>
      <c r="D491" s="2"/>
      <c r="E491" s="7"/>
      <c r="F491" s="14"/>
      <c r="J491" s="2"/>
      <c r="K491" s="2"/>
      <c r="L491" s="2"/>
      <c r="V491" s="19"/>
    </row>
    <row r="492" spans="2:22" ht="12.3" x14ac:dyDescent="0.4">
      <c r="B492" s="2"/>
      <c r="C492" s="2"/>
      <c r="D492" s="2"/>
      <c r="E492" s="7"/>
      <c r="F492" s="14"/>
      <c r="J492" s="2"/>
      <c r="K492" s="2"/>
      <c r="L492" s="2"/>
      <c r="V492" s="19"/>
    </row>
    <row r="493" spans="2:22" ht="12.3" x14ac:dyDescent="0.4">
      <c r="B493" s="2"/>
      <c r="C493" s="2"/>
      <c r="D493" s="2"/>
      <c r="E493" s="7"/>
      <c r="F493" s="14"/>
      <c r="J493" s="2"/>
      <c r="K493" s="2"/>
      <c r="L493" s="2"/>
      <c r="V493" s="19"/>
    </row>
    <row r="494" spans="2:22" ht="12.3" x14ac:dyDescent="0.4">
      <c r="B494" s="2"/>
      <c r="C494" s="2"/>
      <c r="D494" s="2"/>
      <c r="E494" s="7"/>
      <c r="F494" s="14"/>
      <c r="J494" s="2"/>
      <c r="K494" s="2"/>
      <c r="L494" s="2"/>
      <c r="V494" s="19"/>
    </row>
    <row r="495" spans="2:22" ht="12.3" x14ac:dyDescent="0.4">
      <c r="B495" s="2"/>
      <c r="C495" s="2"/>
      <c r="D495" s="2"/>
      <c r="E495" s="7"/>
      <c r="F495" s="14"/>
      <c r="J495" s="2"/>
      <c r="K495" s="2"/>
      <c r="L495" s="2"/>
      <c r="V495" s="19"/>
    </row>
    <row r="496" spans="2:22" ht="12.3" x14ac:dyDescent="0.4">
      <c r="B496" s="2"/>
      <c r="C496" s="2"/>
      <c r="D496" s="2"/>
      <c r="E496" s="7"/>
      <c r="F496" s="14"/>
      <c r="J496" s="2"/>
      <c r="K496" s="2"/>
      <c r="L496" s="2"/>
      <c r="V496" s="19"/>
    </row>
    <row r="497" spans="2:22" ht="12.3" x14ac:dyDescent="0.4">
      <c r="B497" s="2"/>
      <c r="C497" s="2"/>
      <c r="D497" s="2"/>
      <c r="E497" s="7"/>
      <c r="F497" s="14"/>
      <c r="J497" s="2"/>
      <c r="K497" s="2"/>
      <c r="L497" s="2"/>
      <c r="V497" s="19"/>
    </row>
    <row r="498" spans="2:22" ht="12.3" x14ac:dyDescent="0.4">
      <c r="B498" s="2"/>
      <c r="C498" s="2"/>
      <c r="D498" s="2"/>
      <c r="E498" s="7"/>
      <c r="F498" s="14"/>
      <c r="J498" s="2"/>
      <c r="K498" s="2"/>
      <c r="L498" s="2"/>
      <c r="V498" s="19"/>
    </row>
    <row r="499" spans="2:22" ht="12.3" x14ac:dyDescent="0.4">
      <c r="B499" s="2"/>
      <c r="C499" s="2"/>
      <c r="D499" s="2"/>
      <c r="E499" s="7"/>
      <c r="F499" s="14"/>
      <c r="J499" s="2"/>
      <c r="K499" s="2"/>
      <c r="L499" s="2"/>
      <c r="V499" s="19"/>
    </row>
    <row r="500" spans="2:22" ht="12.3" x14ac:dyDescent="0.4">
      <c r="B500" s="2"/>
      <c r="C500" s="2"/>
      <c r="D500" s="2"/>
      <c r="E500" s="7"/>
      <c r="F500" s="14"/>
      <c r="J500" s="2"/>
      <c r="K500" s="2"/>
      <c r="L500" s="2"/>
      <c r="V500" s="19"/>
    </row>
    <row r="501" spans="2:22" ht="12.3" x14ac:dyDescent="0.4">
      <c r="B501" s="2"/>
      <c r="C501" s="2"/>
      <c r="D501" s="2"/>
      <c r="E501" s="7"/>
      <c r="F501" s="14"/>
      <c r="J501" s="2"/>
      <c r="K501" s="2"/>
      <c r="L501" s="2"/>
      <c r="V501" s="19"/>
    </row>
    <row r="502" spans="2:22" ht="12.3" x14ac:dyDescent="0.4">
      <c r="B502" s="2"/>
      <c r="C502" s="2"/>
      <c r="D502" s="2"/>
      <c r="E502" s="7"/>
      <c r="F502" s="14"/>
      <c r="J502" s="2"/>
      <c r="K502" s="2"/>
      <c r="L502" s="2"/>
      <c r="V502" s="19"/>
    </row>
    <row r="503" spans="2:22" ht="12.3" x14ac:dyDescent="0.4">
      <c r="B503" s="2"/>
      <c r="C503" s="2"/>
      <c r="D503" s="2"/>
      <c r="E503" s="7"/>
      <c r="F503" s="14"/>
      <c r="J503" s="2"/>
      <c r="K503" s="2"/>
      <c r="L503" s="2"/>
      <c r="V503" s="19"/>
    </row>
    <row r="504" spans="2:22" ht="12.3" x14ac:dyDescent="0.4">
      <c r="B504" s="2"/>
      <c r="C504" s="2"/>
      <c r="D504" s="2"/>
      <c r="E504" s="7"/>
      <c r="F504" s="14"/>
      <c r="J504" s="2"/>
      <c r="K504" s="2"/>
      <c r="L504" s="2"/>
      <c r="V504" s="19"/>
    </row>
    <row r="505" spans="2:22" ht="12.3" x14ac:dyDescent="0.4">
      <c r="B505" s="2"/>
      <c r="C505" s="2"/>
      <c r="D505" s="2"/>
      <c r="E505" s="7"/>
      <c r="F505" s="14"/>
      <c r="J505" s="2"/>
      <c r="K505" s="2"/>
      <c r="L505" s="2"/>
      <c r="V505" s="19"/>
    </row>
    <row r="506" spans="2:22" ht="12.3" x14ac:dyDescent="0.4">
      <c r="B506" s="2"/>
      <c r="C506" s="2"/>
      <c r="D506" s="2"/>
      <c r="E506" s="7"/>
      <c r="F506" s="14"/>
      <c r="J506" s="2"/>
      <c r="K506" s="2"/>
      <c r="L506" s="2"/>
      <c r="V506" s="19"/>
    </row>
    <row r="507" spans="2:22" ht="12.3" x14ac:dyDescent="0.4">
      <c r="B507" s="2"/>
      <c r="C507" s="2"/>
      <c r="D507" s="2"/>
      <c r="E507" s="7"/>
      <c r="F507" s="14"/>
      <c r="J507" s="2"/>
      <c r="K507" s="2"/>
      <c r="L507" s="2"/>
      <c r="V507" s="19"/>
    </row>
    <row r="508" spans="2:22" ht="12.3" x14ac:dyDescent="0.4">
      <c r="B508" s="2"/>
      <c r="C508" s="2"/>
      <c r="D508" s="2"/>
      <c r="E508" s="7"/>
      <c r="F508" s="14"/>
      <c r="J508" s="2"/>
      <c r="K508" s="2"/>
      <c r="L508" s="2"/>
      <c r="V508" s="19"/>
    </row>
    <row r="509" spans="2:22" ht="12.3" x14ac:dyDescent="0.4">
      <c r="B509" s="2"/>
      <c r="C509" s="2"/>
      <c r="D509" s="2"/>
      <c r="E509" s="7"/>
      <c r="F509" s="14"/>
      <c r="J509" s="2"/>
      <c r="K509" s="2"/>
      <c r="L509" s="2"/>
      <c r="V509" s="19"/>
    </row>
    <row r="510" spans="2:22" ht="12.3" x14ac:dyDescent="0.4">
      <c r="B510" s="2"/>
      <c r="C510" s="2"/>
      <c r="D510" s="2"/>
      <c r="E510" s="7"/>
      <c r="F510" s="14"/>
      <c r="J510" s="2"/>
      <c r="K510" s="2"/>
      <c r="L510" s="2"/>
      <c r="V510" s="19"/>
    </row>
    <row r="511" spans="2:22" ht="12.3" x14ac:dyDescent="0.4">
      <c r="B511" s="2"/>
      <c r="C511" s="2"/>
      <c r="D511" s="2"/>
      <c r="E511" s="7"/>
      <c r="F511" s="14"/>
      <c r="J511" s="2"/>
      <c r="K511" s="2"/>
      <c r="L511" s="2"/>
      <c r="V511" s="19"/>
    </row>
    <row r="512" spans="2:22" ht="12.3" x14ac:dyDescent="0.4">
      <c r="B512" s="2"/>
      <c r="C512" s="2"/>
      <c r="D512" s="2"/>
      <c r="E512" s="7"/>
      <c r="F512" s="14"/>
      <c r="J512" s="2"/>
      <c r="K512" s="2"/>
      <c r="L512" s="2"/>
      <c r="V512" s="19"/>
    </row>
    <row r="513" spans="2:22" ht="12.3" x14ac:dyDescent="0.4">
      <c r="B513" s="2"/>
      <c r="C513" s="2"/>
      <c r="D513" s="2"/>
      <c r="E513" s="7"/>
      <c r="F513" s="14"/>
      <c r="J513" s="2"/>
      <c r="K513" s="2"/>
      <c r="L513" s="2"/>
      <c r="V513" s="19"/>
    </row>
    <row r="514" spans="2:22" ht="12.3" x14ac:dyDescent="0.4">
      <c r="B514" s="2"/>
      <c r="C514" s="2"/>
      <c r="D514" s="2"/>
      <c r="E514" s="7"/>
      <c r="F514" s="14"/>
      <c r="J514" s="2"/>
      <c r="K514" s="2"/>
      <c r="L514" s="2"/>
      <c r="V514" s="19"/>
    </row>
    <row r="515" spans="2:22" ht="12.3" x14ac:dyDescent="0.4">
      <c r="B515" s="2"/>
      <c r="C515" s="2"/>
      <c r="D515" s="2"/>
      <c r="E515" s="7"/>
      <c r="F515" s="14"/>
      <c r="J515" s="2"/>
      <c r="K515" s="2"/>
      <c r="L515" s="2"/>
      <c r="V515" s="19"/>
    </row>
    <row r="516" spans="2:22" ht="12.3" x14ac:dyDescent="0.4">
      <c r="B516" s="2"/>
      <c r="C516" s="2"/>
      <c r="D516" s="2"/>
      <c r="E516" s="7"/>
      <c r="F516" s="14"/>
      <c r="J516" s="2"/>
      <c r="K516" s="2"/>
      <c r="L516" s="2"/>
      <c r="V516" s="19"/>
    </row>
    <row r="517" spans="2:22" ht="12.3" x14ac:dyDescent="0.4">
      <c r="B517" s="2"/>
      <c r="C517" s="2"/>
      <c r="D517" s="2"/>
      <c r="E517" s="7"/>
      <c r="F517" s="14"/>
      <c r="J517" s="2"/>
      <c r="K517" s="2"/>
      <c r="L517" s="2"/>
      <c r="V517" s="19"/>
    </row>
    <row r="518" spans="2:22" ht="12.3" x14ac:dyDescent="0.4">
      <c r="B518" s="2"/>
      <c r="C518" s="2"/>
      <c r="D518" s="2"/>
      <c r="E518" s="7"/>
      <c r="F518" s="14"/>
      <c r="J518" s="2"/>
      <c r="K518" s="2"/>
      <c r="L518" s="2"/>
      <c r="V518" s="19"/>
    </row>
    <row r="519" spans="2:22" ht="12.3" x14ac:dyDescent="0.4">
      <c r="B519" s="2"/>
      <c r="C519" s="2"/>
      <c r="D519" s="2"/>
      <c r="E519" s="7"/>
      <c r="F519" s="14"/>
      <c r="J519" s="2"/>
      <c r="K519" s="2"/>
      <c r="L519" s="2"/>
      <c r="V519" s="19"/>
    </row>
    <row r="520" spans="2:22" ht="12.3" x14ac:dyDescent="0.4">
      <c r="B520" s="2"/>
      <c r="C520" s="2"/>
      <c r="D520" s="2"/>
      <c r="E520" s="7"/>
      <c r="F520" s="14"/>
      <c r="J520" s="2"/>
      <c r="K520" s="2"/>
      <c r="L520" s="2"/>
      <c r="V520" s="19"/>
    </row>
    <row r="521" spans="2:22" ht="12.3" x14ac:dyDescent="0.4">
      <c r="B521" s="2"/>
      <c r="C521" s="2"/>
      <c r="D521" s="2"/>
      <c r="E521" s="7"/>
      <c r="F521" s="14"/>
      <c r="J521" s="2"/>
      <c r="K521" s="2"/>
      <c r="L521" s="2"/>
      <c r="V521" s="19"/>
    </row>
    <row r="522" spans="2:22" ht="12.3" x14ac:dyDescent="0.4">
      <c r="B522" s="2"/>
      <c r="C522" s="2"/>
      <c r="D522" s="2"/>
      <c r="E522" s="7"/>
      <c r="F522" s="14"/>
      <c r="J522" s="2"/>
      <c r="K522" s="2"/>
      <c r="L522" s="2"/>
      <c r="V522" s="19"/>
    </row>
    <row r="523" spans="2:22" ht="12.3" x14ac:dyDescent="0.4">
      <c r="B523" s="2"/>
      <c r="C523" s="2"/>
      <c r="D523" s="2"/>
      <c r="E523" s="7"/>
      <c r="F523" s="14"/>
      <c r="J523" s="2"/>
      <c r="K523" s="2"/>
      <c r="L523" s="2"/>
      <c r="V523" s="19"/>
    </row>
    <row r="524" spans="2:22" ht="12.3" x14ac:dyDescent="0.4">
      <c r="B524" s="2"/>
      <c r="C524" s="2"/>
      <c r="D524" s="2"/>
      <c r="E524" s="7"/>
      <c r="F524" s="14"/>
      <c r="J524" s="2"/>
      <c r="K524" s="2"/>
      <c r="L524" s="2"/>
      <c r="V524" s="19"/>
    </row>
    <row r="525" spans="2:22" ht="12.3" x14ac:dyDescent="0.4">
      <c r="B525" s="2"/>
      <c r="C525" s="2"/>
      <c r="D525" s="2"/>
      <c r="E525" s="7"/>
      <c r="F525" s="14"/>
      <c r="J525" s="2"/>
      <c r="K525" s="2"/>
      <c r="L525" s="2"/>
      <c r="V525" s="19"/>
    </row>
    <row r="526" spans="2:22" ht="12.3" x14ac:dyDescent="0.4">
      <c r="B526" s="2"/>
      <c r="C526" s="2"/>
      <c r="D526" s="2"/>
      <c r="E526" s="7"/>
      <c r="F526" s="14"/>
      <c r="J526" s="2"/>
      <c r="K526" s="2"/>
      <c r="L526" s="2"/>
      <c r="V526" s="19"/>
    </row>
    <row r="527" spans="2:22" ht="12.3" x14ac:dyDescent="0.4">
      <c r="B527" s="2"/>
      <c r="C527" s="2"/>
      <c r="D527" s="2"/>
      <c r="E527" s="7"/>
      <c r="F527" s="14"/>
      <c r="J527" s="2"/>
      <c r="K527" s="2"/>
      <c r="L527" s="2"/>
      <c r="V527" s="19"/>
    </row>
    <row r="528" spans="2:22" ht="12.3" x14ac:dyDescent="0.4">
      <c r="B528" s="2"/>
      <c r="C528" s="2"/>
      <c r="D528" s="2"/>
      <c r="E528" s="7"/>
      <c r="F528" s="14"/>
      <c r="J528" s="2"/>
      <c r="K528" s="2"/>
      <c r="L528" s="2"/>
      <c r="V528" s="19"/>
    </row>
    <row r="529" spans="2:22" ht="12.3" x14ac:dyDescent="0.4">
      <c r="B529" s="2"/>
      <c r="C529" s="2"/>
      <c r="D529" s="2"/>
      <c r="E529" s="7"/>
      <c r="F529" s="14"/>
      <c r="J529" s="2"/>
      <c r="K529" s="2"/>
      <c r="L529" s="2"/>
      <c r="V529" s="19"/>
    </row>
    <row r="530" spans="2:22" ht="12.3" x14ac:dyDescent="0.4">
      <c r="B530" s="2"/>
      <c r="C530" s="2"/>
      <c r="D530" s="2"/>
      <c r="E530" s="7"/>
      <c r="F530" s="14"/>
      <c r="J530" s="2"/>
      <c r="K530" s="2"/>
      <c r="L530" s="2"/>
      <c r="V530" s="19"/>
    </row>
    <row r="531" spans="2:22" ht="12.3" x14ac:dyDescent="0.4">
      <c r="B531" s="2"/>
      <c r="C531" s="2"/>
      <c r="D531" s="2"/>
      <c r="E531" s="7"/>
      <c r="F531" s="14"/>
      <c r="J531" s="2"/>
      <c r="K531" s="2"/>
      <c r="L531" s="2"/>
      <c r="V531" s="19"/>
    </row>
    <row r="532" spans="2:22" ht="12.3" x14ac:dyDescent="0.4">
      <c r="B532" s="2"/>
      <c r="C532" s="2"/>
      <c r="D532" s="2"/>
      <c r="E532" s="7"/>
      <c r="F532" s="14"/>
      <c r="J532" s="2"/>
      <c r="K532" s="2"/>
      <c r="L532" s="2"/>
      <c r="V532" s="19"/>
    </row>
    <row r="533" spans="2:22" ht="12.3" x14ac:dyDescent="0.4">
      <c r="B533" s="2"/>
      <c r="C533" s="2"/>
      <c r="D533" s="2"/>
      <c r="E533" s="7"/>
      <c r="F533" s="14"/>
      <c r="J533" s="2"/>
      <c r="K533" s="2"/>
      <c r="L533" s="2"/>
      <c r="V533" s="19"/>
    </row>
    <row r="534" spans="2:22" ht="12.3" x14ac:dyDescent="0.4">
      <c r="B534" s="2"/>
      <c r="C534" s="2"/>
      <c r="D534" s="2"/>
      <c r="E534" s="7"/>
      <c r="F534" s="14"/>
      <c r="J534" s="2"/>
      <c r="K534" s="2"/>
      <c r="L534" s="2"/>
      <c r="V534" s="19"/>
    </row>
    <row r="535" spans="2:22" ht="12.3" x14ac:dyDescent="0.4">
      <c r="B535" s="2"/>
      <c r="C535" s="2"/>
      <c r="D535" s="2"/>
      <c r="E535" s="7"/>
      <c r="F535" s="14"/>
      <c r="J535" s="2"/>
      <c r="K535" s="2"/>
      <c r="L535" s="2"/>
      <c r="V535" s="19"/>
    </row>
    <row r="536" spans="2:22" ht="12.3" x14ac:dyDescent="0.4">
      <c r="B536" s="2"/>
      <c r="C536" s="2"/>
      <c r="D536" s="2"/>
      <c r="E536" s="7"/>
      <c r="F536" s="14"/>
      <c r="J536" s="2"/>
      <c r="K536" s="2"/>
      <c r="L536" s="2"/>
      <c r="V536" s="19"/>
    </row>
    <row r="537" spans="2:22" ht="12.3" x14ac:dyDescent="0.4">
      <c r="B537" s="2"/>
      <c r="C537" s="2"/>
      <c r="D537" s="2"/>
      <c r="E537" s="7"/>
      <c r="F537" s="14"/>
      <c r="J537" s="2"/>
      <c r="K537" s="2"/>
      <c r="L537" s="2"/>
      <c r="V537" s="19"/>
    </row>
    <row r="538" spans="2:22" ht="12.3" x14ac:dyDescent="0.4">
      <c r="B538" s="2"/>
      <c r="C538" s="2"/>
      <c r="D538" s="2"/>
      <c r="E538" s="7"/>
      <c r="F538" s="14"/>
      <c r="J538" s="2"/>
      <c r="K538" s="2"/>
      <c r="L538" s="2"/>
      <c r="V538" s="19"/>
    </row>
    <row r="539" spans="2:22" ht="12.3" x14ac:dyDescent="0.4">
      <c r="B539" s="2"/>
      <c r="C539" s="2"/>
      <c r="D539" s="2"/>
      <c r="E539" s="7"/>
      <c r="F539" s="14"/>
      <c r="J539" s="2"/>
      <c r="K539" s="2"/>
      <c r="L539" s="2"/>
      <c r="V539" s="19"/>
    </row>
    <row r="540" spans="2:22" ht="12.3" x14ac:dyDescent="0.4">
      <c r="B540" s="2"/>
      <c r="C540" s="2"/>
      <c r="D540" s="2"/>
      <c r="E540" s="7"/>
      <c r="F540" s="14"/>
      <c r="J540" s="2"/>
      <c r="K540" s="2"/>
      <c r="L540" s="2"/>
      <c r="V540" s="19"/>
    </row>
    <row r="541" spans="2:22" ht="12.3" x14ac:dyDescent="0.4">
      <c r="B541" s="2"/>
      <c r="C541" s="2"/>
      <c r="D541" s="2"/>
      <c r="E541" s="7"/>
      <c r="F541" s="14"/>
      <c r="J541" s="2"/>
      <c r="K541" s="2"/>
      <c r="L541" s="2"/>
      <c r="V541" s="19"/>
    </row>
    <row r="542" spans="2:22" ht="12.3" x14ac:dyDescent="0.4">
      <c r="B542" s="2"/>
      <c r="C542" s="2"/>
      <c r="D542" s="2"/>
      <c r="E542" s="7"/>
      <c r="F542" s="14"/>
      <c r="J542" s="2"/>
      <c r="K542" s="2"/>
      <c r="L542" s="2"/>
      <c r="V542" s="19"/>
    </row>
    <row r="543" spans="2:22" ht="12.3" x14ac:dyDescent="0.4">
      <c r="B543" s="2"/>
      <c r="C543" s="2"/>
      <c r="D543" s="2"/>
      <c r="E543" s="7"/>
      <c r="F543" s="14"/>
      <c r="J543" s="2"/>
      <c r="K543" s="2"/>
      <c r="L543" s="2"/>
      <c r="V543" s="19"/>
    </row>
    <row r="544" spans="2:22" ht="12.3" x14ac:dyDescent="0.4">
      <c r="B544" s="2"/>
      <c r="C544" s="2"/>
      <c r="D544" s="2"/>
      <c r="E544" s="7"/>
      <c r="F544" s="14"/>
      <c r="J544" s="2"/>
      <c r="K544" s="2"/>
      <c r="L544" s="2"/>
      <c r="V544" s="19"/>
    </row>
    <row r="545" spans="2:22" ht="12.3" x14ac:dyDescent="0.4">
      <c r="B545" s="2"/>
      <c r="C545" s="2"/>
      <c r="D545" s="2"/>
      <c r="E545" s="7"/>
      <c r="F545" s="14"/>
      <c r="J545" s="2"/>
      <c r="K545" s="2"/>
      <c r="L545" s="2"/>
      <c r="V545" s="19"/>
    </row>
    <row r="546" spans="2:22" ht="12.3" x14ac:dyDescent="0.4">
      <c r="B546" s="2"/>
      <c r="C546" s="2"/>
      <c r="D546" s="2"/>
      <c r="E546" s="7"/>
      <c r="F546" s="14"/>
      <c r="J546" s="2"/>
      <c r="K546" s="2"/>
      <c r="L546" s="2"/>
      <c r="V546" s="19"/>
    </row>
    <row r="547" spans="2:22" ht="12.3" x14ac:dyDescent="0.4">
      <c r="B547" s="2"/>
      <c r="C547" s="2"/>
      <c r="D547" s="2"/>
      <c r="E547" s="7"/>
      <c r="F547" s="14"/>
      <c r="J547" s="2"/>
      <c r="K547" s="2"/>
      <c r="L547" s="2"/>
      <c r="V547" s="19"/>
    </row>
    <row r="548" spans="2:22" ht="12.3" x14ac:dyDescent="0.4">
      <c r="B548" s="2"/>
      <c r="C548" s="2"/>
      <c r="D548" s="2"/>
      <c r="E548" s="7"/>
      <c r="F548" s="14"/>
      <c r="J548" s="2"/>
      <c r="K548" s="2"/>
      <c r="L548" s="2"/>
      <c r="V548" s="19"/>
    </row>
    <row r="549" spans="2:22" ht="12.3" x14ac:dyDescent="0.4">
      <c r="B549" s="2"/>
      <c r="C549" s="2"/>
      <c r="D549" s="2"/>
      <c r="E549" s="7"/>
      <c r="F549" s="14"/>
      <c r="J549" s="2"/>
      <c r="K549" s="2"/>
      <c r="L549" s="2"/>
      <c r="V549" s="19"/>
    </row>
    <row r="550" spans="2:22" ht="12.3" x14ac:dyDescent="0.4">
      <c r="B550" s="2"/>
      <c r="C550" s="2"/>
      <c r="D550" s="2"/>
      <c r="E550" s="7"/>
      <c r="F550" s="14"/>
      <c r="J550" s="2"/>
      <c r="K550" s="2"/>
      <c r="L550" s="2"/>
      <c r="V550" s="19"/>
    </row>
    <row r="551" spans="2:22" ht="12.3" x14ac:dyDescent="0.4">
      <c r="B551" s="2"/>
      <c r="C551" s="2"/>
      <c r="D551" s="2"/>
      <c r="E551" s="7"/>
      <c r="F551" s="14"/>
      <c r="J551" s="2"/>
      <c r="K551" s="2"/>
      <c r="L551" s="2"/>
      <c r="V551" s="19"/>
    </row>
    <row r="552" spans="2:22" ht="12.3" x14ac:dyDescent="0.4">
      <c r="B552" s="2"/>
      <c r="C552" s="2"/>
      <c r="D552" s="2"/>
      <c r="E552" s="7"/>
      <c r="F552" s="14"/>
      <c r="J552" s="2"/>
      <c r="K552" s="2"/>
      <c r="L552" s="2"/>
      <c r="V552" s="19"/>
    </row>
    <row r="553" spans="2:22" ht="12.3" x14ac:dyDescent="0.4">
      <c r="B553" s="2"/>
      <c r="C553" s="2"/>
      <c r="D553" s="2"/>
      <c r="E553" s="7"/>
      <c r="F553" s="14"/>
      <c r="J553" s="2"/>
      <c r="K553" s="2"/>
      <c r="L553" s="2"/>
      <c r="V553" s="19"/>
    </row>
    <row r="554" spans="2:22" ht="12.3" x14ac:dyDescent="0.4">
      <c r="B554" s="2"/>
      <c r="C554" s="2"/>
      <c r="D554" s="2"/>
      <c r="E554" s="7"/>
      <c r="F554" s="14"/>
      <c r="J554" s="2"/>
      <c r="K554" s="2"/>
      <c r="L554" s="2"/>
      <c r="V554" s="19"/>
    </row>
    <row r="555" spans="2:22" ht="12.3" x14ac:dyDescent="0.4">
      <c r="B555" s="2"/>
      <c r="C555" s="2"/>
      <c r="D555" s="2"/>
      <c r="E555" s="7"/>
      <c r="F555" s="14"/>
      <c r="J555" s="2"/>
      <c r="K555" s="2"/>
      <c r="L555" s="2"/>
      <c r="V555" s="19"/>
    </row>
    <row r="556" spans="2:22" ht="12.3" x14ac:dyDescent="0.4">
      <c r="B556" s="2"/>
      <c r="C556" s="2"/>
      <c r="D556" s="2"/>
      <c r="E556" s="7"/>
      <c r="F556" s="14"/>
      <c r="J556" s="2"/>
      <c r="K556" s="2"/>
      <c r="L556" s="2"/>
      <c r="V556" s="19"/>
    </row>
    <row r="557" spans="2:22" ht="12.3" x14ac:dyDescent="0.4">
      <c r="B557" s="2"/>
      <c r="C557" s="2"/>
      <c r="D557" s="2"/>
      <c r="E557" s="7"/>
      <c r="F557" s="14"/>
      <c r="J557" s="2"/>
      <c r="K557" s="2"/>
      <c r="L557" s="2"/>
      <c r="V557" s="19"/>
    </row>
    <row r="558" spans="2:22" ht="12.3" x14ac:dyDescent="0.4">
      <c r="B558" s="2"/>
      <c r="C558" s="2"/>
      <c r="D558" s="2"/>
      <c r="E558" s="7"/>
      <c r="F558" s="14"/>
      <c r="J558" s="2"/>
      <c r="K558" s="2"/>
      <c r="L558" s="2"/>
      <c r="V558" s="19"/>
    </row>
    <row r="559" spans="2:22" ht="12.3" x14ac:dyDescent="0.4">
      <c r="B559" s="2"/>
      <c r="C559" s="2"/>
      <c r="D559" s="2"/>
      <c r="E559" s="7"/>
      <c r="F559" s="14"/>
      <c r="J559" s="2"/>
      <c r="K559" s="2"/>
      <c r="L559" s="2"/>
      <c r="V559" s="19"/>
    </row>
    <row r="560" spans="2:22" ht="12.3" x14ac:dyDescent="0.4">
      <c r="B560" s="2"/>
      <c r="C560" s="2"/>
      <c r="D560" s="2"/>
      <c r="E560" s="7"/>
      <c r="F560" s="14"/>
      <c r="J560" s="2"/>
      <c r="K560" s="2"/>
      <c r="L560" s="2"/>
      <c r="V560" s="19"/>
    </row>
    <row r="561" spans="2:22" ht="12.3" x14ac:dyDescent="0.4">
      <c r="B561" s="2"/>
      <c r="C561" s="2"/>
      <c r="D561" s="2"/>
      <c r="E561" s="7"/>
      <c r="F561" s="14"/>
      <c r="J561" s="2"/>
      <c r="K561" s="2"/>
      <c r="L561" s="2"/>
      <c r="V561" s="19"/>
    </row>
    <row r="562" spans="2:22" ht="12.3" x14ac:dyDescent="0.4">
      <c r="B562" s="2"/>
      <c r="C562" s="2"/>
      <c r="D562" s="2"/>
      <c r="E562" s="7"/>
      <c r="F562" s="14"/>
      <c r="J562" s="2"/>
      <c r="K562" s="2"/>
      <c r="L562" s="2"/>
      <c r="V562" s="19"/>
    </row>
    <row r="563" spans="2:22" ht="12.3" x14ac:dyDescent="0.4">
      <c r="B563" s="2"/>
      <c r="C563" s="2"/>
      <c r="D563" s="2"/>
      <c r="E563" s="7"/>
      <c r="F563" s="14"/>
      <c r="J563" s="2"/>
      <c r="K563" s="2"/>
      <c r="L563" s="2"/>
      <c r="V563" s="19"/>
    </row>
    <row r="564" spans="2:22" ht="12.3" x14ac:dyDescent="0.4">
      <c r="B564" s="2"/>
      <c r="C564" s="2"/>
      <c r="D564" s="2"/>
      <c r="E564" s="7"/>
      <c r="F564" s="14"/>
      <c r="J564" s="2"/>
      <c r="K564" s="2"/>
      <c r="L564" s="2"/>
      <c r="V564" s="19"/>
    </row>
    <row r="565" spans="2:22" ht="12.3" x14ac:dyDescent="0.4">
      <c r="B565" s="2"/>
      <c r="C565" s="2"/>
      <c r="D565" s="2"/>
      <c r="E565" s="7"/>
      <c r="F565" s="14"/>
      <c r="J565" s="2"/>
      <c r="K565" s="2"/>
      <c r="L565" s="2"/>
      <c r="V565" s="19"/>
    </row>
    <row r="566" spans="2:22" ht="12.3" x14ac:dyDescent="0.4">
      <c r="B566" s="2"/>
      <c r="C566" s="2"/>
      <c r="D566" s="2"/>
      <c r="E566" s="7"/>
      <c r="F566" s="14"/>
      <c r="J566" s="2"/>
      <c r="K566" s="2"/>
      <c r="L566" s="2"/>
      <c r="V566" s="19"/>
    </row>
    <row r="567" spans="2:22" ht="12.3" x14ac:dyDescent="0.4">
      <c r="B567" s="2"/>
      <c r="C567" s="2"/>
      <c r="D567" s="2"/>
      <c r="E567" s="7"/>
      <c r="F567" s="14"/>
      <c r="J567" s="2"/>
      <c r="K567" s="2"/>
      <c r="L567" s="2"/>
      <c r="V567" s="19"/>
    </row>
    <row r="568" spans="2:22" ht="12.3" x14ac:dyDescent="0.4">
      <c r="B568" s="2"/>
      <c r="C568" s="2"/>
      <c r="D568" s="2"/>
      <c r="E568" s="7"/>
      <c r="F568" s="14"/>
      <c r="J568" s="2"/>
      <c r="K568" s="2"/>
      <c r="L568" s="2"/>
      <c r="V568" s="19"/>
    </row>
    <row r="569" spans="2:22" ht="12.3" x14ac:dyDescent="0.4">
      <c r="B569" s="2"/>
      <c r="C569" s="2"/>
      <c r="D569" s="2"/>
      <c r="E569" s="7"/>
      <c r="F569" s="14"/>
      <c r="J569" s="2"/>
      <c r="K569" s="2"/>
      <c r="L569" s="2"/>
      <c r="V569" s="19"/>
    </row>
    <row r="570" spans="2:22" ht="12.3" x14ac:dyDescent="0.4">
      <c r="B570" s="2"/>
      <c r="C570" s="2"/>
      <c r="D570" s="2"/>
      <c r="E570" s="7"/>
      <c r="F570" s="14"/>
      <c r="J570" s="2"/>
      <c r="K570" s="2"/>
      <c r="L570" s="2"/>
      <c r="V570" s="19"/>
    </row>
    <row r="571" spans="2:22" ht="12.3" x14ac:dyDescent="0.4">
      <c r="B571" s="2"/>
      <c r="C571" s="2"/>
      <c r="D571" s="2"/>
      <c r="E571" s="7"/>
      <c r="F571" s="14"/>
      <c r="J571" s="2"/>
      <c r="K571" s="2"/>
      <c r="L571" s="2"/>
      <c r="V571" s="19"/>
    </row>
    <row r="572" spans="2:22" ht="12.3" x14ac:dyDescent="0.4">
      <c r="B572" s="2"/>
      <c r="C572" s="2"/>
      <c r="D572" s="2"/>
      <c r="E572" s="7"/>
      <c r="F572" s="14"/>
      <c r="J572" s="2"/>
      <c r="K572" s="2"/>
      <c r="L572" s="2"/>
      <c r="V572" s="19"/>
    </row>
    <row r="573" spans="2:22" ht="12.3" x14ac:dyDescent="0.4">
      <c r="B573" s="2"/>
      <c r="C573" s="2"/>
      <c r="D573" s="2"/>
      <c r="E573" s="7"/>
      <c r="F573" s="14"/>
      <c r="J573" s="2"/>
      <c r="K573" s="2"/>
      <c r="L573" s="2"/>
      <c r="V573" s="19"/>
    </row>
    <row r="574" spans="2:22" ht="12.3" x14ac:dyDescent="0.4">
      <c r="B574" s="2"/>
      <c r="C574" s="2"/>
      <c r="D574" s="2"/>
      <c r="E574" s="7"/>
      <c r="F574" s="14"/>
      <c r="J574" s="2"/>
      <c r="K574" s="2"/>
      <c r="L574" s="2"/>
      <c r="V574" s="19"/>
    </row>
    <row r="575" spans="2:22" ht="12.3" x14ac:dyDescent="0.4">
      <c r="B575" s="2"/>
      <c r="C575" s="2"/>
      <c r="D575" s="2"/>
      <c r="E575" s="7"/>
      <c r="F575" s="14"/>
      <c r="J575" s="2"/>
      <c r="K575" s="2"/>
      <c r="L575" s="2"/>
      <c r="V575" s="19"/>
    </row>
    <row r="576" spans="2:22" ht="12.3" x14ac:dyDescent="0.4">
      <c r="B576" s="2"/>
      <c r="C576" s="2"/>
      <c r="D576" s="2"/>
      <c r="E576" s="7"/>
      <c r="F576" s="14"/>
      <c r="J576" s="2"/>
      <c r="K576" s="2"/>
      <c r="L576" s="2"/>
      <c r="V576" s="19"/>
    </row>
    <row r="577" spans="2:22" ht="12.3" x14ac:dyDescent="0.4">
      <c r="B577" s="2"/>
      <c r="C577" s="2"/>
      <c r="D577" s="2"/>
      <c r="E577" s="7"/>
      <c r="F577" s="14"/>
      <c r="J577" s="2"/>
      <c r="K577" s="2"/>
      <c r="L577" s="2"/>
      <c r="V577" s="19"/>
    </row>
    <row r="578" spans="2:22" ht="12.3" x14ac:dyDescent="0.4">
      <c r="B578" s="2"/>
      <c r="C578" s="2"/>
      <c r="D578" s="2"/>
      <c r="E578" s="7"/>
      <c r="F578" s="14"/>
      <c r="J578" s="2"/>
      <c r="K578" s="2"/>
      <c r="L578" s="2"/>
      <c r="V578" s="19"/>
    </row>
    <row r="579" spans="2:22" ht="12.3" x14ac:dyDescent="0.4">
      <c r="B579" s="2"/>
      <c r="C579" s="2"/>
      <c r="D579" s="2"/>
      <c r="E579" s="7"/>
      <c r="F579" s="14"/>
      <c r="J579" s="2"/>
      <c r="K579" s="2"/>
      <c r="L579" s="2"/>
      <c r="V579" s="19"/>
    </row>
    <row r="580" spans="2:22" ht="12.3" x14ac:dyDescent="0.4">
      <c r="B580" s="2"/>
      <c r="C580" s="2"/>
      <c r="D580" s="2"/>
      <c r="E580" s="7"/>
      <c r="F580" s="14"/>
      <c r="J580" s="2"/>
      <c r="K580" s="2"/>
      <c r="L580" s="2"/>
      <c r="V580" s="19"/>
    </row>
    <row r="581" spans="2:22" ht="12.3" x14ac:dyDescent="0.4">
      <c r="B581" s="2"/>
      <c r="C581" s="2"/>
      <c r="D581" s="2"/>
      <c r="E581" s="7"/>
      <c r="F581" s="14"/>
      <c r="J581" s="2"/>
      <c r="K581" s="2"/>
      <c r="L581" s="2"/>
      <c r="V581" s="19"/>
    </row>
    <row r="582" spans="2:22" ht="12.3" x14ac:dyDescent="0.4">
      <c r="B582" s="2"/>
      <c r="C582" s="2"/>
      <c r="D582" s="2"/>
      <c r="E582" s="7"/>
      <c r="F582" s="14"/>
      <c r="J582" s="2"/>
      <c r="K582" s="2"/>
      <c r="L582" s="2"/>
      <c r="V582" s="19"/>
    </row>
    <row r="583" spans="2:22" ht="12.3" x14ac:dyDescent="0.4">
      <c r="B583" s="2"/>
      <c r="C583" s="2"/>
      <c r="D583" s="2"/>
      <c r="E583" s="7"/>
      <c r="F583" s="14"/>
      <c r="J583" s="2"/>
      <c r="K583" s="2"/>
      <c r="L583" s="2"/>
      <c r="V583" s="19"/>
    </row>
    <row r="584" spans="2:22" ht="12.3" x14ac:dyDescent="0.4">
      <c r="B584" s="2"/>
      <c r="C584" s="2"/>
      <c r="D584" s="2"/>
      <c r="E584" s="7"/>
      <c r="F584" s="14"/>
      <c r="J584" s="2"/>
      <c r="K584" s="2"/>
      <c r="L584" s="2"/>
      <c r="V584" s="19"/>
    </row>
    <row r="585" spans="2:22" ht="12.3" x14ac:dyDescent="0.4">
      <c r="B585" s="2"/>
      <c r="C585" s="2"/>
      <c r="D585" s="2"/>
      <c r="E585" s="7"/>
      <c r="F585" s="14"/>
      <c r="J585" s="2"/>
      <c r="K585" s="2"/>
      <c r="L585" s="2"/>
      <c r="V585" s="19"/>
    </row>
    <row r="586" spans="2:22" ht="12.3" x14ac:dyDescent="0.4">
      <c r="B586" s="2"/>
      <c r="C586" s="2"/>
      <c r="D586" s="2"/>
      <c r="E586" s="7"/>
      <c r="F586" s="14"/>
      <c r="J586" s="2"/>
      <c r="K586" s="2"/>
      <c r="L586" s="2"/>
      <c r="V586" s="19"/>
    </row>
    <row r="587" spans="2:22" ht="12.3" x14ac:dyDescent="0.4">
      <c r="B587" s="2"/>
      <c r="C587" s="2"/>
      <c r="D587" s="2"/>
      <c r="E587" s="7"/>
      <c r="F587" s="14"/>
      <c r="J587" s="2"/>
      <c r="K587" s="2"/>
      <c r="L587" s="2"/>
      <c r="V587" s="19"/>
    </row>
    <row r="588" spans="2:22" ht="12.3" x14ac:dyDescent="0.4">
      <c r="B588" s="2"/>
      <c r="C588" s="2"/>
      <c r="D588" s="2"/>
      <c r="E588" s="7"/>
      <c r="F588" s="14"/>
      <c r="J588" s="2"/>
      <c r="K588" s="2"/>
      <c r="L588" s="2"/>
      <c r="V588" s="19"/>
    </row>
    <row r="589" spans="2:22" ht="12.3" x14ac:dyDescent="0.4">
      <c r="B589" s="2"/>
      <c r="C589" s="2"/>
      <c r="D589" s="2"/>
      <c r="E589" s="7"/>
      <c r="F589" s="14"/>
      <c r="J589" s="2"/>
      <c r="K589" s="2"/>
      <c r="L589" s="2"/>
      <c r="V589" s="19"/>
    </row>
    <row r="590" spans="2:22" ht="12.3" x14ac:dyDescent="0.4">
      <c r="B590" s="2"/>
      <c r="C590" s="2"/>
      <c r="D590" s="2"/>
      <c r="E590" s="7"/>
      <c r="F590" s="14"/>
      <c r="J590" s="2"/>
      <c r="K590" s="2"/>
      <c r="L590" s="2"/>
      <c r="V590" s="19"/>
    </row>
    <row r="591" spans="2:22" ht="12.3" x14ac:dyDescent="0.4">
      <c r="B591" s="2"/>
      <c r="C591" s="2"/>
      <c r="D591" s="2"/>
      <c r="E591" s="7"/>
      <c r="F591" s="14"/>
      <c r="J591" s="2"/>
      <c r="K591" s="2"/>
      <c r="L591" s="2"/>
      <c r="V591" s="19"/>
    </row>
    <row r="592" spans="2:22" ht="12.3" x14ac:dyDescent="0.4">
      <c r="B592" s="2"/>
      <c r="C592" s="2"/>
      <c r="D592" s="2"/>
      <c r="E592" s="7"/>
      <c r="F592" s="14"/>
      <c r="J592" s="2"/>
      <c r="K592" s="2"/>
      <c r="L592" s="2"/>
      <c r="V592" s="19"/>
    </row>
    <row r="593" spans="2:22" ht="12.3" x14ac:dyDescent="0.4">
      <c r="B593" s="2"/>
      <c r="C593" s="2"/>
      <c r="D593" s="2"/>
      <c r="E593" s="7"/>
      <c r="F593" s="14"/>
      <c r="J593" s="2"/>
      <c r="K593" s="2"/>
      <c r="L593" s="2"/>
      <c r="V593" s="19"/>
    </row>
    <row r="594" spans="2:22" ht="12.3" x14ac:dyDescent="0.4">
      <c r="B594" s="2"/>
      <c r="C594" s="2"/>
      <c r="D594" s="2"/>
      <c r="E594" s="7"/>
      <c r="F594" s="14"/>
      <c r="J594" s="2"/>
      <c r="K594" s="2"/>
      <c r="L594" s="2"/>
      <c r="V594" s="19"/>
    </row>
    <row r="595" spans="2:22" ht="12.3" x14ac:dyDescent="0.4">
      <c r="B595" s="2"/>
      <c r="C595" s="2"/>
      <c r="D595" s="2"/>
      <c r="E595" s="7"/>
      <c r="F595" s="14"/>
      <c r="J595" s="2"/>
      <c r="K595" s="2"/>
      <c r="L595" s="2"/>
      <c r="V595" s="19"/>
    </row>
    <row r="596" spans="2:22" ht="12.3" x14ac:dyDescent="0.4">
      <c r="B596" s="2"/>
      <c r="C596" s="2"/>
      <c r="D596" s="2"/>
      <c r="E596" s="7"/>
      <c r="F596" s="14"/>
      <c r="J596" s="2"/>
      <c r="K596" s="2"/>
      <c r="L596" s="2"/>
      <c r="V596" s="19"/>
    </row>
    <row r="597" spans="2:22" ht="12.3" x14ac:dyDescent="0.4">
      <c r="B597" s="2"/>
      <c r="C597" s="2"/>
      <c r="D597" s="2"/>
      <c r="E597" s="7"/>
      <c r="F597" s="14"/>
      <c r="J597" s="2"/>
      <c r="K597" s="2"/>
      <c r="L597" s="2"/>
      <c r="V597" s="19"/>
    </row>
    <row r="598" spans="2:22" ht="12.3" x14ac:dyDescent="0.4">
      <c r="B598" s="2"/>
      <c r="C598" s="2"/>
      <c r="D598" s="2"/>
      <c r="E598" s="7"/>
      <c r="F598" s="14"/>
      <c r="J598" s="2"/>
      <c r="K598" s="2"/>
      <c r="L598" s="2"/>
      <c r="V598" s="19"/>
    </row>
    <row r="599" spans="2:22" ht="12.3" x14ac:dyDescent="0.4">
      <c r="B599" s="2"/>
      <c r="C599" s="2"/>
      <c r="D599" s="2"/>
      <c r="E599" s="7"/>
      <c r="F599" s="14"/>
      <c r="J599" s="2"/>
      <c r="K599" s="2"/>
      <c r="L599" s="2"/>
      <c r="V599" s="19"/>
    </row>
    <row r="600" spans="2:22" ht="12.3" x14ac:dyDescent="0.4">
      <c r="B600" s="2"/>
      <c r="C600" s="2"/>
      <c r="D600" s="2"/>
      <c r="E600" s="7"/>
      <c r="F600" s="14"/>
      <c r="J600" s="2"/>
      <c r="K600" s="2"/>
      <c r="L600" s="2"/>
      <c r="V600" s="19"/>
    </row>
    <row r="601" spans="2:22" ht="12.3" x14ac:dyDescent="0.4">
      <c r="B601" s="2"/>
      <c r="C601" s="2"/>
      <c r="D601" s="2"/>
      <c r="E601" s="7"/>
      <c r="F601" s="14"/>
      <c r="J601" s="2"/>
      <c r="K601" s="2"/>
      <c r="L601" s="2"/>
      <c r="V601" s="19"/>
    </row>
    <row r="602" spans="2:22" ht="12.3" x14ac:dyDescent="0.4">
      <c r="B602" s="2"/>
      <c r="C602" s="2"/>
      <c r="D602" s="2"/>
      <c r="E602" s="7"/>
      <c r="F602" s="14"/>
      <c r="J602" s="2"/>
      <c r="K602" s="2"/>
      <c r="L602" s="2"/>
      <c r="V602" s="19"/>
    </row>
    <row r="603" spans="2:22" ht="12.3" x14ac:dyDescent="0.4">
      <c r="B603" s="2"/>
      <c r="C603" s="2"/>
      <c r="D603" s="2"/>
      <c r="E603" s="7"/>
      <c r="F603" s="14"/>
      <c r="J603" s="2"/>
      <c r="K603" s="2"/>
      <c r="L603" s="2"/>
      <c r="V603" s="19"/>
    </row>
    <row r="604" spans="2:22" ht="12.3" x14ac:dyDescent="0.4">
      <c r="B604" s="2"/>
      <c r="C604" s="2"/>
      <c r="D604" s="2"/>
      <c r="E604" s="7"/>
      <c r="F604" s="14"/>
      <c r="J604" s="2"/>
      <c r="K604" s="2"/>
      <c r="L604" s="2"/>
      <c r="V604" s="19"/>
    </row>
    <row r="605" spans="2:22" ht="12.3" x14ac:dyDescent="0.4">
      <c r="B605" s="2"/>
      <c r="C605" s="2"/>
      <c r="D605" s="2"/>
      <c r="E605" s="7"/>
      <c r="F605" s="14"/>
      <c r="J605" s="2"/>
      <c r="K605" s="2"/>
      <c r="L605" s="2"/>
      <c r="V605" s="19"/>
    </row>
    <row r="606" spans="2:22" ht="12.3" x14ac:dyDescent="0.4">
      <c r="B606" s="2"/>
      <c r="C606" s="2"/>
      <c r="D606" s="2"/>
      <c r="E606" s="7"/>
      <c r="F606" s="14"/>
      <c r="J606" s="2"/>
      <c r="K606" s="2"/>
      <c r="L606" s="2"/>
      <c r="V606" s="19"/>
    </row>
    <row r="607" spans="2:22" ht="12.3" x14ac:dyDescent="0.4">
      <c r="B607" s="2"/>
      <c r="C607" s="2"/>
      <c r="D607" s="2"/>
      <c r="E607" s="7"/>
      <c r="F607" s="14"/>
      <c r="J607" s="2"/>
      <c r="K607" s="2"/>
      <c r="L607" s="2"/>
      <c r="V607" s="19"/>
    </row>
    <row r="608" spans="2:22" ht="12.3" x14ac:dyDescent="0.4">
      <c r="B608" s="2"/>
      <c r="C608" s="2"/>
      <c r="D608" s="2"/>
      <c r="E608" s="7"/>
      <c r="F608" s="14"/>
      <c r="J608" s="2"/>
      <c r="K608" s="2"/>
      <c r="L608" s="2"/>
      <c r="V608" s="19"/>
    </row>
    <row r="609" spans="2:22" ht="12.3" x14ac:dyDescent="0.4">
      <c r="B609" s="2"/>
      <c r="C609" s="2"/>
      <c r="D609" s="2"/>
      <c r="E609" s="7"/>
      <c r="F609" s="14"/>
      <c r="J609" s="2"/>
      <c r="K609" s="2"/>
      <c r="L609" s="2"/>
      <c r="V609" s="19"/>
    </row>
    <row r="610" spans="2:22" ht="12.3" x14ac:dyDescent="0.4">
      <c r="B610" s="2"/>
      <c r="C610" s="2"/>
      <c r="D610" s="2"/>
      <c r="E610" s="7"/>
      <c r="F610" s="14"/>
      <c r="J610" s="2"/>
      <c r="K610" s="2"/>
      <c r="L610" s="2"/>
      <c r="V610" s="19"/>
    </row>
    <row r="611" spans="2:22" ht="12.3" x14ac:dyDescent="0.4">
      <c r="B611" s="2"/>
      <c r="C611" s="2"/>
      <c r="D611" s="2"/>
      <c r="E611" s="7"/>
      <c r="F611" s="14"/>
      <c r="J611" s="2"/>
      <c r="K611" s="2"/>
      <c r="L611" s="2"/>
      <c r="V611" s="19"/>
    </row>
    <row r="612" spans="2:22" ht="12.3" x14ac:dyDescent="0.4">
      <c r="B612" s="2"/>
      <c r="C612" s="2"/>
      <c r="D612" s="2"/>
      <c r="E612" s="7"/>
      <c r="F612" s="14"/>
      <c r="J612" s="2"/>
      <c r="K612" s="2"/>
      <c r="L612" s="2"/>
      <c r="V612" s="19"/>
    </row>
    <row r="613" spans="2:22" ht="12.3" x14ac:dyDescent="0.4">
      <c r="B613" s="2"/>
      <c r="C613" s="2"/>
      <c r="D613" s="2"/>
      <c r="E613" s="7"/>
      <c r="F613" s="14"/>
      <c r="J613" s="2"/>
      <c r="K613" s="2"/>
      <c r="L613" s="2"/>
      <c r="V613" s="19"/>
    </row>
    <row r="614" spans="2:22" ht="12.3" x14ac:dyDescent="0.4">
      <c r="B614" s="2"/>
      <c r="C614" s="2"/>
      <c r="D614" s="2"/>
      <c r="E614" s="7"/>
      <c r="F614" s="14"/>
      <c r="J614" s="2"/>
      <c r="K614" s="2"/>
      <c r="L614" s="2"/>
      <c r="V614" s="19"/>
    </row>
    <row r="615" spans="2:22" ht="12.3" x14ac:dyDescent="0.4">
      <c r="B615" s="2"/>
      <c r="C615" s="2"/>
      <c r="D615" s="2"/>
      <c r="E615" s="7"/>
      <c r="F615" s="14"/>
      <c r="J615" s="2"/>
      <c r="K615" s="2"/>
      <c r="L615" s="2"/>
      <c r="V615" s="19"/>
    </row>
    <row r="616" spans="2:22" ht="12.3" x14ac:dyDescent="0.4">
      <c r="B616" s="2"/>
      <c r="C616" s="2"/>
      <c r="D616" s="2"/>
      <c r="E616" s="7"/>
      <c r="F616" s="14"/>
      <c r="J616" s="2"/>
      <c r="K616" s="2"/>
      <c r="L616" s="2"/>
      <c r="V616" s="19"/>
    </row>
    <row r="617" spans="2:22" ht="12.3" x14ac:dyDescent="0.4">
      <c r="B617" s="2"/>
      <c r="C617" s="2"/>
      <c r="D617" s="2"/>
      <c r="E617" s="7"/>
      <c r="F617" s="14"/>
      <c r="J617" s="2"/>
      <c r="K617" s="2"/>
      <c r="L617" s="2"/>
      <c r="V617" s="19"/>
    </row>
    <row r="618" spans="2:22" ht="12.3" x14ac:dyDescent="0.4">
      <c r="B618" s="2"/>
      <c r="C618" s="2"/>
      <c r="D618" s="2"/>
      <c r="E618" s="7"/>
      <c r="F618" s="14"/>
      <c r="J618" s="2"/>
      <c r="K618" s="2"/>
      <c r="L618" s="2"/>
      <c r="V618" s="19"/>
    </row>
    <row r="619" spans="2:22" ht="12.3" x14ac:dyDescent="0.4">
      <c r="B619" s="2"/>
      <c r="C619" s="2"/>
      <c r="D619" s="2"/>
      <c r="E619" s="7"/>
      <c r="F619" s="14"/>
      <c r="J619" s="2"/>
      <c r="K619" s="2"/>
      <c r="L619" s="2"/>
      <c r="V619" s="19"/>
    </row>
    <row r="620" spans="2:22" ht="12.3" x14ac:dyDescent="0.4">
      <c r="B620" s="2"/>
      <c r="C620" s="2"/>
      <c r="D620" s="2"/>
      <c r="E620" s="7"/>
      <c r="F620" s="14"/>
      <c r="J620" s="2"/>
      <c r="K620" s="2"/>
      <c r="L620" s="2"/>
      <c r="V620" s="19"/>
    </row>
    <row r="621" spans="2:22" ht="12.3" x14ac:dyDescent="0.4">
      <c r="B621" s="2"/>
      <c r="C621" s="2"/>
      <c r="D621" s="2"/>
      <c r="E621" s="7"/>
      <c r="F621" s="14"/>
      <c r="J621" s="2"/>
      <c r="K621" s="2"/>
      <c r="L621" s="2"/>
      <c r="V621" s="19"/>
    </row>
    <row r="622" spans="2:22" ht="12.3" x14ac:dyDescent="0.4">
      <c r="B622" s="2"/>
      <c r="C622" s="2"/>
      <c r="D622" s="2"/>
      <c r="E622" s="7"/>
      <c r="F622" s="14"/>
      <c r="J622" s="2"/>
      <c r="K622" s="2"/>
      <c r="L622" s="2"/>
      <c r="V622" s="19"/>
    </row>
    <row r="623" spans="2:22" ht="12.3" x14ac:dyDescent="0.4">
      <c r="B623" s="2"/>
      <c r="C623" s="2"/>
      <c r="D623" s="2"/>
      <c r="E623" s="7"/>
      <c r="F623" s="14"/>
      <c r="J623" s="2"/>
      <c r="K623" s="2"/>
      <c r="L623" s="2"/>
      <c r="V623" s="19"/>
    </row>
    <row r="624" spans="2:22" ht="12.3" x14ac:dyDescent="0.4">
      <c r="B624" s="2"/>
      <c r="C624" s="2"/>
      <c r="D624" s="2"/>
      <c r="E624" s="7"/>
      <c r="F624" s="14"/>
      <c r="J624" s="2"/>
      <c r="K624" s="2"/>
      <c r="L624" s="2"/>
      <c r="V624" s="19"/>
    </row>
    <row r="625" spans="2:22" ht="12.3" x14ac:dyDescent="0.4">
      <c r="B625" s="2"/>
      <c r="C625" s="2"/>
      <c r="D625" s="2"/>
      <c r="E625" s="7"/>
      <c r="F625" s="14"/>
      <c r="J625" s="2"/>
      <c r="K625" s="2"/>
      <c r="L625" s="2"/>
      <c r="V625" s="19"/>
    </row>
    <row r="626" spans="2:22" ht="12.3" x14ac:dyDescent="0.4">
      <c r="B626" s="2"/>
      <c r="C626" s="2"/>
      <c r="D626" s="2"/>
      <c r="E626" s="7"/>
      <c r="F626" s="14"/>
      <c r="J626" s="2"/>
      <c r="K626" s="2"/>
      <c r="L626" s="2"/>
      <c r="V626" s="19"/>
    </row>
    <row r="627" spans="2:22" ht="12.3" x14ac:dyDescent="0.4">
      <c r="B627" s="2"/>
      <c r="C627" s="2"/>
      <c r="D627" s="2"/>
      <c r="E627" s="7"/>
      <c r="F627" s="14"/>
      <c r="J627" s="2"/>
      <c r="K627" s="2"/>
      <c r="L627" s="2"/>
      <c r="V627" s="19"/>
    </row>
    <row r="628" spans="2:22" ht="12.3" x14ac:dyDescent="0.4">
      <c r="B628" s="2"/>
      <c r="C628" s="2"/>
      <c r="D628" s="2"/>
      <c r="E628" s="7"/>
      <c r="F628" s="14"/>
      <c r="J628" s="2"/>
      <c r="K628" s="2"/>
      <c r="L628" s="2"/>
      <c r="V628" s="19"/>
    </row>
    <row r="629" spans="2:22" ht="12.3" x14ac:dyDescent="0.4">
      <c r="B629" s="2"/>
      <c r="C629" s="2"/>
      <c r="D629" s="2"/>
      <c r="E629" s="7"/>
      <c r="F629" s="14"/>
      <c r="J629" s="2"/>
      <c r="K629" s="2"/>
      <c r="L629" s="2"/>
      <c r="V629" s="19"/>
    </row>
    <row r="630" spans="2:22" ht="12.3" x14ac:dyDescent="0.4">
      <c r="B630" s="2"/>
      <c r="C630" s="2"/>
      <c r="D630" s="2"/>
      <c r="E630" s="7"/>
      <c r="F630" s="14"/>
      <c r="J630" s="2"/>
      <c r="K630" s="2"/>
      <c r="L630" s="2"/>
      <c r="V630" s="19"/>
    </row>
    <row r="631" spans="2:22" ht="12.3" x14ac:dyDescent="0.4">
      <c r="B631" s="2"/>
      <c r="C631" s="2"/>
      <c r="D631" s="2"/>
      <c r="E631" s="7"/>
      <c r="F631" s="14"/>
      <c r="J631" s="2"/>
      <c r="K631" s="2"/>
      <c r="L631" s="2"/>
      <c r="V631" s="19"/>
    </row>
    <row r="632" spans="2:22" ht="12.3" x14ac:dyDescent="0.4">
      <c r="B632" s="2"/>
      <c r="C632" s="2"/>
      <c r="D632" s="2"/>
      <c r="E632" s="7"/>
      <c r="F632" s="14"/>
      <c r="J632" s="2"/>
      <c r="K632" s="2"/>
      <c r="L632" s="2"/>
      <c r="V632" s="19"/>
    </row>
    <row r="633" spans="2:22" ht="12.3" x14ac:dyDescent="0.4">
      <c r="B633" s="2"/>
      <c r="C633" s="2"/>
      <c r="D633" s="2"/>
      <c r="E633" s="7"/>
      <c r="F633" s="14"/>
      <c r="J633" s="2"/>
      <c r="K633" s="2"/>
      <c r="L633" s="2"/>
      <c r="V633" s="19"/>
    </row>
    <row r="634" spans="2:22" ht="12.3" x14ac:dyDescent="0.4">
      <c r="B634" s="2"/>
      <c r="C634" s="2"/>
      <c r="D634" s="2"/>
      <c r="E634" s="7"/>
      <c r="F634" s="14"/>
      <c r="J634" s="2"/>
      <c r="K634" s="2"/>
      <c r="L634" s="2"/>
      <c r="V634" s="19"/>
    </row>
    <row r="635" spans="2:22" ht="12.3" x14ac:dyDescent="0.4">
      <c r="B635" s="2"/>
      <c r="C635" s="2"/>
      <c r="D635" s="2"/>
      <c r="E635" s="7"/>
      <c r="F635" s="14"/>
      <c r="J635" s="2"/>
      <c r="K635" s="2"/>
      <c r="L635" s="2"/>
      <c r="V635" s="19"/>
    </row>
    <row r="636" spans="2:22" ht="12.3" x14ac:dyDescent="0.4">
      <c r="B636" s="2"/>
      <c r="C636" s="2"/>
      <c r="D636" s="2"/>
      <c r="E636" s="7"/>
      <c r="F636" s="14"/>
      <c r="J636" s="2"/>
      <c r="K636" s="2"/>
      <c r="L636" s="2"/>
      <c r="V636" s="19"/>
    </row>
    <row r="637" spans="2:22" ht="12.3" x14ac:dyDescent="0.4">
      <c r="B637" s="2"/>
      <c r="C637" s="2"/>
      <c r="D637" s="2"/>
      <c r="E637" s="7"/>
      <c r="F637" s="14"/>
      <c r="J637" s="2"/>
      <c r="K637" s="2"/>
      <c r="L637" s="2"/>
      <c r="V637" s="19"/>
    </row>
    <row r="638" spans="2:22" ht="12.3" x14ac:dyDescent="0.4">
      <c r="B638" s="2"/>
      <c r="C638" s="2"/>
      <c r="D638" s="2"/>
      <c r="E638" s="7"/>
      <c r="F638" s="14"/>
      <c r="J638" s="2"/>
      <c r="K638" s="2"/>
      <c r="L638" s="2"/>
      <c r="V638" s="19"/>
    </row>
    <row r="639" spans="2:22" ht="12.3" x14ac:dyDescent="0.4">
      <c r="B639" s="2"/>
      <c r="C639" s="2"/>
      <c r="D639" s="2"/>
      <c r="E639" s="7"/>
      <c r="F639" s="14"/>
      <c r="J639" s="2"/>
      <c r="K639" s="2"/>
      <c r="L639" s="2"/>
      <c r="V639" s="19"/>
    </row>
    <row r="640" spans="2:22" ht="12.3" x14ac:dyDescent="0.4">
      <c r="B640" s="2"/>
      <c r="C640" s="2"/>
      <c r="D640" s="2"/>
      <c r="E640" s="7"/>
      <c r="F640" s="14"/>
      <c r="J640" s="2"/>
      <c r="K640" s="2"/>
      <c r="L640" s="2"/>
      <c r="V640" s="19"/>
    </row>
    <row r="641" spans="2:22" ht="12.3" x14ac:dyDescent="0.4">
      <c r="B641" s="2"/>
      <c r="C641" s="2"/>
      <c r="D641" s="2"/>
      <c r="E641" s="7"/>
      <c r="F641" s="14"/>
      <c r="J641" s="2"/>
      <c r="K641" s="2"/>
      <c r="L641" s="2"/>
      <c r="V641" s="19"/>
    </row>
    <row r="642" spans="2:22" ht="12.3" x14ac:dyDescent="0.4">
      <c r="B642" s="2"/>
      <c r="C642" s="2"/>
      <c r="D642" s="2"/>
      <c r="E642" s="7"/>
      <c r="F642" s="14"/>
      <c r="J642" s="2"/>
      <c r="K642" s="2"/>
      <c r="L642" s="2"/>
      <c r="V642" s="19"/>
    </row>
    <row r="643" spans="2:22" ht="12.3" x14ac:dyDescent="0.4">
      <c r="B643" s="2"/>
      <c r="C643" s="2"/>
      <c r="D643" s="2"/>
      <c r="E643" s="7"/>
      <c r="F643" s="14"/>
      <c r="J643" s="2"/>
      <c r="K643" s="2"/>
      <c r="L643" s="2"/>
      <c r="V643" s="19"/>
    </row>
    <row r="644" spans="2:22" ht="12.3" x14ac:dyDescent="0.4">
      <c r="B644" s="2"/>
      <c r="C644" s="2"/>
      <c r="D644" s="2"/>
      <c r="E644" s="7"/>
      <c r="F644" s="14"/>
      <c r="J644" s="2"/>
      <c r="K644" s="2"/>
      <c r="L644" s="2"/>
      <c r="V644" s="19"/>
    </row>
    <row r="645" spans="2:22" ht="12.3" x14ac:dyDescent="0.4">
      <c r="B645" s="2"/>
      <c r="C645" s="2"/>
      <c r="D645" s="2"/>
      <c r="E645" s="7"/>
      <c r="F645" s="14"/>
      <c r="J645" s="2"/>
      <c r="K645" s="2"/>
      <c r="L645" s="2"/>
      <c r="V645" s="19"/>
    </row>
    <row r="646" spans="2:22" ht="12.3" x14ac:dyDescent="0.4">
      <c r="B646" s="2"/>
      <c r="C646" s="2"/>
      <c r="D646" s="2"/>
      <c r="E646" s="7"/>
      <c r="F646" s="14"/>
      <c r="J646" s="2"/>
      <c r="K646" s="2"/>
      <c r="L646" s="2"/>
      <c r="V646" s="19"/>
    </row>
    <row r="647" spans="2:22" ht="12.3" x14ac:dyDescent="0.4">
      <c r="B647" s="2"/>
      <c r="C647" s="2"/>
      <c r="D647" s="2"/>
      <c r="E647" s="7"/>
      <c r="F647" s="14"/>
      <c r="J647" s="2"/>
      <c r="K647" s="2"/>
      <c r="L647" s="2"/>
      <c r="V647" s="19"/>
    </row>
    <row r="648" spans="2:22" ht="12.3" x14ac:dyDescent="0.4">
      <c r="B648" s="2"/>
      <c r="C648" s="2"/>
      <c r="D648" s="2"/>
      <c r="E648" s="7"/>
      <c r="F648" s="14"/>
      <c r="J648" s="2"/>
      <c r="K648" s="2"/>
      <c r="L648" s="2"/>
      <c r="V648" s="19"/>
    </row>
    <row r="649" spans="2:22" ht="12.3" x14ac:dyDescent="0.4">
      <c r="B649" s="2"/>
      <c r="C649" s="2"/>
      <c r="D649" s="2"/>
      <c r="E649" s="7"/>
      <c r="F649" s="14"/>
      <c r="J649" s="2"/>
      <c r="K649" s="2"/>
      <c r="L649" s="2"/>
      <c r="V649" s="19"/>
    </row>
    <row r="650" spans="2:22" ht="12.3" x14ac:dyDescent="0.4">
      <c r="B650" s="2"/>
      <c r="C650" s="2"/>
      <c r="D650" s="2"/>
      <c r="E650" s="7"/>
      <c r="F650" s="14"/>
      <c r="J650" s="2"/>
      <c r="K650" s="2"/>
      <c r="L650" s="2"/>
      <c r="V650" s="19"/>
    </row>
    <row r="651" spans="2:22" ht="12.3" x14ac:dyDescent="0.4">
      <c r="B651" s="2"/>
      <c r="C651" s="2"/>
      <c r="D651" s="2"/>
      <c r="E651" s="7"/>
      <c r="F651" s="14"/>
      <c r="J651" s="2"/>
      <c r="K651" s="2"/>
      <c r="L651" s="2"/>
      <c r="V651" s="19"/>
    </row>
    <row r="652" spans="2:22" ht="12.3" x14ac:dyDescent="0.4">
      <c r="B652" s="2"/>
      <c r="C652" s="2"/>
      <c r="D652" s="2"/>
      <c r="E652" s="7"/>
      <c r="F652" s="14"/>
      <c r="J652" s="2"/>
      <c r="K652" s="2"/>
      <c r="L652" s="2"/>
      <c r="V652" s="19"/>
    </row>
    <row r="653" spans="2:22" ht="12.3" x14ac:dyDescent="0.4">
      <c r="B653" s="2"/>
      <c r="C653" s="2"/>
      <c r="D653" s="2"/>
      <c r="E653" s="7"/>
      <c r="F653" s="14"/>
      <c r="J653" s="2"/>
      <c r="K653" s="2"/>
      <c r="L653" s="2"/>
      <c r="V653" s="19"/>
    </row>
    <row r="654" spans="2:22" ht="12.3" x14ac:dyDescent="0.4">
      <c r="B654" s="2"/>
      <c r="C654" s="2"/>
      <c r="D654" s="2"/>
      <c r="E654" s="7"/>
      <c r="F654" s="14"/>
      <c r="J654" s="2"/>
      <c r="K654" s="2"/>
      <c r="L654" s="2"/>
      <c r="V654" s="19"/>
    </row>
    <row r="655" spans="2:22" ht="12.3" x14ac:dyDescent="0.4">
      <c r="B655" s="2"/>
      <c r="C655" s="2"/>
      <c r="D655" s="2"/>
      <c r="E655" s="7"/>
      <c r="F655" s="14"/>
      <c r="J655" s="2"/>
      <c r="K655" s="2"/>
      <c r="L655" s="2"/>
      <c r="V655" s="19"/>
    </row>
    <row r="656" spans="2:22" ht="12.3" x14ac:dyDescent="0.4">
      <c r="B656" s="2"/>
      <c r="C656" s="2"/>
      <c r="D656" s="2"/>
      <c r="E656" s="7"/>
      <c r="F656" s="14"/>
      <c r="J656" s="2"/>
      <c r="K656" s="2"/>
      <c r="L656" s="2"/>
      <c r="V656" s="19"/>
    </row>
    <row r="657" spans="2:22" ht="12.3" x14ac:dyDescent="0.4">
      <c r="B657" s="2"/>
      <c r="C657" s="2"/>
      <c r="D657" s="2"/>
      <c r="E657" s="7"/>
      <c r="F657" s="14"/>
      <c r="J657" s="2"/>
      <c r="K657" s="2"/>
      <c r="L657" s="2"/>
      <c r="V657" s="19"/>
    </row>
    <row r="658" spans="2:22" ht="12.3" x14ac:dyDescent="0.4">
      <c r="B658" s="2"/>
      <c r="C658" s="2"/>
      <c r="D658" s="2"/>
      <c r="E658" s="7"/>
      <c r="F658" s="14"/>
      <c r="J658" s="2"/>
      <c r="K658" s="2"/>
      <c r="L658" s="2"/>
      <c r="V658" s="19"/>
    </row>
    <row r="659" spans="2:22" ht="12.3" x14ac:dyDescent="0.4">
      <c r="B659" s="2"/>
      <c r="C659" s="2"/>
      <c r="D659" s="2"/>
      <c r="E659" s="7"/>
      <c r="F659" s="14"/>
      <c r="J659" s="2"/>
      <c r="K659" s="2"/>
      <c r="L659" s="2"/>
      <c r="V659" s="19"/>
    </row>
    <row r="660" spans="2:22" ht="12.3" x14ac:dyDescent="0.4">
      <c r="B660" s="2"/>
      <c r="C660" s="2"/>
      <c r="D660" s="2"/>
      <c r="E660" s="7"/>
      <c r="F660" s="14"/>
      <c r="J660" s="2"/>
      <c r="K660" s="2"/>
      <c r="L660" s="2"/>
      <c r="V660" s="19"/>
    </row>
    <row r="661" spans="2:22" ht="12.3" x14ac:dyDescent="0.4">
      <c r="B661" s="2"/>
      <c r="C661" s="2"/>
      <c r="D661" s="2"/>
      <c r="E661" s="7"/>
      <c r="F661" s="14"/>
      <c r="J661" s="2"/>
      <c r="K661" s="2"/>
      <c r="L661" s="2"/>
      <c r="V661" s="19"/>
    </row>
    <row r="662" spans="2:22" ht="12.3" x14ac:dyDescent="0.4">
      <c r="B662" s="2"/>
      <c r="C662" s="2"/>
      <c r="D662" s="2"/>
      <c r="E662" s="7"/>
      <c r="F662" s="14"/>
      <c r="J662" s="2"/>
      <c r="K662" s="2"/>
      <c r="L662" s="2"/>
      <c r="V662" s="19"/>
    </row>
    <row r="663" spans="2:22" ht="12.3" x14ac:dyDescent="0.4">
      <c r="B663" s="2"/>
      <c r="C663" s="2"/>
      <c r="D663" s="2"/>
      <c r="E663" s="7"/>
      <c r="F663" s="14"/>
      <c r="J663" s="2"/>
      <c r="K663" s="2"/>
      <c r="L663" s="2"/>
      <c r="V663" s="19"/>
    </row>
    <row r="664" spans="2:22" ht="12.3" x14ac:dyDescent="0.4">
      <c r="B664" s="2"/>
      <c r="C664" s="2"/>
      <c r="D664" s="2"/>
      <c r="E664" s="7"/>
      <c r="F664" s="14"/>
      <c r="J664" s="2"/>
      <c r="K664" s="2"/>
      <c r="L664" s="2"/>
      <c r="V664" s="19"/>
    </row>
    <row r="665" spans="2:22" ht="12.3" x14ac:dyDescent="0.4">
      <c r="B665" s="2"/>
      <c r="C665" s="2"/>
      <c r="D665" s="2"/>
      <c r="E665" s="7"/>
      <c r="F665" s="14"/>
      <c r="J665" s="2"/>
      <c r="K665" s="2"/>
      <c r="L665" s="2"/>
      <c r="V665" s="19"/>
    </row>
    <row r="666" spans="2:22" ht="12.3" x14ac:dyDescent="0.4">
      <c r="B666" s="2"/>
      <c r="C666" s="2"/>
      <c r="D666" s="2"/>
      <c r="E666" s="7"/>
      <c r="F666" s="14"/>
      <c r="J666" s="2"/>
      <c r="K666" s="2"/>
      <c r="L666" s="2"/>
      <c r="V666" s="19"/>
    </row>
    <row r="667" spans="2:22" ht="12.3" x14ac:dyDescent="0.4">
      <c r="B667" s="2"/>
      <c r="C667" s="2"/>
      <c r="D667" s="2"/>
      <c r="E667" s="7"/>
      <c r="F667" s="14"/>
      <c r="J667" s="2"/>
      <c r="K667" s="2"/>
      <c r="L667" s="2"/>
      <c r="V667" s="19"/>
    </row>
    <row r="668" spans="2:22" ht="12.3" x14ac:dyDescent="0.4">
      <c r="B668" s="2"/>
      <c r="C668" s="2"/>
      <c r="D668" s="2"/>
      <c r="E668" s="7"/>
      <c r="F668" s="14"/>
      <c r="J668" s="2"/>
      <c r="K668" s="2"/>
      <c r="L668" s="2"/>
      <c r="V668" s="19"/>
    </row>
    <row r="669" spans="2:22" ht="12.3" x14ac:dyDescent="0.4">
      <c r="B669" s="2"/>
      <c r="C669" s="2"/>
      <c r="D669" s="2"/>
      <c r="E669" s="7"/>
      <c r="F669" s="14"/>
      <c r="J669" s="2"/>
      <c r="K669" s="2"/>
      <c r="L669" s="2"/>
      <c r="V669" s="19"/>
    </row>
    <row r="670" spans="2:22" ht="12.3" x14ac:dyDescent="0.4">
      <c r="B670" s="2"/>
      <c r="C670" s="2"/>
      <c r="D670" s="2"/>
      <c r="E670" s="7"/>
      <c r="F670" s="14"/>
      <c r="J670" s="2"/>
      <c r="K670" s="2"/>
      <c r="L670" s="2"/>
      <c r="V670" s="19"/>
    </row>
    <row r="671" spans="2:22" ht="12.3" x14ac:dyDescent="0.4">
      <c r="B671" s="2"/>
      <c r="C671" s="2"/>
      <c r="D671" s="2"/>
      <c r="E671" s="7"/>
      <c r="F671" s="14"/>
      <c r="J671" s="2"/>
      <c r="K671" s="2"/>
      <c r="L671" s="2"/>
      <c r="V671" s="19"/>
    </row>
    <row r="672" spans="2:22" ht="12.3" x14ac:dyDescent="0.4">
      <c r="B672" s="2"/>
      <c r="C672" s="2"/>
      <c r="D672" s="2"/>
      <c r="E672" s="7"/>
      <c r="F672" s="14"/>
      <c r="J672" s="2"/>
      <c r="K672" s="2"/>
      <c r="L672" s="2"/>
      <c r="V672" s="19"/>
    </row>
    <row r="673" spans="2:22" ht="12.3" x14ac:dyDescent="0.4">
      <c r="B673" s="2"/>
      <c r="C673" s="2"/>
      <c r="D673" s="2"/>
      <c r="E673" s="7"/>
      <c r="F673" s="14"/>
      <c r="J673" s="2"/>
      <c r="K673" s="2"/>
      <c r="L673" s="2"/>
      <c r="V673" s="19"/>
    </row>
    <row r="674" spans="2:22" ht="12.3" x14ac:dyDescent="0.4">
      <c r="B674" s="2"/>
      <c r="C674" s="2"/>
      <c r="D674" s="2"/>
      <c r="E674" s="7"/>
      <c r="F674" s="14"/>
      <c r="J674" s="2"/>
      <c r="K674" s="2"/>
      <c r="L674" s="2"/>
      <c r="V674" s="19"/>
    </row>
    <row r="675" spans="2:22" ht="12.3" x14ac:dyDescent="0.4">
      <c r="B675" s="2"/>
      <c r="C675" s="2"/>
      <c r="D675" s="2"/>
      <c r="E675" s="7"/>
      <c r="F675" s="14"/>
      <c r="J675" s="2"/>
      <c r="K675" s="2"/>
      <c r="L675" s="2"/>
      <c r="V675" s="19"/>
    </row>
    <row r="676" spans="2:22" ht="12.3" x14ac:dyDescent="0.4">
      <c r="B676" s="2"/>
      <c r="C676" s="2"/>
      <c r="D676" s="2"/>
      <c r="E676" s="7"/>
      <c r="F676" s="14"/>
      <c r="J676" s="2"/>
      <c r="K676" s="2"/>
      <c r="L676" s="2"/>
      <c r="V676" s="19"/>
    </row>
    <row r="677" spans="2:22" ht="12.3" x14ac:dyDescent="0.4">
      <c r="B677" s="2"/>
      <c r="C677" s="2"/>
      <c r="D677" s="2"/>
      <c r="E677" s="7"/>
      <c r="F677" s="14"/>
      <c r="J677" s="2"/>
      <c r="K677" s="2"/>
      <c r="L677" s="2"/>
      <c r="V677" s="19"/>
    </row>
    <row r="678" spans="2:22" ht="12.3" x14ac:dyDescent="0.4">
      <c r="B678" s="2"/>
      <c r="C678" s="2"/>
      <c r="D678" s="2"/>
      <c r="E678" s="7"/>
      <c r="F678" s="14"/>
      <c r="J678" s="2"/>
      <c r="K678" s="2"/>
      <c r="L678" s="2"/>
      <c r="V678" s="19"/>
    </row>
    <row r="679" spans="2:22" ht="12.3" x14ac:dyDescent="0.4">
      <c r="B679" s="2"/>
      <c r="C679" s="2"/>
      <c r="D679" s="2"/>
      <c r="E679" s="7"/>
      <c r="F679" s="14"/>
      <c r="J679" s="2"/>
      <c r="K679" s="2"/>
      <c r="L679" s="2"/>
      <c r="V679" s="19"/>
    </row>
    <row r="680" spans="2:22" ht="12.3" x14ac:dyDescent="0.4">
      <c r="B680" s="2"/>
      <c r="C680" s="2"/>
      <c r="D680" s="2"/>
      <c r="E680" s="7"/>
      <c r="F680" s="14"/>
      <c r="J680" s="2"/>
      <c r="K680" s="2"/>
      <c r="L680" s="2"/>
      <c r="V680" s="19"/>
    </row>
    <row r="681" spans="2:22" ht="12.3" x14ac:dyDescent="0.4">
      <c r="B681" s="2"/>
      <c r="C681" s="2"/>
      <c r="D681" s="2"/>
      <c r="E681" s="7"/>
      <c r="F681" s="14"/>
      <c r="J681" s="2"/>
      <c r="K681" s="2"/>
      <c r="L681" s="2"/>
      <c r="V681" s="19"/>
    </row>
    <row r="682" spans="2:22" ht="12.3" x14ac:dyDescent="0.4">
      <c r="B682" s="2"/>
      <c r="C682" s="2"/>
      <c r="D682" s="2"/>
      <c r="E682" s="7"/>
      <c r="F682" s="14"/>
      <c r="J682" s="2"/>
      <c r="K682" s="2"/>
      <c r="L682" s="2"/>
      <c r="V682" s="19"/>
    </row>
    <row r="683" spans="2:22" ht="12.3" x14ac:dyDescent="0.4">
      <c r="B683" s="2"/>
      <c r="C683" s="2"/>
      <c r="D683" s="2"/>
      <c r="E683" s="7"/>
      <c r="F683" s="14"/>
      <c r="J683" s="2"/>
      <c r="K683" s="2"/>
      <c r="L683" s="2"/>
      <c r="V683" s="19"/>
    </row>
    <row r="684" spans="2:22" ht="12.3" x14ac:dyDescent="0.4">
      <c r="B684" s="2"/>
      <c r="C684" s="2"/>
      <c r="D684" s="2"/>
      <c r="E684" s="7"/>
      <c r="F684" s="14"/>
      <c r="J684" s="2"/>
      <c r="K684" s="2"/>
      <c r="L684" s="2"/>
      <c r="V684" s="19"/>
    </row>
    <row r="685" spans="2:22" ht="12.3" x14ac:dyDescent="0.4">
      <c r="B685" s="2"/>
      <c r="C685" s="2"/>
      <c r="D685" s="2"/>
      <c r="E685" s="7"/>
      <c r="F685" s="14"/>
      <c r="J685" s="2"/>
      <c r="K685" s="2"/>
      <c r="L685" s="2"/>
      <c r="V685" s="19"/>
    </row>
    <row r="686" spans="2:22" ht="12.3" x14ac:dyDescent="0.4">
      <c r="B686" s="2"/>
      <c r="C686" s="2"/>
      <c r="D686" s="2"/>
      <c r="E686" s="7"/>
      <c r="F686" s="14"/>
      <c r="J686" s="2"/>
      <c r="K686" s="2"/>
      <c r="L686" s="2"/>
      <c r="V686" s="19"/>
    </row>
    <row r="687" spans="2:22" ht="12.3" x14ac:dyDescent="0.4">
      <c r="B687" s="2"/>
      <c r="C687" s="2"/>
      <c r="D687" s="2"/>
      <c r="E687" s="7"/>
      <c r="F687" s="14"/>
      <c r="J687" s="2"/>
      <c r="K687" s="2"/>
      <c r="L687" s="2"/>
      <c r="V687" s="19"/>
    </row>
    <row r="688" spans="2:22" ht="12.3" x14ac:dyDescent="0.4">
      <c r="B688" s="2"/>
      <c r="C688" s="2"/>
      <c r="D688" s="2"/>
      <c r="E688" s="7"/>
      <c r="F688" s="14"/>
      <c r="J688" s="2"/>
      <c r="K688" s="2"/>
      <c r="L688" s="2"/>
      <c r="V688" s="19"/>
    </row>
    <row r="689" spans="2:22" ht="12.3" x14ac:dyDescent="0.4">
      <c r="B689" s="2"/>
      <c r="C689" s="2"/>
      <c r="D689" s="2"/>
      <c r="E689" s="7"/>
      <c r="F689" s="14"/>
      <c r="J689" s="2"/>
      <c r="K689" s="2"/>
      <c r="L689" s="2"/>
      <c r="V689" s="19"/>
    </row>
    <row r="690" spans="2:22" ht="12.3" x14ac:dyDescent="0.4">
      <c r="B690" s="2"/>
      <c r="C690" s="2"/>
      <c r="D690" s="2"/>
      <c r="E690" s="7"/>
      <c r="F690" s="14"/>
      <c r="J690" s="2"/>
      <c r="K690" s="2"/>
      <c r="L690" s="2"/>
      <c r="V690" s="19"/>
    </row>
    <row r="691" spans="2:22" ht="12.3" x14ac:dyDescent="0.4">
      <c r="B691" s="2"/>
      <c r="C691" s="2"/>
      <c r="D691" s="2"/>
      <c r="E691" s="7"/>
      <c r="F691" s="14"/>
      <c r="J691" s="2"/>
      <c r="K691" s="2"/>
      <c r="L691" s="2"/>
      <c r="V691" s="19"/>
    </row>
    <row r="692" spans="2:22" ht="12.3" x14ac:dyDescent="0.4">
      <c r="B692" s="2"/>
      <c r="C692" s="2"/>
      <c r="D692" s="2"/>
      <c r="E692" s="7"/>
      <c r="F692" s="14"/>
      <c r="J692" s="2"/>
      <c r="K692" s="2"/>
      <c r="L692" s="2"/>
      <c r="V692" s="19"/>
    </row>
    <row r="693" spans="2:22" ht="12.3" x14ac:dyDescent="0.4">
      <c r="B693" s="2"/>
      <c r="C693" s="2"/>
      <c r="D693" s="2"/>
      <c r="E693" s="7"/>
      <c r="F693" s="14"/>
      <c r="J693" s="2"/>
      <c r="K693" s="2"/>
      <c r="L693" s="2"/>
      <c r="V693" s="19"/>
    </row>
    <row r="694" spans="2:22" ht="12.3" x14ac:dyDescent="0.4">
      <c r="B694" s="2"/>
      <c r="C694" s="2"/>
      <c r="D694" s="2"/>
      <c r="E694" s="7"/>
      <c r="F694" s="14"/>
      <c r="J694" s="2"/>
      <c r="K694" s="2"/>
      <c r="L694" s="2"/>
      <c r="V694" s="19"/>
    </row>
    <row r="695" spans="2:22" ht="12.3" x14ac:dyDescent="0.4">
      <c r="B695" s="2"/>
      <c r="C695" s="2"/>
      <c r="D695" s="2"/>
      <c r="E695" s="7"/>
      <c r="F695" s="14"/>
      <c r="J695" s="2"/>
      <c r="K695" s="2"/>
      <c r="L695" s="2"/>
      <c r="V695" s="19"/>
    </row>
    <row r="696" spans="2:22" ht="12.3" x14ac:dyDescent="0.4">
      <c r="B696" s="2"/>
      <c r="C696" s="2"/>
      <c r="D696" s="2"/>
      <c r="E696" s="7"/>
      <c r="F696" s="14"/>
      <c r="J696" s="2"/>
      <c r="K696" s="2"/>
      <c r="L696" s="2"/>
      <c r="V696" s="19"/>
    </row>
    <row r="697" spans="2:22" ht="12.3" x14ac:dyDescent="0.4">
      <c r="B697" s="2"/>
      <c r="C697" s="2"/>
      <c r="D697" s="2"/>
      <c r="E697" s="7"/>
      <c r="F697" s="14"/>
      <c r="J697" s="2"/>
      <c r="K697" s="2"/>
      <c r="L697" s="2"/>
      <c r="V697" s="19"/>
    </row>
    <row r="698" spans="2:22" ht="12.3" x14ac:dyDescent="0.4">
      <c r="B698" s="2"/>
      <c r="C698" s="2"/>
      <c r="D698" s="2"/>
      <c r="E698" s="7"/>
      <c r="F698" s="14"/>
      <c r="J698" s="2"/>
      <c r="K698" s="2"/>
      <c r="L698" s="2"/>
      <c r="V698" s="19"/>
    </row>
    <row r="699" spans="2:22" ht="12.3" x14ac:dyDescent="0.4">
      <c r="B699" s="2"/>
      <c r="C699" s="2"/>
      <c r="D699" s="2"/>
      <c r="E699" s="7"/>
      <c r="F699" s="14"/>
      <c r="J699" s="2"/>
      <c r="K699" s="2"/>
      <c r="L699" s="2"/>
      <c r="V699" s="19"/>
    </row>
    <row r="700" spans="2:22" ht="12.3" x14ac:dyDescent="0.4">
      <c r="B700" s="2"/>
      <c r="C700" s="2"/>
      <c r="D700" s="2"/>
      <c r="E700" s="7"/>
      <c r="F700" s="14"/>
      <c r="J700" s="2"/>
      <c r="K700" s="2"/>
      <c r="L700" s="2"/>
      <c r="V700" s="19"/>
    </row>
    <row r="701" spans="2:22" ht="12.3" x14ac:dyDescent="0.4">
      <c r="B701" s="2"/>
      <c r="C701" s="2"/>
      <c r="D701" s="2"/>
      <c r="E701" s="7"/>
      <c r="F701" s="14"/>
      <c r="J701" s="2"/>
      <c r="K701" s="2"/>
      <c r="L701" s="2"/>
      <c r="V701" s="19"/>
    </row>
    <row r="702" spans="2:22" ht="12.3" x14ac:dyDescent="0.4">
      <c r="B702" s="2"/>
      <c r="C702" s="2"/>
      <c r="D702" s="2"/>
      <c r="E702" s="7"/>
      <c r="F702" s="14"/>
      <c r="J702" s="2"/>
      <c r="K702" s="2"/>
      <c r="L702" s="2"/>
      <c r="V702" s="19"/>
    </row>
    <row r="703" spans="2:22" ht="12.3" x14ac:dyDescent="0.4">
      <c r="B703" s="2"/>
      <c r="C703" s="2"/>
      <c r="D703" s="2"/>
      <c r="E703" s="7"/>
      <c r="F703" s="14"/>
      <c r="J703" s="2"/>
      <c r="K703" s="2"/>
      <c r="L703" s="2"/>
      <c r="V703" s="19"/>
    </row>
    <row r="704" spans="2:22" ht="12.3" x14ac:dyDescent="0.4">
      <c r="B704" s="2"/>
      <c r="C704" s="2"/>
      <c r="D704" s="2"/>
      <c r="E704" s="7"/>
      <c r="F704" s="14"/>
      <c r="J704" s="2"/>
      <c r="K704" s="2"/>
      <c r="L704" s="2"/>
      <c r="V704" s="19"/>
    </row>
    <row r="705" spans="2:22" ht="12.3" x14ac:dyDescent="0.4">
      <c r="B705" s="2"/>
      <c r="C705" s="2"/>
      <c r="D705" s="2"/>
      <c r="E705" s="7"/>
      <c r="F705" s="14"/>
      <c r="J705" s="2"/>
      <c r="K705" s="2"/>
      <c r="L705" s="2"/>
      <c r="V705" s="19"/>
    </row>
    <row r="706" spans="2:22" ht="12.3" x14ac:dyDescent="0.4">
      <c r="B706" s="2"/>
      <c r="C706" s="2"/>
      <c r="D706" s="2"/>
      <c r="E706" s="7"/>
      <c r="F706" s="14"/>
      <c r="J706" s="2"/>
      <c r="K706" s="2"/>
      <c r="L706" s="2"/>
      <c r="V706" s="19"/>
    </row>
    <row r="707" spans="2:22" ht="12.3" x14ac:dyDescent="0.4">
      <c r="B707" s="2"/>
      <c r="C707" s="2"/>
      <c r="D707" s="2"/>
      <c r="E707" s="7"/>
      <c r="F707" s="14"/>
      <c r="J707" s="2"/>
      <c r="K707" s="2"/>
      <c r="L707" s="2"/>
      <c r="V707" s="19"/>
    </row>
    <row r="708" spans="2:22" ht="12.3" x14ac:dyDescent="0.4">
      <c r="B708" s="2"/>
      <c r="C708" s="2"/>
      <c r="D708" s="2"/>
      <c r="E708" s="7"/>
      <c r="F708" s="14"/>
      <c r="J708" s="2"/>
      <c r="K708" s="2"/>
      <c r="L708" s="2"/>
      <c r="V708" s="19"/>
    </row>
    <row r="709" spans="2:22" ht="12.3" x14ac:dyDescent="0.4">
      <c r="B709" s="2"/>
      <c r="C709" s="2"/>
      <c r="D709" s="2"/>
      <c r="E709" s="7"/>
      <c r="F709" s="14"/>
      <c r="J709" s="2"/>
      <c r="K709" s="2"/>
      <c r="L709" s="2"/>
      <c r="V709" s="19"/>
    </row>
    <row r="710" spans="2:22" ht="12.3" x14ac:dyDescent="0.4">
      <c r="B710" s="2"/>
      <c r="C710" s="2"/>
      <c r="D710" s="2"/>
      <c r="E710" s="7"/>
      <c r="F710" s="14"/>
      <c r="J710" s="2"/>
      <c r="K710" s="2"/>
      <c r="L710" s="2"/>
      <c r="V710" s="19"/>
    </row>
    <row r="711" spans="2:22" ht="12.3" x14ac:dyDescent="0.4">
      <c r="B711" s="2"/>
      <c r="C711" s="2"/>
      <c r="D711" s="2"/>
      <c r="E711" s="7"/>
      <c r="F711" s="14"/>
      <c r="J711" s="2"/>
      <c r="K711" s="2"/>
      <c r="L711" s="2"/>
      <c r="V711" s="19"/>
    </row>
    <row r="712" spans="2:22" ht="12.3" x14ac:dyDescent="0.4">
      <c r="B712" s="2"/>
      <c r="C712" s="2"/>
      <c r="D712" s="2"/>
      <c r="E712" s="7"/>
      <c r="F712" s="14"/>
      <c r="J712" s="2"/>
      <c r="K712" s="2"/>
      <c r="L712" s="2"/>
      <c r="V712" s="19"/>
    </row>
    <row r="713" spans="2:22" ht="12.3" x14ac:dyDescent="0.4">
      <c r="B713" s="2"/>
      <c r="C713" s="2"/>
      <c r="D713" s="2"/>
      <c r="E713" s="7"/>
      <c r="F713" s="14"/>
      <c r="J713" s="2"/>
      <c r="K713" s="2"/>
      <c r="L713" s="2"/>
      <c r="V713" s="19"/>
    </row>
    <row r="714" spans="2:22" ht="12.3" x14ac:dyDescent="0.4">
      <c r="B714" s="2"/>
      <c r="C714" s="2"/>
      <c r="D714" s="2"/>
      <c r="E714" s="7"/>
      <c r="F714" s="14"/>
      <c r="J714" s="2"/>
      <c r="K714" s="2"/>
      <c r="L714" s="2"/>
      <c r="V714" s="19"/>
    </row>
    <row r="715" spans="2:22" ht="12.3" x14ac:dyDescent="0.4">
      <c r="B715" s="2"/>
      <c r="C715" s="2"/>
      <c r="D715" s="2"/>
      <c r="E715" s="7"/>
      <c r="F715" s="14"/>
      <c r="J715" s="2"/>
      <c r="K715" s="2"/>
      <c r="L715" s="2"/>
      <c r="V715" s="19"/>
    </row>
    <row r="716" spans="2:22" ht="12.3" x14ac:dyDescent="0.4">
      <c r="B716" s="2"/>
      <c r="C716" s="2"/>
      <c r="D716" s="2"/>
      <c r="E716" s="7"/>
      <c r="F716" s="14"/>
      <c r="J716" s="2"/>
      <c r="K716" s="2"/>
      <c r="L716" s="2"/>
      <c r="V716" s="19"/>
    </row>
    <row r="717" spans="2:22" ht="12.3" x14ac:dyDescent="0.4">
      <c r="B717" s="2"/>
      <c r="C717" s="2"/>
      <c r="D717" s="2"/>
      <c r="E717" s="7"/>
      <c r="F717" s="14"/>
      <c r="J717" s="2"/>
      <c r="K717" s="2"/>
      <c r="L717" s="2"/>
      <c r="V717" s="19"/>
    </row>
    <row r="718" spans="2:22" ht="12.3" x14ac:dyDescent="0.4">
      <c r="B718" s="2"/>
      <c r="C718" s="2"/>
      <c r="D718" s="2"/>
      <c r="E718" s="7"/>
      <c r="F718" s="14"/>
      <c r="J718" s="2"/>
      <c r="K718" s="2"/>
      <c r="L718" s="2"/>
      <c r="V718" s="19"/>
    </row>
    <row r="719" spans="2:22" ht="12.3" x14ac:dyDescent="0.4">
      <c r="B719" s="2"/>
      <c r="C719" s="2"/>
      <c r="D719" s="2"/>
      <c r="E719" s="7"/>
      <c r="F719" s="14"/>
      <c r="J719" s="2"/>
      <c r="K719" s="2"/>
      <c r="L719" s="2"/>
      <c r="V719" s="19"/>
    </row>
    <row r="720" spans="2:22" ht="12.3" x14ac:dyDescent="0.4">
      <c r="B720" s="2"/>
      <c r="C720" s="2"/>
      <c r="D720" s="2"/>
      <c r="E720" s="7"/>
      <c r="F720" s="14"/>
      <c r="J720" s="2"/>
      <c r="K720" s="2"/>
      <c r="L720" s="2"/>
      <c r="V720" s="19"/>
    </row>
    <row r="721" spans="2:22" ht="12.3" x14ac:dyDescent="0.4">
      <c r="B721" s="2"/>
      <c r="C721" s="2"/>
      <c r="D721" s="2"/>
      <c r="E721" s="7"/>
      <c r="F721" s="14"/>
      <c r="J721" s="2"/>
      <c r="K721" s="2"/>
      <c r="L721" s="2"/>
      <c r="V721" s="19"/>
    </row>
    <row r="722" spans="2:22" ht="12.3" x14ac:dyDescent="0.4">
      <c r="B722" s="2"/>
      <c r="C722" s="2"/>
      <c r="D722" s="2"/>
      <c r="E722" s="7"/>
      <c r="F722" s="14"/>
      <c r="J722" s="2"/>
      <c r="K722" s="2"/>
      <c r="L722" s="2"/>
      <c r="V722" s="19"/>
    </row>
    <row r="723" spans="2:22" ht="12.3" x14ac:dyDescent="0.4">
      <c r="B723" s="2"/>
      <c r="C723" s="2"/>
      <c r="D723" s="2"/>
      <c r="E723" s="7"/>
      <c r="F723" s="14"/>
      <c r="J723" s="2"/>
      <c r="K723" s="2"/>
      <c r="L723" s="2"/>
      <c r="V723" s="19"/>
    </row>
    <row r="724" spans="2:22" ht="12.3" x14ac:dyDescent="0.4">
      <c r="B724" s="2"/>
      <c r="C724" s="2"/>
      <c r="D724" s="2"/>
      <c r="E724" s="7"/>
      <c r="F724" s="14"/>
      <c r="J724" s="2"/>
      <c r="K724" s="2"/>
      <c r="L724" s="2"/>
      <c r="V724" s="19"/>
    </row>
    <row r="725" spans="2:22" ht="12.3" x14ac:dyDescent="0.4">
      <c r="B725" s="2"/>
      <c r="C725" s="2"/>
      <c r="D725" s="2"/>
      <c r="E725" s="7"/>
      <c r="F725" s="14"/>
      <c r="J725" s="2"/>
      <c r="K725" s="2"/>
      <c r="L725" s="2"/>
      <c r="V725" s="19"/>
    </row>
    <row r="726" spans="2:22" ht="12.3" x14ac:dyDescent="0.4">
      <c r="B726" s="2"/>
      <c r="C726" s="2"/>
      <c r="D726" s="2"/>
      <c r="E726" s="7"/>
      <c r="F726" s="14"/>
      <c r="J726" s="2"/>
      <c r="K726" s="2"/>
      <c r="L726" s="2"/>
      <c r="V726" s="19"/>
    </row>
    <row r="727" spans="2:22" ht="12.3" x14ac:dyDescent="0.4">
      <c r="B727" s="2"/>
      <c r="C727" s="2"/>
      <c r="D727" s="2"/>
      <c r="E727" s="7"/>
      <c r="F727" s="14"/>
      <c r="J727" s="2"/>
      <c r="K727" s="2"/>
      <c r="L727" s="2"/>
      <c r="V727" s="19"/>
    </row>
    <row r="728" spans="2:22" ht="12.3" x14ac:dyDescent="0.4">
      <c r="B728" s="2"/>
      <c r="C728" s="2"/>
      <c r="D728" s="2"/>
      <c r="E728" s="7"/>
      <c r="F728" s="14"/>
      <c r="J728" s="2"/>
      <c r="K728" s="2"/>
      <c r="L728" s="2"/>
      <c r="V728" s="19"/>
    </row>
    <row r="729" spans="2:22" ht="12.3" x14ac:dyDescent="0.4">
      <c r="B729" s="2"/>
      <c r="C729" s="2"/>
      <c r="D729" s="2"/>
      <c r="E729" s="7"/>
      <c r="F729" s="14"/>
      <c r="J729" s="2"/>
      <c r="K729" s="2"/>
      <c r="L729" s="2"/>
      <c r="V729" s="19"/>
    </row>
    <row r="730" spans="2:22" ht="12.3" x14ac:dyDescent="0.4">
      <c r="B730" s="2"/>
      <c r="C730" s="2"/>
      <c r="D730" s="2"/>
      <c r="E730" s="7"/>
      <c r="F730" s="14"/>
      <c r="J730" s="2"/>
      <c r="K730" s="2"/>
      <c r="L730" s="2"/>
      <c r="V730" s="19"/>
    </row>
    <row r="731" spans="2:22" ht="12.3" x14ac:dyDescent="0.4">
      <c r="B731" s="2"/>
      <c r="C731" s="2"/>
      <c r="D731" s="2"/>
      <c r="E731" s="7"/>
      <c r="F731" s="14"/>
      <c r="J731" s="2"/>
      <c r="K731" s="2"/>
      <c r="L731" s="2"/>
      <c r="V731" s="19"/>
    </row>
    <row r="732" spans="2:22" ht="12.3" x14ac:dyDescent="0.4">
      <c r="B732" s="2"/>
      <c r="C732" s="2"/>
      <c r="D732" s="2"/>
      <c r="E732" s="7"/>
      <c r="F732" s="14"/>
      <c r="J732" s="2"/>
      <c r="K732" s="2"/>
      <c r="L732" s="2"/>
      <c r="V732" s="19"/>
    </row>
    <row r="733" spans="2:22" ht="12.3" x14ac:dyDescent="0.4">
      <c r="B733" s="2"/>
      <c r="C733" s="2"/>
      <c r="D733" s="2"/>
      <c r="E733" s="7"/>
      <c r="F733" s="14"/>
      <c r="J733" s="2"/>
      <c r="K733" s="2"/>
      <c r="L733" s="2"/>
      <c r="V733" s="19"/>
    </row>
    <row r="734" spans="2:22" ht="12.3" x14ac:dyDescent="0.4">
      <c r="B734" s="2"/>
      <c r="C734" s="2"/>
      <c r="D734" s="2"/>
      <c r="E734" s="7"/>
      <c r="F734" s="14"/>
      <c r="J734" s="2"/>
      <c r="K734" s="2"/>
      <c r="L734" s="2"/>
      <c r="V734" s="19"/>
    </row>
    <row r="735" spans="2:22" ht="12.3" x14ac:dyDescent="0.4">
      <c r="B735" s="2"/>
      <c r="C735" s="2"/>
      <c r="D735" s="2"/>
      <c r="E735" s="7"/>
      <c r="F735" s="14"/>
      <c r="J735" s="2"/>
      <c r="K735" s="2"/>
      <c r="L735" s="2"/>
      <c r="V735" s="19"/>
    </row>
    <row r="736" spans="2:22" ht="12.3" x14ac:dyDescent="0.4">
      <c r="B736" s="2"/>
      <c r="C736" s="2"/>
      <c r="D736" s="2"/>
      <c r="E736" s="7"/>
      <c r="F736" s="14"/>
      <c r="J736" s="2"/>
      <c r="K736" s="2"/>
      <c r="L736" s="2"/>
      <c r="V736" s="19"/>
    </row>
    <row r="737" spans="2:22" ht="12.3" x14ac:dyDescent="0.4">
      <c r="B737" s="2"/>
      <c r="C737" s="2"/>
      <c r="D737" s="2"/>
      <c r="E737" s="7"/>
      <c r="F737" s="14"/>
      <c r="J737" s="2"/>
      <c r="K737" s="2"/>
      <c r="L737" s="2"/>
      <c r="V737" s="19"/>
    </row>
    <row r="738" spans="2:22" ht="12.3" x14ac:dyDescent="0.4">
      <c r="B738" s="2"/>
      <c r="C738" s="2"/>
      <c r="D738" s="2"/>
      <c r="E738" s="7"/>
      <c r="F738" s="14"/>
      <c r="J738" s="2"/>
      <c r="K738" s="2"/>
      <c r="L738" s="2"/>
      <c r="V738" s="19"/>
    </row>
    <row r="739" spans="2:22" ht="12.3" x14ac:dyDescent="0.4">
      <c r="B739" s="2"/>
      <c r="C739" s="2"/>
      <c r="D739" s="2"/>
      <c r="E739" s="7"/>
      <c r="F739" s="14"/>
      <c r="J739" s="2"/>
      <c r="K739" s="2"/>
      <c r="L739" s="2"/>
      <c r="V739" s="19"/>
    </row>
    <row r="740" spans="2:22" ht="12.3" x14ac:dyDescent="0.4">
      <c r="B740" s="2"/>
      <c r="C740" s="2"/>
      <c r="D740" s="2"/>
      <c r="E740" s="7"/>
      <c r="F740" s="14"/>
      <c r="J740" s="2"/>
      <c r="K740" s="2"/>
      <c r="L740" s="2"/>
      <c r="V740" s="19"/>
    </row>
    <row r="741" spans="2:22" ht="12.3" x14ac:dyDescent="0.4">
      <c r="B741" s="2"/>
      <c r="C741" s="2"/>
      <c r="D741" s="2"/>
      <c r="E741" s="7"/>
      <c r="F741" s="14"/>
      <c r="J741" s="2"/>
      <c r="K741" s="2"/>
      <c r="L741" s="2"/>
      <c r="V741" s="19"/>
    </row>
    <row r="742" spans="2:22" ht="12.3" x14ac:dyDescent="0.4">
      <c r="B742" s="2"/>
      <c r="C742" s="2"/>
      <c r="D742" s="2"/>
      <c r="E742" s="7"/>
      <c r="F742" s="14"/>
      <c r="J742" s="2"/>
      <c r="K742" s="2"/>
      <c r="L742" s="2"/>
      <c r="V742" s="19"/>
    </row>
    <row r="743" spans="2:22" ht="12.3" x14ac:dyDescent="0.4">
      <c r="B743" s="2"/>
      <c r="C743" s="2"/>
      <c r="D743" s="2"/>
      <c r="E743" s="7"/>
      <c r="F743" s="14"/>
      <c r="J743" s="2"/>
      <c r="K743" s="2"/>
      <c r="L743" s="2"/>
      <c r="V743" s="19"/>
    </row>
    <row r="744" spans="2:22" ht="12.3" x14ac:dyDescent="0.4">
      <c r="B744" s="2"/>
      <c r="C744" s="2"/>
      <c r="D744" s="2"/>
      <c r="E744" s="7"/>
      <c r="F744" s="14"/>
      <c r="J744" s="2"/>
      <c r="K744" s="2"/>
      <c r="L744" s="2"/>
      <c r="V744" s="19"/>
    </row>
    <row r="745" spans="2:22" ht="12.3" x14ac:dyDescent="0.4">
      <c r="B745" s="2"/>
      <c r="C745" s="2"/>
      <c r="D745" s="2"/>
      <c r="E745" s="7"/>
      <c r="F745" s="14"/>
      <c r="J745" s="2"/>
      <c r="K745" s="2"/>
      <c r="L745" s="2"/>
      <c r="V745" s="19"/>
    </row>
    <row r="746" spans="2:22" ht="12.3" x14ac:dyDescent="0.4">
      <c r="B746" s="2"/>
      <c r="C746" s="2"/>
      <c r="D746" s="2"/>
      <c r="E746" s="7"/>
      <c r="F746" s="14"/>
      <c r="J746" s="2"/>
      <c r="K746" s="2"/>
      <c r="L746" s="2"/>
      <c r="V746" s="19"/>
    </row>
    <row r="747" spans="2:22" ht="12.3" x14ac:dyDescent="0.4">
      <c r="B747" s="2"/>
      <c r="C747" s="2"/>
      <c r="D747" s="2"/>
      <c r="E747" s="7"/>
      <c r="F747" s="14"/>
      <c r="J747" s="2"/>
      <c r="K747" s="2"/>
      <c r="L747" s="2"/>
      <c r="V747" s="19"/>
    </row>
    <row r="748" spans="2:22" ht="12.3" x14ac:dyDescent="0.4">
      <c r="B748" s="2"/>
      <c r="C748" s="2"/>
      <c r="D748" s="2"/>
      <c r="E748" s="7"/>
      <c r="F748" s="14"/>
      <c r="J748" s="2"/>
      <c r="K748" s="2"/>
      <c r="L748" s="2"/>
      <c r="V748" s="19"/>
    </row>
    <row r="749" spans="2:22" ht="12.3" x14ac:dyDescent="0.4">
      <c r="B749" s="2"/>
      <c r="C749" s="2"/>
      <c r="D749" s="2"/>
      <c r="E749" s="7"/>
      <c r="F749" s="14"/>
      <c r="J749" s="2"/>
      <c r="K749" s="2"/>
      <c r="L749" s="2"/>
      <c r="V749" s="19"/>
    </row>
    <row r="750" spans="2:22" ht="12.3" x14ac:dyDescent="0.4">
      <c r="B750" s="2"/>
      <c r="C750" s="2"/>
      <c r="D750" s="2"/>
      <c r="E750" s="7"/>
      <c r="F750" s="14"/>
      <c r="J750" s="2"/>
      <c r="K750" s="2"/>
      <c r="L750" s="2"/>
      <c r="V750" s="19"/>
    </row>
    <row r="751" spans="2:22" ht="12.3" x14ac:dyDescent="0.4">
      <c r="B751" s="2"/>
      <c r="C751" s="2"/>
      <c r="D751" s="2"/>
      <c r="E751" s="7"/>
      <c r="F751" s="14"/>
      <c r="J751" s="2"/>
      <c r="K751" s="2"/>
      <c r="L751" s="2"/>
      <c r="V751" s="19"/>
    </row>
    <row r="752" spans="2:22" ht="12.3" x14ac:dyDescent="0.4">
      <c r="B752" s="2"/>
      <c r="C752" s="2"/>
      <c r="D752" s="2"/>
      <c r="E752" s="7"/>
      <c r="F752" s="14"/>
      <c r="J752" s="2"/>
      <c r="K752" s="2"/>
      <c r="L752" s="2"/>
      <c r="V752" s="19"/>
    </row>
    <row r="753" spans="2:22" ht="12.3" x14ac:dyDescent="0.4">
      <c r="B753" s="2"/>
      <c r="C753" s="2"/>
      <c r="D753" s="2"/>
      <c r="E753" s="7"/>
      <c r="F753" s="14"/>
      <c r="J753" s="2"/>
      <c r="K753" s="2"/>
      <c r="L753" s="2"/>
      <c r="V753" s="19"/>
    </row>
    <row r="754" spans="2:22" ht="12.3" x14ac:dyDescent="0.4">
      <c r="B754" s="2"/>
      <c r="C754" s="2"/>
      <c r="D754" s="2"/>
      <c r="E754" s="7"/>
      <c r="F754" s="14"/>
      <c r="J754" s="2"/>
      <c r="K754" s="2"/>
      <c r="L754" s="2"/>
      <c r="V754" s="19"/>
    </row>
    <row r="755" spans="2:22" ht="12.3" x14ac:dyDescent="0.4">
      <c r="B755" s="2"/>
      <c r="C755" s="2"/>
      <c r="D755" s="2"/>
      <c r="E755" s="7"/>
      <c r="F755" s="14"/>
      <c r="J755" s="2"/>
      <c r="K755" s="2"/>
      <c r="L755" s="2"/>
      <c r="V755" s="19"/>
    </row>
    <row r="756" spans="2:22" ht="12.3" x14ac:dyDescent="0.4">
      <c r="B756" s="2"/>
      <c r="C756" s="2"/>
      <c r="D756" s="2"/>
      <c r="E756" s="7"/>
      <c r="F756" s="14"/>
      <c r="J756" s="2"/>
      <c r="K756" s="2"/>
      <c r="L756" s="2"/>
      <c r="V756" s="19"/>
    </row>
    <row r="757" spans="2:22" ht="12.3" x14ac:dyDescent="0.4">
      <c r="B757" s="2"/>
      <c r="C757" s="2"/>
      <c r="D757" s="2"/>
      <c r="E757" s="7"/>
      <c r="F757" s="14"/>
      <c r="J757" s="2"/>
      <c r="K757" s="2"/>
      <c r="L757" s="2"/>
      <c r="V757" s="19"/>
    </row>
    <row r="758" spans="2:22" ht="12.3" x14ac:dyDescent="0.4">
      <c r="B758" s="2"/>
      <c r="C758" s="2"/>
      <c r="D758" s="2"/>
      <c r="E758" s="7"/>
      <c r="F758" s="14"/>
      <c r="J758" s="2"/>
      <c r="K758" s="2"/>
      <c r="L758" s="2"/>
      <c r="V758" s="19"/>
    </row>
    <row r="759" spans="2:22" ht="12.3" x14ac:dyDescent="0.4">
      <c r="B759" s="2"/>
      <c r="C759" s="2"/>
      <c r="D759" s="2"/>
      <c r="E759" s="7"/>
      <c r="F759" s="14"/>
      <c r="J759" s="2"/>
      <c r="K759" s="2"/>
      <c r="L759" s="2"/>
      <c r="V759" s="19"/>
    </row>
    <row r="760" spans="2:22" ht="12.3" x14ac:dyDescent="0.4">
      <c r="B760" s="2"/>
      <c r="C760" s="2"/>
      <c r="D760" s="2"/>
      <c r="E760" s="7"/>
      <c r="F760" s="14"/>
      <c r="J760" s="2"/>
      <c r="K760" s="2"/>
      <c r="L760" s="2"/>
      <c r="V760" s="19"/>
    </row>
    <row r="761" spans="2:22" ht="12.3" x14ac:dyDescent="0.4">
      <c r="B761" s="2"/>
      <c r="C761" s="2"/>
      <c r="D761" s="2"/>
      <c r="E761" s="7"/>
      <c r="F761" s="14"/>
      <c r="J761" s="2"/>
      <c r="K761" s="2"/>
      <c r="L761" s="2"/>
      <c r="V761" s="19"/>
    </row>
    <row r="762" spans="2:22" ht="12.3" x14ac:dyDescent="0.4">
      <c r="B762" s="2"/>
      <c r="C762" s="2"/>
      <c r="D762" s="2"/>
      <c r="E762" s="7"/>
      <c r="F762" s="14"/>
      <c r="J762" s="2"/>
      <c r="K762" s="2"/>
      <c r="L762" s="2"/>
      <c r="V762" s="19"/>
    </row>
    <row r="763" spans="2:22" ht="12.3" x14ac:dyDescent="0.4">
      <c r="B763" s="2"/>
      <c r="C763" s="2"/>
      <c r="D763" s="2"/>
      <c r="E763" s="7"/>
      <c r="F763" s="14"/>
      <c r="J763" s="2"/>
      <c r="K763" s="2"/>
      <c r="L763" s="2"/>
      <c r="V763" s="19"/>
    </row>
    <row r="764" spans="2:22" ht="12.3" x14ac:dyDescent="0.4">
      <c r="B764" s="2"/>
      <c r="C764" s="2"/>
      <c r="D764" s="2"/>
      <c r="E764" s="7"/>
      <c r="F764" s="14"/>
      <c r="J764" s="2"/>
      <c r="K764" s="2"/>
      <c r="L764" s="2"/>
      <c r="V764" s="19"/>
    </row>
    <row r="765" spans="2:22" ht="12.3" x14ac:dyDescent="0.4">
      <c r="B765" s="2"/>
      <c r="C765" s="2"/>
      <c r="D765" s="2"/>
      <c r="E765" s="7"/>
      <c r="F765" s="14"/>
      <c r="J765" s="2"/>
      <c r="K765" s="2"/>
      <c r="L765" s="2"/>
      <c r="V765" s="19"/>
    </row>
    <row r="766" spans="2:22" ht="12.3" x14ac:dyDescent="0.4">
      <c r="B766" s="2"/>
      <c r="C766" s="2"/>
      <c r="D766" s="2"/>
      <c r="E766" s="7"/>
      <c r="F766" s="14"/>
      <c r="J766" s="2"/>
      <c r="K766" s="2"/>
      <c r="L766" s="2"/>
      <c r="V766" s="19"/>
    </row>
    <row r="767" spans="2:22" ht="12.3" x14ac:dyDescent="0.4">
      <c r="B767" s="2"/>
      <c r="C767" s="2"/>
      <c r="D767" s="2"/>
      <c r="E767" s="7"/>
      <c r="F767" s="14"/>
      <c r="J767" s="2"/>
      <c r="K767" s="2"/>
      <c r="L767" s="2"/>
      <c r="V767" s="19"/>
    </row>
    <row r="768" spans="2:22" ht="12.3" x14ac:dyDescent="0.4">
      <c r="B768" s="2"/>
      <c r="C768" s="2"/>
      <c r="D768" s="2"/>
      <c r="E768" s="7"/>
      <c r="F768" s="14"/>
      <c r="J768" s="2"/>
      <c r="K768" s="2"/>
      <c r="L768" s="2"/>
      <c r="V768" s="19"/>
    </row>
    <row r="769" spans="2:22" ht="12.3" x14ac:dyDescent="0.4">
      <c r="B769" s="2"/>
      <c r="C769" s="2"/>
      <c r="D769" s="2"/>
      <c r="E769" s="7"/>
      <c r="F769" s="14"/>
      <c r="J769" s="2"/>
      <c r="K769" s="2"/>
      <c r="L769" s="2"/>
      <c r="V769" s="19"/>
    </row>
    <row r="770" spans="2:22" ht="12.3" x14ac:dyDescent="0.4">
      <c r="B770" s="2"/>
      <c r="C770" s="2"/>
      <c r="D770" s="2"/>
      <c r="E770" s="7"/>
      <c r="F770" s="14"/>
      <c r="J770" s="2"/>
      <c r="K770" s="2"/>
      <c r="L770" s="2"/>
      <c r="V770" s="19"/>
    </row>
    <row r="771" spans="2:22" ht="12.3" x14ac:dyDescent="0.4">
      <c r="B771" s="2"/>
      <c r="C771" s="2"/>
      <c r="D771" s="2"/>
      <c r="E771" s="7"/>
      <c r="F771" s="14"/>
      <c r="J771" s="2"/>
      <c r="K771" s="2"/>
      <c r="L771" s="2"/>
      <c r="V771" s="19"/>
    </row>
    <row r="772" spans="2:22" ht="12.3" x14ac:dyDescent="0.4">
      <c r="B772" s="2"/>
      <c r="C772" s="2"/>
      <c r="D772" s="2"/>
      <c r="E772" s="7"/>
      <c r="F772" s="14"/>
      <c r="J772" s="2"/>
      <c r="K772" s="2"/>
      <c r="L772" s="2"/>
      <c r="V772" s="19"/>
    </row>
    <row r="773" spans="2:22" ht="12.3" x14ac:dyDescent="0.4">
      <c r="B773" s="2"/>
      <c r="C773" s="2"/>
      <c r="D773" s="2"/>
      <c r="E773" s="7"/>
      <c r="F773" s="14"/>
      <c r="J773" s="2"/>
      <c r="K773" s="2"/>
      <c r="L773" s="2"/>
      <c r="V773" s="19"/>
    </row>
    <row r="774" spans="2:22" ht="12.3" x14ac:dyDescent="0.4">
      <c r="B774" s="2"/>
      <c r="C774" s="2"/>
      <c r="D774" s="2"/>
      <c r="E774" s="7"/>
      <c r="F774" s="14"/>
      <c r="J774" s="2"/>
      <c r="K774" s="2"/>
      <c r="L774" s="2"/>
      <c r="V774" s="19"/>
    </row>
    <row r="775" spans="2:22" ht="12.3" x14ac:dyDescent="0.4">
      <c r="B775" s="2"/>
      <c r="C775" s="2"/>
      <c r="D775" s="2"/>
      <c r="E775" s="7"/>
      <c r="F775" s="14"/>
      <c r="J775" s="2"/>
      <c r="K775" s="2"/>
      <c r="L775" s="2"/>
      <c r="V775" s="19"/>
    </row>
    <row r="776" spans="2:22" ht="12.3" x14ac:dyDescent="0.4">
      <c r="B776" s="2"/>
      <c r="C776" s="2"/>
      <c r="D776" s="2"/>
      <c r="E776" s="7"/>
      <c r="F776" s="14"/>
      <c r="J776" s="2"/>
      <c r="K776" s="2"/>
      <c r="L776" s="2"/>
      <c r="V776" s="19"/>
    </row>
    <row r="777" spans="2:22" ht="12.3" x14ac:dyDescent="0.4">
      <c r="B777" s="2"/>
      <c r="C777" s="2"/>
      <c r="D777" s="2"/>
      <c r="E777" s="7"/>
      <c r="F777" s="14"/>
      <c r="J777" s="2"/>
      <c r="K777" s="2"/>
      <c r="L777" s="2"/>
      <c r="V777" s="19"/>
    </row>
    <row r="778" spans="2:22" ht="12.3" x14ac:dyDescent="0.4">
      <c r="B778" s="2"/>
      <c r="C778" s="2"/>
      <c r="D778" s="2"/>
      <c r="E778" s="7"/>
      <c r="F778" s="14"/>
      <c r="J778" s="2"/>
      <c r="K778" s="2"/>
      <c r="L778" s="2"/>
      <c r="V778" s="19"/>
    </row>
    <row r="779" spans="2:22" ht="12.3" x14ac:dyDescent="0.4">
      <c r="B779" s="2"/>
      <c r="C779" s="2"/>
      <c r="D779" s="2"/>
      <c r="E779" s="7"/>
      <c r="F779" s="14"/>
      <c r="J779" s="2"/>
      <c r="K779" s="2"/>
      <c r="L779" s="2"/>
      <c r="V779" s="19"/>
    </row>
    <row r="780" spans="2:22" ht="12.3" x14ac:dyDescent="0.4">
      <c r="B780" s="2"/>
      <c r="C780" s="2"/>
      <c r="D780" s="2"/>
      <c r="E780" s="7"/>
      <c r="F780" s="14"/>
      <c r="J780" s="2"/>
      <c r="K780" s="2"/>
      <c r="L780" s="2"/>
      <c r="V780" s="19"/>
    </row>
    <row r="781" spans="2:22" ht="12.3" x14ac:dyDescent="0.4">
      <c r="B781" s="2"/>
      <c r="C781" s="2"/>
      <c r="D781" s="2"/>
      <c r="E781" s="7"/>
      <c r="F781" s="14"/>
      <c r="J781" s="2"/>
      <c r="K781" s="2"/>
      <c r="L781" s="2"/>
      <c r="V781" s="19"/>
    </row>
    <row r="782" spans="2:22" ht="12.3" x14ac:dyDescent="0.4">
      <c r="B782" s="2"/>
      <c r="C782" s="2"/>
      <c r="D782" s="2"/>
      <c r="E782" s="7"/>
      <c r="F782" s="14"/>
      <c r="J782" s="2"/>
      <c r="K782" s="2"/>
      <c r="L782" s="2"/>
      <c r="V782" s="19"/>
    </row>
    <row r="783" spans="2:22" ht="12.3" x14ac:dyDescent="0.4">
      <c r="B783" s="2"/>
      <c r="C783" s="2"/>
      <c r="D783" s="2"/>
      <c r="E783" s="7"/>
      <c r="F783" s="14"/>
      <c r="J783" s="2"/>
      <c r="K783" s="2"/>
      <c r="L783" s="2"/>
      <c r="V783" s="19"/>
    </row>
    <row r="784" spans="2:22" ht="12.3" x14ac:dyDescent="0.4">
      <c r="B784" s="2"/>
      <c r="C784" s="2"/>
      <c r="D784" s="2"/>
      <c r="E784" s="7"/>
      <c r="F784" s="14"/>
      <c r="J784" s="2"/>
      <c r="K784" s="2"/>
      <c r="L784" s="2"/>
      <c r="V784" s="19"/>
    </row>
    <row r="785" spans="2:22" ht="12.3" x14ac:dyDescent="0.4">
      <c r="B785" s="2"/>
      <c r="C785" s="2"/>
      <c r="D785" s="2"/>
      <c r="E785" s="7"/>
      <c r="F785" s="14"/>
      <c r="J785" s="2"/>
      <c r="K785" s="2"/>
      <c r="L785" s="2"/>
      <c r="V785" s="19"/>
    </row>
    <row r="786" spans="2:22" ht="12.3" x14ac:dyDescent="0.4">
      <c r="B786" s="2"/>
      <c r="C786" s="2"/>
      <c r="D786" s="2"/>
      <c r="E786" s="7"/>
      <c r="F786" s="14"/>
      <c r="J786" s="2"/>
      <c r="K786" s="2"/>
      <c r="L786" s="2"/>
      <c r="V786" s="19"/>
    </row>
    <row r="787" spans="2:22" ht="12.3" x14ac:dyDescent="0.4">
      <c r="B787" s="2"/>
      <c r="C787" s="2"/>
      <c r="D787" s="2"/>
      <c r="E787" s="7"/>
      <c r="F787" s="14"/>
      <c r="J787" s="2"/>
      <c r="K787" s="2"/>
      <c r="L787" s="2"/>
      <c r="V787" s="19"/>
    </row>
    <row r="788" spans="2:22" ht="12.3" x14ac:dyDescent="0.4">
      <c r="B788" s="2"/>
      <c r="C788" s="2"/>
      <c r="D788" s="2"/>
      <c r="E788" s="7"/>
      <c r="F788" s="14"/>
      <c r="J788" s="2"/>
      <c r="K788" s="2"/>
      <c r="L788" s="2"/>
      <c r="V788" s="19"/>
    </row>
    <row r="789" spans="2:22" ht="12.3" x14ac:dyDescent="0.4">
      <c r="B789" s="2"/>
      <c r="C789" s="2"/>
      <c r="D789" s="2"/>
      <c r="E789" s="7"/>
      <c r="F789" s="14"/>
      <c r="J789" s="2"/>
      <c r="K789" s="2"/>
      <c r="L789" s="2"/>
      <c r="V789" s="19"/>
    </row>
    <row r="790" spans="2:22" ht="12.3" x14ac:dyDescent="0.4">
      <c r="B790" s="2"/>
      <c r="C790" s="2"/>
      <c r="D790" s="2"/>
      <c r="E790" s="7"/>
      <c r="F790" s="14"/>
      <c r="J790" s="2"/>
      <c r="K790" s="2"/>
      <c r="L790" s="2"/>
      <c r="V790" s="19"/>
    </row>
    <row r="791" spans="2:22" ht="12.3" x14ac:dyDescent="0.4">
      <c r="B791" s="2"/>
      <c r="C791" s="2"/>
      <c r="D791" s="2"/>
      <c r="E791" s="7"/>
      <c r="F791" s="14"/>
      <c r="J791" s="2"/>
      <c r="K791" s="2"/>
      <c r="L791" s="2"/>
      <c r="V791" s="19"/>
    </row>
    <row r="792" spans="2:22" ht="12.3" x14ac:dyDescent="0.4">
      <c r="B792" s="2"/>
      <c r="C792" s="2"/>
      <c r="D792" s="2"/>
      <c r="E792" s="7"/>
      <c r="F792" s="14"/>
      <c r="J792" s="2"/>
      <c r="K792" s="2"/>
      <c r="L792" s="2"/>
      <c r="V792" s="19"/>
    </row>
    <row r="793" spans="2:22" ht="12.3" x14ac:dyDescent="0.4">
      <c r="B793" s="2"/>
      <c r="C793" s="2"/>
      <c r="D793" s="2"/>
      <c r="E793" s="7"/>
      <c r="F793" s="14"/>
      <c r="J793" s="2"/>
      <c r="K793" s="2"/>
      <c r="L793" s="2"/>
      <c r="V793" s="19"/>
    </row>
    <row r="794" spans="2:22" ht="12.3" x14ac:dyDescent="0.4">
      <c r="B794" s="2"/>
      <c r="C794" s="2"/>
      <c r="D794" s="2"/>
      <c r="E794" s="7"/>
      <c r="F794" s="14"/>
      <c r="J794" s="2"/>
      <c r="K794" s="2"/>
      <c r="L794" s="2"/>
      <c r="V794" s="19"/>
    </row>
    <row r="795" spans="2:22" ht="12.3" x14ac:dyDescent="0.4">
      <c r="B795" s="2"/>
      <c r="C795" s="2"/>
      <c r="D795" s="2"/>
      <c r="E795" s="7"/>
      <c r="F795" s="14"/>
      <c r="J795" s="2"/>
      <c r="K795" s="2"/>
      <c r="L795" s="2"/>
      <c r="V795" s="19"/>
    </row>
    <row r="796" spans="2:22" ht="12.3" x14ac:dyDescent="0.4">
      <c r="B796" s="2"/>
      <c r="C796" s="2"/>
      <c r="D796" s="2"/>
      <c r="E796" s="7"/>
      <c r="F796" s="14"/>
      <c r="J796" s="2"/>
      <c r="K796" s="2"/>
      <c r="L796" s="2"/>
      <c r="V796" s="19"/>
    </row>
    <row r="797" spans="2:22" ht="12.3" x14ac:dyDescent="0.4">
      <c r="B797" s="2"/>
      <c r="C797" s="2"/>
      <c r="D797" s="2"/>
      <c r="E797" s="7"/>
      <c r="F797" s="14"/>
      <c r="J797" s="2"/>
      <c r="K797" s="2"/>
      <c r="L797" s="2"/>
      <c r="V797" s="19"/>
    </row>
    <row r="798" spans="2:22" ht="12.3" x14ac:dyDescent="0.4">
      <c r="B798" s="2"/>
      <c r="C798" s="2"/>
      <c r="D798" s="2"/>
      <c r="E798" s="7"/>
      <c r="F798" s="14"/>
      <c r="J798" s="2"/>
      <c r="K798" s="2"/>
      <c r="L798" s="2"/>
      <c r="V798" s="19"/>
    </row>
    <row r="799" spans="2:22" ht="12.3" x14ac:dyDescent="0.4">
      <c r="B799" s="2"/>
      <c r="C799" s="2"/>
      <c r="D799" s="2"/>
      <c r="E799" s="7"/>
      <c r="F799" s="14"/>
      <c r="J799" s="2"/>
      <c r="K799" s="2"/>
      <c r="L799" s="2"/>
      <c r="V799" s="19"/>
    </row>
    <row r="800" spans="2:22" ht="12.3" x14ac:dyDescent="0.4">
      <c r="B800" s="2"/>
      <c r="C800" s="2"/>
      <c r="D800" s="2"/>
      <c r="E800" s="7"/>
      <c r="F800" s="14"/>
      <c r="J800" s="2"/>
      <c r="K800" s="2"/>
      <c r="L800" s="2"/>
      <c r="V800" s="19"/>
    </row>
    <row r="801" spans="2:22" ht="12.3" x14ac:dyDescent="0.4">
      <c r="B801" s="2"/>
      <c r="C801" s="2"/>
      <c r="D801" s="2"/>
      <c r="E801" s="7"/>
      <c r="F801" s="14"/>
      <c r="J801" s="2"/>
      <c r="K801" s="2"/>
      <c r="L801" s="2"/>
      <c r="V801" s="19"/>
    </row>
    <row r="802" spans="2:22" ht="12.3" x14ac:dyDescent="0.4">
      <c r="B802" s="2"/>
      <c r="C802" s="2"/>
      <c r="D802" s="2"/>
      <c r="E802" s="7"/>
      <c r="F802" s="14"/>
      <c r="J802" s="2"/>
      <c r="K802" s="2"/>
      <c r="L802" s="2"/>
      <c r="V802" s="19"/>
    </row>
    <row r="803" spans="2:22" ht="12.3" x14ac:dyDescent="0.4">
      <c r="B803" s="2"/>
      <c r="C803" s="2"/>
      <c r="D803" s="2"/>
      <c r="E803" s="7"/>
      <c r="F803" s="14"/>
      <c r="J803" s="2"/>
      <c r="K803" s="2"/>
      <c r="L803" s="2"/>
      <c r="V803" s="19"/>
    </row>
    <row r="804" spans="2:22" ht="12.3" x14ac:dyDescent="0.4">
      <c r="B804" s="2"/>
      <c r="C804" s="2"/>
      <c r="D804" s="2"/>
      <c r="E804" s="7"/>
      <c r="F804" s="14"/>
      <c r="J804" s="2"/>
      <c r="K804" s="2"/>
      <c r="L804" s="2"/>
      <c r="V804" s="19"/>
    </row>
    <row r="805" spans="2:22" ht="12.3" x14ac:dyDescent="0.4">
      <c r="B805" s="2"/>
      <c r="C805" s="2"/>
      <c r="D805" s="2"/>
      <c r="E805" s="7"/>
      <c r="F805" s="14"/>
      <c r="J805" s="2"/>
      <c r="K805" s="2"/>
      <c r="L805" s="2"/>
      <c r="V805" s="19"/>
    </row>
    <row r="806" spans="2:22" ht="12.3" x14ac:dyDescent="0.4">
      <c r="B806" s="2"/>
      <c r="C806" s="2"/>
      <c r="D806" s="2"/>
      <c r="E806" s="7"/>
      <c r="F806" s="14"/>
      <c r="J806" s="2"/>
      <c r="K806" s="2"/>
      <c r="L806" s="2"/>
      <c r="V806" s="19"/>
    </row>
    <row r="807" spans="2:22" ht="12.3" x14ac:dyDescent="0.4">
      <c r="B807" s="2"/>
      <c r="C807" s="2"/>
      <c r="D807" s="2"/>
      <c r="E807" s="7"/>
      <c r="F807" s="14"/>
      <c r="J807" s="2"/>
      <c r="K807" s="2"/>
      <c r="L807" s="2"/>
      <c r="V807" s="19"/>
    </row>
    <row r="808" spans="2:22" ht="12.3" x14ac:dyDescent="0.4">
      <c r="B808" s="2"/>
      <c r="C808" s="2"/>
      <c r="D808" s="2"/>
      <c r="E808" s="7"/>
      <c r="F808" s="14"/>
      <c r="J808" s="2"/>
      <c r="K808" s="2"/>
      <c r="L808" s="2"/>
      <c r="V808" s="19"/>
    </row>
    <row r="809" spans="2:22" ht="12.3" x14ac:dyDescent="0.4">
      <c r="B809" s="2"/>
      <c r="C809" s="2"/>
      <c r="D809" s="2"/>
      <c r="E809" s="7"/>
      <c r="F809" s="14"/>
      <c r="J809" s="2"/>
      <c r="K809" s="2"/>
      <c r="L809" s="2"/>
      <c r="V809" s="19"/>
    </row>
    <row r="810" spans="2:22" ht="12.3" x14ac:dyDescent="0.4">
      <c r="B810" s="2"/>
      <c r="C810" s="2"/>
      <c r="D810" s="2"/>
      <c r="E810" s="7"/>
      <c r="F810" s="14"/>
      <c r="J810" s="2"/>
      <c r="K810" s="2"/>
      <c r="L810" s="2"/>
      <c r="V810" s="19"/>
    </row>
    <row r="811" spans="2:22" ht="12.3" x14ac:dyDescent="0.4">
      <c r="B811" s="2"/>
      <c r="C811" s="2"/>
      <c r="D811" s="2"/>
      <c r="E811" s="7"/>
      <c r="F811" s="14"/>
      <c r="J811" s="2"/>
      <c r="K811" s="2"/>
      <c r="L811" s="2"/>
      <c r="V811" s="19"/>
    </row>
    <row r="812" spans="2:22" ht="12.3" x14ac:dyDescent="0.4">
      <c r="B812" s="2"/>
      <c r="C812" s="2"/>
      <c r="D812" s="2"/>
      <c r="E812" s="7"/>
      <c r="F812" s="14"/>
      <c r="J812" s="2"/>
      <c r="K812" s="2"/>
      <c r="L812" s="2"/>
      <c r="V812" s="19"/>
    </row>
    <row r="813" spans="2:22" ht="12.3" x14ac:dyDescent="0.4">
      <c r="B813" s="2"/>
      <c r="C813" s="2"/>
      <c r="D813" s="2"/>
      <c r="E813" s="7"/>
      <c r="F813" s="14"/>
      <c r="J813" s="2"/>
      <c r="K813" s="2"/>
      <c r="L813" s="2"/>
      <c r="V813" s="19"/>
    </row>
    <row r="814" spans="2:22" ht="12.3" x14ac:dyDescent="0.4">
      <c r="B814" s="2"/>
      <c r="C814" s="2"/>
      <c r="D814" s="2"/>
      <c r="E814" s="7"/>
      <c r="F814" s="14"/>
      <c r="J814" s="2"/>
      <c r="K814" s="2"/>
      <c r="L814" s="2"/>
      <c r="V814" s="19"/>
    </row>
    <row r="815" spans="2:22" ht="12.3" x14ac:dyDescent="0.4">
      <c r="B815" s="2"/>
      <c r="C815" s="2"/>
      <c r="D815" s="2"/>
      <c r="E815" s="7"/>
      <c r="F815" s="14"/>
      <c r="J815" s="2"/>
      <c r="K815" s="2"/>
      <c r="L815" s="2"/>
      <c r="V815" s="19"/>
    </row>
    <row r="816" spans="2:22" ht="12.3" x14ac:dyDescent="0.4">
      <c r="B816" s="2"/>
      <c r="C816" s="2"/>
      <c r="D816" s="2"/>
      <c r="E816" s="7"/>
      <c r="F816" s="14"/>
      <c r="J816" s="2"/>
      <c r="K816" s="2"/>
      <c r="L816" s="2"/>
      <c r="V816" s="19"/>
    </row>
    <row r="817" spans="2:22" ht="12.3" x14ac:dyDescent="0.4">
      <c r="B817" s="2"/>
      <c r="C817" s="2"/>
      <c r="D817" s="2"/>
      <c r="E817" s="7"/>
      <c r="F817" s="14"/>
      <c r="J817" s="2"/>
      <c r="K817" s="2"/>
      <c r="L817" s="2"/>
      <c r="V817" s="19"/>
    </row>
    <row r="818" spans="2:22" ht="12.3" x14ac:dyDescent="0.4">
      <c r="B818" s="2"/>
      <c r="C818" s="2"/>
      <c r="D818" s="2"/>
      <c r="E818" s="7"/>
      <c r="F818" s="14"/>
      <c r="J818" s="2"/>
      <c r="K818" s="2"/>
      <c r="L818" s="2"/>
      <c r="V818" s="19"/>
    </row>
    <row r="819" spans="2:22" ht="12.3" x14ac:dyDescent="0.4">
      <c r="B819" s="2"/>
      <c r="C819" s="2"/>
      <c r="D819" s="2"/>
      <c r="E819" s="7"/>
      <c r="F819" s="14"/>
      <c r="J819" s="2"/>
      <c r="K819" s="2"/>
      <c r="L819" s="2"/>
      <c r="V819" s="19"/>
    </row>
    <row r="820" spans="2:22" ht="12.3" x14ac:dyDescent="0.4">
      <c r="B820" s="2"/>
      <c r="C820" s="2"/>
      <c r="D820" s="2"/>
      <c r="E820" s="7"/>
      <c r="F820" s="14"/>
      <c r="J820" s="2"/>
      <c r="K820" s="2"/>
      <c r="L820" s="2"/>
      <c r="V820" s="19"/>
    </row>
    <row r="821" spans="2:22" ht="12.3" x14ac:dyDescent="0.4">
      <c r="B821" s="2"/>
      <c r="C821" s="2"/>
      <c r="D821" s="2"/>
      <c r="E821" s="7"/>
      <c r="F821" s="14"/>
      <c r="J821" s="2"/>
      <c r="K821" s="2"/>
      <c r="L821" s="2"/>
      <c r="V821" s="19"/>
    </row>
    <row r="822" spans="2:22" ht="12.3" x14ac:dyDescent="0.4">
      <c r="B822" s="2"/>
      <c r="C822" s="2"/>
      <c r="D822" s="2"/>
      <c r="E822" s="7"/>
      <c r="F822" s="14"/>
      <c r="J822" s="2"/>
      <c r="K822" s="2"/>
      <c r="L822" s="2"/>
      <c r="V822" s="19"/>
    </row>
    <row r="823" spans="2:22" ht="12.3" x14ac:dyDescent="0.4">
      <c r="B823" s="2"/>
      <c r="C823" s="2"/>
      <c r="D823" s="2"/>
      <c r="E823" s="7"/>
      <c r="F823" s="14"/>
      <c r="J823" s="2"/>
      <c r="K823" s="2"/>
      <c r="L823" s="2"/>
      <c r="V823" s="19"/>
    </row>
    <row r="824" spans="2:22" ht="12.3" x14ac:dyDescent="0.4">
      <c r="B824" s="2"/>
      <c r="C824" s="2"/>
      <c r="D824" s="2"/>
      <c r="E824" s="7"/>
      <c r="F824" s="14"/>
      <c r="J824" s="2"/>
      <c r="K824" s="2"/>
      <c r="L824" s="2"/>
      <c r="V824" s="19"/>
    </row>
    <row r="825" spans="2:22" ht="12.3" x14ac:dyDescent="0.4">
      <c r="B825" s="2"/>
      <c r="C825" s="2"/>
      <c r="D825" s="2"/>
      <c r="E825" s="7"/>
      <c r="F825" s="14"/>
      <c r="J825" s="2"/>
      <c r="K825" s="2"/>
      <c r="L825" s="2"/>
      <c r="V825" s="19"/>
    </row>
    <row r="826" spans="2:22" ht="12.3" x14ac:dyDescent="0.4">
      <c r="B826" s="2"/>
      <c r="C826" s="2"/>
      <c r="D826" s="2"/>
      <c r="E826" s="7"/>
      <c r="F826" s="14"/>
      <c r="J826" s="2"/>
      <c r="K826" s="2"/>
      <c r="L826" s="2"/>
      <c r="V826" s="19"/>
    </row>
    <row r="827" spans="2:22" ht="12.3" x14ac:dyDescent="0.4">
      <c r="B827" s="2"/>
      <c r="C827" s="2"/>
      <c r="D827" s="2"/>
      <c r="E827" s="7"/>
      <c r="F827" s="14"/>
      <c r="J827" s="2"/>
      <c r="K827" s="2"/>
      <c r="L827" s="2"/>
      <c r="V827" s="19"/>
    </row>
    <row r="828" spans="2:22" ht="12.3" x14ac:dyDescent="0.4">
      <c r="B828" s="2"/>
      <c r="C828" s="2"/>
      <c r="D828" s="2"/>
      <c r="E828" s="7"/>
      <c r="F828" s="14"/>
      <c r="J828" s="2"/>
      <c r="K828" s="2"/>
      <c r="L828" s="2"/>
      <c r="V828" s="19"/>
    </row>
    <row r="829" spans="2:22" ht="12.3" x14ac:dyDescent="0.4">
      <c r="B829" s="2"/>
      <c r="C829" s="2"/>
      <c r="D829" s="2"/>
      <c r="E829" s="7"/>
      <c r="F829" s="14"/>
      <c r="J829" s="2"/>
      <c r="K829" s="2"/>
      <c r="L829" s="2"/>
      <c r="V829" s="19"/>
    </row>
    <row r="830" spans="2:22" ht="12.3" x14ac:dyDescent="0.4">
      <c r="B830" s="2"/>
      <c r="C830" s="2"/>
      <c r="D830" s="2"/>
      <c r="E830" s="7"/>
      <c r="F830" s="14"/>
      <c r="J830" s="2"/>
      <c r="K830" s="2"/>
      <c r="L830" s="2"/>
      <c r="V830" s="19"/>
    </row>
    <row r="831" spans="2:22" ht="12.3" x14ac:dyDescent="0.4">
      <c r="B831" s="2"/>
      <c r="C831" s="2"/>
      <c r="D831" s="2"/>
      <c r="E831" s="7"/>
      <c r="F831" s="14"/>
      <c r="J831" s="2"/>
      <c r="K831" s="2"/>
      <c r="L831" s="2"/>
      <c r="V831" s="19"/>
    </row>
    <row r="832" spans="2:22" ht="12.3" x14ac:dyDescent="0.4">
      <c r="B832" s="2"/>
      <c r="C832" s="2"/>
      <c r="D832" s="2"/>
      <c r="E832" s="7"/>
      <c r="F832" s="14"/>
      <c r="J832" s="2"/>
      <c r="K832" s="2"/>
      <c r="L832" s="2"/>
      <c r="V832" s="19"/>
    </row>
    <row r="833" spans="2:22" ht="12.3" x14ac:dyDescent="0.4">
      <c r="B833" s="2"/>
      <c r="C833" s="2"/>
      <c r="D833" s="2"/>
      <c r="E833" s="7"/>
      <c r="F833" s="14"/>
      <c r="J833" s="2"/>
      <c r="K833" s="2"/>
      <c r="L833" s="2"/>
      <c r="V833" s="19"/>
    </row>
    <row r="834" spans="2:22" ht="12.3" x14ac:dyDescent="0.4">
      <c r="B834" s="2"/>
      <c r="C834" s="2"/>
      <c r="D834" s="2"/>
      <c r="E834" s="7"/>
      <c r="F834" s="14"/>
      <c r="J834" s="2"/>
      <c r="K834" s="2"/>
      <c r="L834" s="2"/>
      <c r="V834" s="19"/>
    </row>
    <row r="835" spans="2:22" ht="12.3" x14ac:dyDescent="0.4">
      <c r="B835" s="2"/>
      <c r="C835" s="2"/>
      <c r="D835" s="2"/>
      <c r="E835" s="7"/>
      <c r="F835" s="14"/>
      <c r="J835" s="2"/>
      <c r="K835" s="2"/>
      <c r="L835" s="2"/>
      <c r="V835" s="19"/>
    </row>
    <row r="836" spans="2:22" ht="12.3" x14ac:dyDescent="0.4">
      <c r="B836" s="2"/>
      <c r="C836" s="2"/>
      <c r="D836" s="2"/>
      <c r="E836" s="7"/>
      <c r="F836" s="14"/>
      <c r="J836" s="2"/>
      <c r="K836" s="2"/>
      <c r="L836" s="2"/>
      <c r="V836" s="19"/>
    </row>
    <row r="837" spans="2:22" ht="12.3" x14ac:dyDescent="0.4">
      <c r="B837" s="2"/>
      <c r="C837" s="2"/>
      <c r="D837" s="2"/>
      <c r="E837" s="7"/>
      <c r="F837" s="14"/>
      <c r="J837" s="2"/>
      <c r="K837" s="2"/>
      <c r="L837" s="2"/>
      <c r="V837" s="19"/>
    </row>
    <row r="838" spans="2:22" ht="12.3" x14ac:dyDescent="0.4">
      <c r="B838" s="2"/>
      <c r="C838" s="2"/>
      <c r="D838" s="2"/>
      <c r="E838" s="7"/>
      <c r="F838" s="14"/>
      <c r="J838" s="2"/>
      <c r="K838" s="2"/>
      <c r="L838" s="2"/>
      <c r="V838" s="19"/>
    </row>
    <row r="839" spans="2:22" ht="12.3" x14ac:dyDescent="0.4">
      <c r="B839" s="2"/>
      <c r="C839" s="2"/>
      <c r="D839" s="2"/>
      <c r="E839" s="7"/>
      <c r="F839" s="14"/>
      <c r="J839" s="2"/>
      <c r="K839" s="2"/>
      <c r="L839" s="2"/>
      <c r="V839" s="19"/>
    </row>
    <row r="840" spans="2:22" ht="12.3" x14ac:dyDescent="0.4">
      <c r="B840" s="2"/>
      <c r="C840" s="2"/>
      <c r="D840" s="2"/>
      <c r="E840" s="7"/>
      <c r="F840" s="14"/>
      <c r="J840" s="2"/>
      <c r="K840" s="2"/>
      <c r="L840" s="2"/>
      <c r="V840" s="19"/>
    </row>
    <row r="841" spans="2:22" ht="12.3" x14ac:dyDescent="0.4">
      <c r="B841" s="2"/>
      <c r="C841" s="2"/>
      <c r="D841" s="2"/>
      <c r="E841" s="7"/>
      <c r="F841" s="14"/>
      <c r="J841" s="2"/>
      <c r="K841" s="2"/>
      <c r="L841" s="2"/>
      <c r="V841" s="19"/>
    </row>
    <row r="842" spans="2:22" ht="12.3" x14ac:dyDescent="0.4">
      <c r="B842" s="2"/>
      <c r="C842" s="2"/>
      <c r="D842" s="2"/>
      <c r="E842" s="7"/>
      <c r="F842" s="14"/>
      <c r="J842" s="2"/>
      <c r="K842" s="2"/>
      <c r="L842" s="2"/>
      <c r="V842" s="19"/>
    </row>
    <row r="843" spans="2:22" ht="12.3" x14ac:dyDescent="0.4">
      <c r="B843" s="2"/>
      <c r="C843" s="2"/>
      <c r="D843" s="2"/>
      <c r="E843" s="7"/>
      <c r="F843" s="14"/>
      <c r="J843" s="2"/>
      <c r="K843" s="2"/>
      <c r="L843" s="2"/>
      <c r="V843" s="19"/>
    </row>
    <row r="844" spans="2:22" ht="12.3" x14ac:dyDescent="0.4">
      <c r="B844" s="2"/>
      <c r="C844" s="2"/>
      <c r="D844" s="2"/>
      <c r="E844" s="7"/>
      <c r="F844" s="14"/>
      <c r="J844" s="2"/>
      <c r="K844" s="2"/>
      <c r="L844" s="2"/>
      <c r="V844" s="19"/>
    </row>
    <row r="845" spans="2:22" ht="12.3" x14ac:dyDescent="0.4">
      <c r="B845" s="2"/>
      <c r="C845" s="2"/>
      <c r="D845" s="2"/>
      <c r="E845" s="7"/>
      <c r="F845" s="14"/>
      <c r="J845" s="2"/>
      <c r="K845" s="2"/>
      <c r="L845" s="2"/>
      <c r="V845" s="19"/>
    </row>
    <row r="846" spans="2:22" ht="12.3" x14ac:dyDescent="0.4">
      <c r="B846" s="2"/>
      <c r="C846" s="2"/>
      <c r="D846" s="2"/>
      <c r="E846" s="7"/>
      <c r="F846" s="14"/>
      <c r="J846" s="2"/>
      <c r="K846" s="2"/>
      <c r="L846" s="2"/>
      <c r="V846" s="19"/>
    </row>
    <row r="847" spans="2:22" ht="12.3" x14ac:dyDescent="0.4">
      <c r="B847" s="2"/>
      <c r="C847" s="2"/>
      <c r="D847" s="2"/>
      <c r="E847" s="7"/>
      <c r="F847" s="14"/>
      <c r="J847" s="2"/>
      <c r="K847" s="2"/>
      <c r="L847" s="2"/>
      <c r="V847" s="19"/>
    </row>
    <row r="848" spans="2:22" ht="12.3" x14ac:dyDescent="0.4">
      <c r="B848" s="2"/>
      <c r="C848" s="2"/>
      <c r="D848" s="2"/>
      <c r="E848" s="7"/>
      <c r="F848" s="14"/>
      <c r="J848" s="2"/>
      <c r="K848" s="2"/>
      <c r="L848" s="2"/>
      <c r="V848" s="19"/>
    </row>
    <row r="849" spans="2:22" ht="12.3" x14ac:dyDescent="0.4">
      <c r="B849" s="2"/>
      <c r="C849" s="2"/>
      <c r="D849" s="2"/>
      <c r="E849" s="7"/>
      <c r="F849" s="14"/>
      <c r="J849" s="2"/>
      <c r="K849" s="2"/>
      <c r="L849" s="2"/>
      <c r="V849" s="19"/>
    </row>
    <row r="850" spans="2:22" ht="12.3" x14ac:dyDescent="0.4">
      <c r="B850" s="2"/>
      <c r="C850" s="2"/>
      <c r="D850" s="2"/>
      <c r="E850" s="7"/>
      <c r="F850" s="14"/>
      <c r="J850" s="2"/>
      <c r="K850" s="2"/>
      <c r="L850" s="2"/>
      <c r="V850" s="19"/>
    </row>
    <row r="851" spans="2:22" ht="12.3" x14ac:dyDescent="0.4">
      <c r="B851" s="2"/>
      <c r="C851" s="2"/>
      <c r="D851" s="2"/>
      <c r="E851" s="7"/>
      <c r="F851" s="14"/>
      <c r="J851" s="2"/>
      <c r="K851" s="2"/>
      <c r="L851" s="2"/>
      <c r="V851" s="19"/>
    </row>
    <row r="852" spans="2:22" ht="12.3" x14ac:dyDescent="0.4">
      <c r="B852" s="2"/>
      <c r="C852" s="2"/>
      <c r="D852" s="2"/>
      <c r="E852" s="7"/>
      <c r="F852" s="14"/>
      <c r="J852" s="2"/>
      <c r="K852" s="2"/>
      <c r="L852" s="2"/>
      <c r="V852" s="19"/>
    </row>
    <row r="853" spans="2:22" ht="12.3" x14ac:dyDescent="0.4">
      <c r="B853" s="2"/>
      <c r="C853" s="2"/>
      <c r="D853" s="2"/>
      <c r="E853" s="7"/>
      <c r="F853" s="14"/>
      <c r="J853" s="2"/>
      <c r="K853" s="2"/>
      <c r="L853" s="2"/>
      <c r="V853" s="19"/>
    </row>
    <row r="854" spans="2:22" ht="12.3" x14ac:dyDescent="0.4">
      <c r="B854" s="2"/>
      <c r="C854" s="2"/>
      <c r="D854" s="2"/>
      <c r="E854" s="7"/>
      <c r="F854" s="14"/>
      <c r="J854" s="2"/>
      <c r="K854" s="2"/>
      <c r="L854" s="2"/>
      <c r="V854" s="19"/>
    </row>
    <row r="855" spans="2:22" ht="12.3" x14ac:dyDescent="0.4">
      <c r="B855" s="2"/>
      <c r="C855" s="2"/>
      <c r="D855" s="2"/>
      <c r="E855" s="7"/>
      <c r="F855" s="14"/>
      <c r="J855" s="2"/>
      <c r="K855" s="2"/>
      <c r="L855" s="2"/>
      <c r="V855" s="19"/>
    </row>
    <row r="856" spans="2:22" ht="12.3" x14ac:dyDescent="0.4">
      <c r="B856" s="2"/>
      <c r="C856" s="2"/>
      <c r="D856" s="2"/>
      <c r="E856" s="7"/>
      <c r="F856" s="14"/>
      <c r="J856" s="2"/>
      <c r="K856" s="2"/>
      <c r="L856" s="2"/>
      <c r="V856" s="19"/>
    </row>
    <row r="857" spans="2:22" ht="12.3" x14ac:dyDescent="0.4">
      <c r="B857" s="2"/>
      <c r="C857" s="2"/>
      <c r="D857" s="2"/>
      <c r="E857" s="7"/>
      <c r="F857" s="14"/>
      <c r="J857" s="2"/>
      <c r="K857" s="2"/>
      <c r="L857" s="2"/>
      <c r="V857" s="19"/>
    </row>
    <row r="858" spans="2:22" ht="12.3" x14ac:dyDescent="0.4">
      <c r="B858" s="2"/>
      <c r="C858" s="2"/>
      <c r="D858" s="2"/>
      <c r="E858" s="7"/>
      <c r="F858" s="14"/>
      <c r="J858" s="2"/>
      <c r="K858" s="2"/>
      <c r="L858" s="2"/>
      <c r="V858" s="19"/>
    </row>
    <row r="859" spans="2:22" ht="12.3" x14ac:dyDescent="0.4">
      <c r="B859" s="2"/>
      <c r="C859" s="2"/>
      <c r="D859" s="2"/>
      <c r="E859" s="7"/>
      <c r="F859" s="14"/>
      <c r="J859" s="2"/>
      <c r="K859" s="2"/>
      <c r="L859" s="2"/>
      <c r="V859" s="19"/>
    </row>
    <row r="860" spans="2:22" ht="12.3" x14ac:dyDescent="0.4">
      <c r="B860" s="2"/>
      <c r="C860" s="2"/>
      <c r="D860" s="2"/>
      <c r="E860" s="7"/>
      <c r="F860" s="14"/>
      <c r="J860" s="2"/>
      <c r="K860" s="2"/>
      <c r="L860" s="2"/>
      <c r="V860" s="19"/>
    </row>
    <row r="861" spans="2:22" ht="12.3" x14ac:dyDescent="0.4">
      <c r="B861" s="2"/>
      <c r="C861" s="2"/>
      <c r="D861" s="2"/>
      <c r="E861" s="7"/>
      <c r="F861" s="14"/>
      <c r="J861" s="2"/>
      <c r="K861" s="2"/>
      <c r="L861" s="2"/>
      <c r="V861" s="19"/>
    </row>
    <row r="862" spans="2:22" ht="12.3" x14ac:dyDescent="0.4">
      <c r="B862" s="2"/>
      <c r="C862" s="2"/>
      <c r="D862" s="2"/>
      <c r="E862" s="7"/>
      <c r="F862" s="14"/>
      <c r="J862" s="2"/>
      <c r="K862" s="2"/>
      <c r="L862" s="2"/>
      <c r="V862" s="19"/>
    </row>
    <row r="863" spans="2:22" ht="12.3" x14ac:dyDescent="0.4">
      <c r="B863" s="2"/>
      <c r="C863" s="2"/>
      <c r="D863" s="2"/>
      <c r="E863" s="7"/>
      <c r="F863" s="14"/>
      <c r="J863" s="2"/>
      <c r="K863" s="2"/>
      <c r="L863" s="2"/>
      <c r="V863" s="19"/>
    </row>
    <row r="864" spans="2:22" ht="12.3" x14ac:dyDescent="0.4">
      <c r="B864" s="2"/>
      <c r="C864" s="2"/>
      <c r="D864" s="2"/>
      <c r="E864" s="7"/>
      <c r="F864" s="14"/>
      <c r="J864" s="2"/>
      <c r="K864" s="2"/>
      <c r="L864" s="2"/>
      <c r="V864" s="19"/>
    </row>
    <row r="865" spans="2:22" ht="12.3" x14ac:dyDescent="0.4">
      <c r="B865" s="2"/>
      <c r="C865" s="2"/>
      <c r="D865" s="2"/>
      <c r="E865" s="7"/>
      <c r="F865" s="14"/>
      <c r="J865" s="2"/>
      <c r="K865" s="2"/>
      <c r="L865" s="2"/>
      <c r="V865" s="19"/>
    </row>
    <row r="866" spans="2:22" ht="12.3" x14ac:dyDescent="0.4">
      <c r="B866" s="2"/>
      <c r="C866" s="2"/>
      <c r="D866" s="2"/>
      <c r="E866" s="7"/>
      <c r="F866" s="14"/>
      <c r="J866" s="2"/>
      <c r="K866" s="2"/>
      <c r="L866" s="2"/>
      <c r="V866" s="19"/>
    </row>
    <row r="867" spans="2:22" ht="12.3" x14ac:dyDescent="0.4">
      <c r="B867" s="2"/>
      <c r="C867" s="2"/>
      <c r="D867" s="2"/>
      <c r="E867" s="7"/>
      <c r="F867" s="14"/>
      <c r="J867" s="2"/>
      <c r="K867" s="2"/>
      <c r="L867" s="2"/>
      <c r="V867" s="19"/>
    </row>
    <row r="868" spans="2:22" ht="12.3" x14ac:dyDescent="0.4">
      <c r="B868" s="2"/>
      <c r="C868" s="2"/>
      <c r="D868" s="2"/>
      <c r="E868" s="7"/>
      <c r="F868" s="14"/>
      <c r="J868" s="2"/>
      <c r="K868" s="2"/>
      <c r="L868" s="2"/>
      <c r="V868" s="19"/>
    </row>
    <row r="869" spans="2:22" ht="12.3" x14ac:dyDescent="0.4">
      <c r="B869" s="2"/>
      <c r="C869" s="2"/>
      <c r="D869" s="2"/>
      <c r="E869" s="7"/>
      <c r="F869" s="14"/>
      <c r="J869" s="2"/>
      <c r="K869" s="2"/>
      <c r="L869" s="2"/>
      <c r="V869" s="19"/>
    </row>
    <row r="870" spans="2:22" ht="12.3" x14ac:dyDescent="0.4">
      <c r="B870" s="2"/>
      <c r="C870" s="2"/>
      <c r="D870" s="2"/>
      <c r="E870" s="7"/>
      <c r="F870" s="14"/>
      <c r="J870" s="2"/>
      <c r="K870" s="2"/>
      <c r="L870" s="2"/>
      <c r="V870" s="19"/>
    </row>
    <row r="871" spans="2:22" ht="12.3" x14ac:dyDescent="0.4">
      <c r="B871" s="2"/>
      <c r="C871" s="2"/>
      <c r="D871" s="2"/>
      <c r="E871" s="7"/>
      <c r="F871" s="14"/>
      <c r="J871" s="2"/>
      <c r="K871" s="2"/>
      <c r="L871" s="2"/>
      <c r="V871" s="19"/>
    </row>
    <row r="872" spans="2:22" ht="12.3" x14ac:dyDescent="0.4">
      <c r="B872" s="2"/>
      <c r="C872" s="2"/>
      <c r="D872" s="2"/>
      <c r="E872" s="7"/>
      <c r="F872" s="14"/>
      <c r="J872" s="2"/>
      <c r="K872" s="2"/>
      <c r="L872" s="2"/>
      <c r="V872" s="19"/>
    </row>
    <row r="873" spans="2:22" ht="12.3" x14ac:dyDescent="0.4">
      <c r="B873" s="2"/>
      <c r="C873" s="2"/>
      <c r="D873" s="2"/>
      <c r="E873" s="7"/>
      <c r="F873" s="14"/>
      <c r="J873" s="2"/>
      <c r="K873" s="2"/>
      <c r="L873" s="2"/>
      <c r="V873" s="19"/>
    </row>
    <row r="874" spans="2:22" ht="12.3" x14ac:dyDescent="0.4">
      <c r="B874" s="2"/>
      <c r="C874" s="2"/>
      <c r="D874" s="2"/>
      <c r="E874" s="7"/>
      <c r="F874" s="14"/>
      <c r="J874" s="2"/>
      <c r="K874" s="2"/>
      <c r="L874" s="2"/>
      <c r="V874" s="19"/>
    </row>
    <row r="875" spans="2:22" ht="12.3" x14ac:dyDescent="0.4">
      <c r="B875" s="2"/>
      <c r="C875" s="2"/>
      <c r="D875" s="2"/>
      <c r="E875" s="7"/>
      <c r="F875" s="14"/>
      <c r="J875" s="2"/>
      <c r="K875" s="2"/>
      <c r="L875" s="2"/>
      <c r="V875" s="19"/>
    </row>
    <row r="876" spans="2:22" ht="12.3" x14ac:dyDescent="0.4">
      <c r="B876" s="2"/>
      <c r="C876" s="2"/>
      <c r="D876" s="2"/>
      <c r="E876" s="7"/>
      <c r="F876" s="14"/>
      <c r="J876" s="2"/>
      <c r="K876" s="2"/>
      <c r="L876" s="2"/>
      <c r="V876" s="19"/>
    </row>
    <row r="877" spans="2:22" ht="12.3" x14ac:dyDescent="0.4">
      <c r="B877" s="2"/>
      <c r="C877" s="2"/>
      <c r="D877" s="2"/>
      <c r="E877" s="7"/>
      <c r="F877" s="14"/>
      <c r="J877" s="2"/>
      <c r="K877" s="2"/>
      <c r="L877" s="2"/>
      <c r="V877" s="19"/>
    </row>
    <row r="878" spans="2:22" ht="12.3" x14ac:dyDescent="0.4">
      <c r="B878" s="2"/>
      <c r="C878" s="2"/>
      <c r="D878" s="2"/>
      <c r="E878" s="7"/>
      <c r="F878" s="14"/>
      <c r="J878" s="2"/>
      <c r="K878" s="2"/>
      <c r="L878" s="2"/>
      <c r="V878" s="19"/>
    </row>
    <row r="879" spans="2:22" ht="12.3" x14ac:dyDescent="0.4">
      <c r="B879" s="2"/>
      <c r="C879" s="2"/>
      <c r="D879" s="2"/>
      <c r="E879" s="7"/>
      <c r="F879" s="14"/>
      <c r="J879" s="2"/>
      <c r="K879" s="2"/>
      <c r="L879" s="2"/>
      <c r="V879" s="19"/>
    </row>
    <row r="880" spans="2:22" ht="12.3" x14ac:dyDescent="0.4">
      <c r="B880" s="2"/>
      <c r="C880" s="2"/>
      <c r="D880" s="2"/>
      <c r="E880" s="7"/>
      <c r="F880" s="14"/>
      <c r="J880" s="2"/>
      <c r="K880" s="2"/>
      <c r="L880" s="2"/>
      <c r="V880" s="19"/>
    </row>
    <row r="881" spans="2:22" ht="12.3" x14ac:dyDescent="0.4">
      <c r="B881" s="2"/>
      <c r="C881" s="2"/>
      <c r="D881" s="2"/>
      <c r="E881" s="7"/>
      <c r="F881" s="14"/>
      <c r="J881" s="2"/>
      <c r="K881" s="2"/>
      <c r="L881" s="2"/>
      <c r="V881" s="19"/>
    </row>
    <row r="882" spans="2:22" ht="12.3" x14ac:dyDescent="0.4">
      <c r="B882" s="2"/>
      <c r="C882" s="2"/>
      <c r="D882" s="2"/>
      <c r="E882" s="7"/>
      <c r="F882" s="14"/>
      <c r="J882" s="2"/>
      <c r="K882" s="2"/>
      <c r="L882" s="2"/>
      <c r="V882" s="19"/>
    </row>
    <row r="883" spans="2:22" ht="12.3" x14ac:dyDescent="0.4">
      <c r="B883" s="2"/>
      <c r="C883" s="2"/>
      <c r="D883" s="2"/>
      <c r="E883" s="7"/>
      <c r="F883" s="14"/>
      <c r="J883" s="2"/>
      <c r="K883" s="2"/>
      <c r="L883" s="2"/>
      <c r="V883" s="19"/>
    </row>
    <row r="884" spans="2:22" ht="12.3" x14ac:dyDescent="0.4">
      <c r="B884" s="2"/>
      <c r="C884" s="2"/>
      <c r="D884" s="2"/>
      <c r="E884" s="7"/>
      <c r="F884" s="14"/>
      <c r="J884" s="2"/>
      <c r="K884" s="2"/>
      <c r="L884" s="2"/>
      <c r="V884" s="19"/>
    </row>
    <row r="885" spans="2:22" ht="12.3" x14ac:dyDescent="0.4">
      <c r="B885" s="2"/>
      <c r="C885" s="2"/>
      <c r="D885" s="2"/>
      <c r="E885" s="7"/>
      <c r="F885" s="14"/>
      <c r="J885" s="2"/>
      <c r="K885" s="2"/>
      <c r="L885" s="2"/>
      <c r="V885" s="19"/>
    </row>
    <row r="886" spans="2:22" ht="12.3" x14ac:dyDescent="0.4">
      <c r="B886" s="2"/>
      <c r="C886" s="2"/>
      <c r="D886" s="2"/>
      <c r="E886" s="7"/>
      <c r="F886" s="14"/>
      <c r="J886" s="2"/>
      <c r="K886" s="2"/>
      <c r="L886" s="2"/>
      <c r="V886" s="19"/>
    </row>
    <row r="887" spans="2:22" ht="12.3" x14ac:dyDescent="0.4">
      <c r="B887" s="2"/>
      <c r="C887" s="2"/>
      <c r="D887" s="2"/>
      <c r="E887" s="7"/>
      <c r="F887" s="14"/>
      <c r="J887" s="2"/>
      <c r="K887" s="2"/>
      <c r="L887" s="2"/>
      <c r="V887" s="19"/>
    </row>
    <row r="888" spans="2:22" ht="12.3" x14ac:dyDescent="0.4">
      <c r="B888" s="2"/>
      <c r="C888" s="2"/>
      <c r="D888" s="2"/>
      <c r="E888" s="7"/>
      <c r="F888" s="14"/>
      <c r="J888" s="2"/>
      <c r="K888" s="2"/>
      <c r="L888" s="2"/>
      <c r="V888" s="19"/>
    </row>
    <row r="889" spans="2:22" ht="12.3" x14ac:dyDescent="0.4">
      <c r="B889" s="2"/>
      <c r="C889" s="2"/>
      <c r="D889" s="2"/>
      <c r="E889" s="7"/>
      <c r="F889" s="14"/>
      <c r="J889" s="2"/>
      <c r="K889" s="2"/>
      <c r="L889" s="2"/>
      <c r="V889" s="19"/>
    </row>
    <row r="890" spans="2:22" ht="12.3" x14ac:dyDescent="0.4">
      <c r="B890" s="2"/>
      <c r="C890" s="2"/>
      <c r="D890" s="2"/>
      <c r="E890" s="7"/>
      <c r="F890" s="14"/>
      <c r="J890" s="2"/>
      <c r="K890" s="2"/>
      <c r="L890" s="2"/>
      <c r="V890" s="19"/>
    </row>
    <row r="891" spans="2:22" ht="12.3" x14ac:dyDescent="0.4">
      <c r="B891" s="2"/>
      <c r="C891" s="2"/>
      <c r="D891" s="2"/>
      <c r="E891" s="7"/>
      <c r="F891" s="14"/>
      <c r="J891" s="2"/>
      <c r="K891" s="2"/>
      <c r="L891" s="2"/>
      <c r="V891" s="19"/>
    </row>
    <row r="892" spans="2:22" ht="12.3" x14ac:dyDescent="0.4">
      <c r="B892" s="2"/>
      <c r="C892" s="2"/>
      <c r="D892" s="2"/>
      <c r="E892" s="7"/>
      <c r="F892" s="14"/>
      <c r="J892" s="2"/>
      <c r="K892" s="2"/>
      <c r="L892" s="2"/>
      <c r="V892" s="19"/>
    </row>
    <row r="893" spans="2:22" ht="12.3" x14ac:dyDescent="0.4">
      <c r="B893" s="2"/>
      <c r="C893" s="2"/>
      <c r="D893" s="2"/>
      <c r="E893" s="7"/>
      <c r="F893" s="14"/>
      <c r="J893" s="2"/>
      <c r="K893" s="2"/>
      <c r="L893" s="2"/>
      <c r="V893" s="19"/>
    </row>
    <row r="894" spans="2:22" ht="12.3" x14ac:dyDescent="0.4">
      <c r="B894" s="2"/>
      <c r="C894" s="2"/>
      <c r="D894" s="2"/>
      <c r="E894" s="7"/>
      <c r="F894" s="14"/>
      <c r="J894" s="2"/>
      <c r="K894" s="2"/>
      <c r="L894" s="2"/>
      <c r="V894" s="19"/>
    </row>
    <row r="895" spans="2:22" ht="12.3" x14ac:dyDescent="0.4">
      <c r="B895" s="2"/>
      <c r="C895" s="2"/>
      <c r="D895" s="2"/>
      <c r="E895" s="7"/>
      <c r="F895" s="14"/>
      <c r="J895" s="2"/>
      <c r="K895" s="2"/>
      <c r="L895" s="2"/>
      <c r="V895" s="19"/>
    </row>
    <row r="896" spans="2:22" ht="12.3" x14ac:dyDescent="0.4">
      <c r="B896" s="2"/>
      <c r="C896" s="2"/>
      <c r="D896" s="2"/>
      <c r="E896" s="7"/>
      <c r="F896" s="14"/>
      <c r="J896" s="2"/>
      <c r="K896" s="2"/>
      <c r="L896" s="2"/>
      <c r="V896" s="19"/>
    </row>
    <row r="897" spans="2:22" ht="12.3" x14ac:dyDescent="0.4">
      <c r="B897" s="2"/>
      <c r="C897" s="2"/>
      <c r="D897" s="2"/>
      <c r="E897" s="7"/>
      <c r="F897" s="14"/>
      <c r="J897" s="2"/>
      <c r="K897" s="2"/>
      <c r="L897" s="2"/>
      <c r="V897" s="19"/>
    </row>
    <row r="898" spans="2:22" ht="12.3" x14ac:dyDescent="0.4">
      <c r="B898" s="2"/>
      <c r="C898" s="2"/>
      <c r="D898" s="2"/>
      <c r="E898" s="7"/>
      <c r="F898" s="14"/>
      <c r="J898" s="2"/>
      <c r="K898" s="2"/>
      <c r="L898" s="2"/>
      <c r="V898" s="19"/>
    </row>
    <row r="899" spans="2:22" ht="12.3" x14ac:dyDescent="0.4">
      <c r="B899" s="2"/>
      <c r="C899" s="2"/>
      <c r="D899" s="2"/>
      <c r="E899" s="7"/>
      <c r="F899" s="14"/>
      <c r="J899" s="2"/>
      <c r="K899" s="2"/>
      <c r="L899" s="2"/>
      <c r="V899" s="19"/>
    </row>
    <row r="900" spans="2:22" ht="12.3" x14ac:dyDescent="0.4">
      <c r="B900" s="2"/>
      <c r="C900" s="2"/>
      <c r="D900" s="2"/>
      <c r="E900" s="7"/>
      <c r="F900" s="14"/>
      <c r="J900" s="2"/>
      <c r="K900" s="2"/>
      <c r="L900" s="2"/>
      <c r="V900" s="19"/>
    </row>
    <row r="901" spans="2:22" ht="12.3" x14ac:dyDescent="0.4">
      <c r="B901" s="2"/>
      <c r="C901" s="2"/>
      <c r="D901" s="2"/>
      <c r="E901" s="7"/>
      <c r="F901" s="14"/>
      <c r="J901" s="2"/>
      <c r="K901" s="2"/>
      <c r="L901" s="2"/>
      <c r="V901" s="19"/>
    </row>
    <row r="902" spans="2:22" ht="12.3" x14ac:dyDescent="0.4">
      <c r="B902" s="2"/>
      <c r="C902" s="2"/>
      <c r="D902" s="2"/>
      <c r="E902" s="7"/>
      <c r="F902" s="14"/>
      <c r="J902" s="2"/>
      <c r="K902" s="2"/>
      <c r="L902" s="2"/>
      <c r="V902" s="19"/>
    </row>
    <row r="903" spans="2:22" ht="12.3" x14ac:dyDescent="0.4">
      <c r="B903" s="2"/>
      <c r="C903" s="2"/>
      <c r="D903" s="2"/>
      <c r="E903" s="7"/>
      <c r="F903" s="14"/>
      <c r="J903" s="2"/>
      <c r="K903" s="2"/>
      <c r="L903" s="2"/>
      <c r="V903" s="19"/>
    </row>
    <row r="904" spans="2:22" ht="12.3" x14ac:dyDescent="0.4">
      <c r="B904" s="2"/>
      <c r="C904" s="2"/>
      <c r="D904" s="2"/>
      <c r="E904" s="7"/>
      <c r="F904" s="14"/>
      <c r="J904" s="2"/>
      <c r="K904" s="2"/>
      <c r="L904" s="2"/>
      <c r="V904" s="19"/>
    </row>
    <row r="905" spans="2:22" ht="12.3" x14ac:dyDescent="0.4">
      <c r="B905" s="2"/>
      <c r="C905" s="2"/>
      <c r="D905" s="2"/>
      <c r="E905" s="7"/>
      <c r="F905" s="14"/>
      <c r="J905" s="2"/>
      <c r="K905" s="2"/>
      <c r="L905" s="2"/>
      <c r="V905" s="19"/>
    </row>
    <row r="906" spans="2:22" ht="12.3" x14ac:dyDescent="0.4">
      <c r="B906" s="2"/>
      <c r="C906" s="2"/>
      <c r="D906" s="2"/>
      <c r="E906" s="7"/>
      <c r="F906" s="14"/>
      <c r="J906" s="2"/>
      <c r="K906" s="2"/>
      <c r="L906" s="2"/>
      <c r="V906" s="19"/>
    </row>
    <row r="907" spans="2:22" ht="12.3" x14ac:dyDescent="0.4">
      <c r="B907" s="2"/>
      <c r="C907" s="2"/>
      <c r="D907" s="2"/>
      <c r="E907" s="7"/>
      <c r="F907" s="14"/>
      <c r="J907" s="2"/>
      <c r="K907" s="2"/>
      <c r="L907" s="2"/>
      <c r="V907" s="19"/>
    </row>
    <row r="908" spans="2:22" ht="12.3" x14ac:dyDescent="0.4">
      <c r="B908" s="2"/>
      <c r="C908" s="2"/>
      <c r="D908" s="2"/>
      <c r="E908" s="7"/>
      <c r="F908" s="14"/>
      <c r="J908" s="2"/>
      <c r="K908" s="2"/>
      <c r="L908" s="2"/>
      <c r="V908" s="19"/>
    </row>
    <row r="909" spans="2:22" ht="12.3" x14ac:dyDescent="0.4">
      <c r="B909" s="2"/>
      <c r="C909" s="2"/>
      <c r="D909" s="2"/>
      <c r="E909" s="7"/>
      <c r="F909" s="14"/>
      <c r="J909" s="2"/>
      <c r="K909" s="2"/>
      <c r="L909" s="2"/>
      <c r="V909" s="19"/>
    </row>
    <row r="910" spans="2:22" ht="12.3" x14ac:dyDescent="0.4">
      <c r="B910" s="2"/>
      <c r="C910" s="2"/>
      <c r="D910" s="2"/>
      <c r="E910" s="7"/>
      <c r="F910" s="14"/>
      <c r="J910" s="2"/>
      <c r="K910" s="2"/>
      <c r="L910" s="2"/>
      <c r="V910" s="19"/>
    </row>
    <row r="911" spans="2:22" ht="12.3" x14ac:dyDescent="0.4">
      <c r="B911" s="2"/>
      <c r="C911" s="2"/>
      <c r="D911" s="2"/>
      <c r="E911" s="7"/>
      <c r="F911" s="14"/>
      <c r="J911" s="2"/>
      <c r="K911" s="2"/>
      <c r="L911" s="2"/>
      <c r="V911" s="19"/>
    </row>
    <row r="912" spans="2:22" ht="12.3" x14ac:dyDescent="0.4">
      <c r="B912" s="2"/>
      <c r="C912" s="2"/>
      <c r="D912" s="2"/>
      <c r="E912" s="7"/>
      <c r="F912" s="14"/>
      <c r="J912" s="2"/>
      <c r="K912" s="2"/>
      <c r="L912" s="2"/>
      <c r="V912" s="19"/>
    </row>
    <row r="913" spans="2:22" ht="12.3" x14ac:dyDescent="0.4">
      <c r="B913" s="2"/>
      <c r="C913" s="2"/>
      <c r="D913" s="2"/>
      <c r="E913" s="7"/>
      <c r="F913" s="14"/>
      <c r="J913" s="2"/>
      <c r="K913" s="2"/>
      <c r="L913" s="2"/>
      <c r="V913" s="19"/>
    </row>
    <row r="914" spans="2:22" ht="12.3" x14ac:dyDescent="0.4">
      <c r="B914" s="2"/>
      <c r="C914" s="2"/>
      <c r="D914" s="2"/>
      <c r="E914" s="7"/>
      <c r="F914" s="14"/>
      <c r="J914" s="2"/>
      <c r="K914" s="2"/>
      <c r="L914" s="2"/>
      <c r="V914" s="19"/>
    </row>
    <row r="915" spans="2:22" ht="12.3" x14ac:dyDescent="0.4">
      <c r="B915" s="2"/>
      <c r="C915" s="2"/>
      <c r="D915" s="2"/>
      <c r="E915" s="7"/>
      <c r="F915" s="14"/>
      <c r="J915" s="2"/>
      <c r="K915" s="2"/>
      <c r="L915" s="2"/>
      <c r="V915" s="19"/>
    </row>
    <row r="916" spans="2:22" ht="12.3" x14ac:dyDescent="0.4">
      <c r="B916" s="2"/>
      <c r="C916" s="2"/>
      <c r="D916" s="2"/>
      <c r="E916" s="7"/>
      <c r="F916" s="14"/>
      <c r="J916" s="2"/>
      <c r="K916" s="2"/>
      <c r="L916" s="2"/>
      <c r="V916" s="19"/>
    </row>
    <row r="917" spans="2:22" ht="12.3" x14ac:dyDescent="0.4">
      <c r="B917" s="2"/>
      <c r="C917" s="2"/>
      <c r="D917" s="2"/>
      <c r="E917" s="7"/>
      <c r="F917" s="14"/>
      <c r="J917" s="2"/>
      <c r="K917" s="2"/>
      <c r="L917" s="2"/>
      <c r="V917" s="19"/>
    </row>
    <row r="918" spans="2:22" ht="12.3" x14ac:dyDescent="0.4">
      <c r="B918" s="2"/>
      <c r="C918" s="2"/>
      <c r="D918" s="2"/>
      <c r="E918" s="7"/>
      <c r="F918" s="14"/>
      <c r="J918" s="2"/>
      <c r="K918" s="2"/>
      <c r="L918" s="2"/>
      <c r="V918" s="19"/>
    </row>
    <row r="919" spans="2:22" ht="12.3" x14ac:dyDescent="0.4">
      <c r="B919" s="2"/>
      <c r="C919" s="2"/>
      <c r="D919" s="2"/>
      <c r="E919" s="7"/>
      <c r="F919" s="14"/>
      <c r="J919" s="2"/>
      <c r="K919" s="2"/>
      <c r="L919" s="2"/>
      <c r="V919" s="19"/>
    </row>
    <row r="920" spans="2:22" ht="12.3" x14ac:dyDescent="0.4">
      <c r="B920" s="2"/>
      <c r="C920" s="2"/>
      <c r="D920" s="2"/>
      <c r="E920" s="7"/>
      <c r="F920" s="14"/>
      <c r="J920" s="2"/>
      <c r="K920" s="2"/>
      <c r="L920" s="2"/>
      <c r="V920" s="19"/>
    </row>
    <row r="921" spans="2:22" ht="12.3" x14ac:dyDescent="0.4">
      <c r="B921" s="2"/>
      <c r="C921" s="2"/>
      <c r="D921" s="2"/>
      <c r="E921" s="7"/>
      <c r="F921" s="14"/>
      <c r="J921" s="2"/>
      <c r="K921" s="2"/>
      <c r="L921" s="2"/>
      <c r="V921" s="19"/>
    </row>
    <row r="922" spans="2:22" ht="12.3" x14ac:dyDescent="0.4">
      <c r="B922" s="2"/>
      <c r="C922" s="2"/>
      <c r="D922" s="2"/>
      <c r="E922" s="7"/>
      <c r="F922" s="14"/>
      <c r="J922" s="2"/>
      <c r="K922" s="2"/>
      <c r="L922" s="2"/>
      <c r="V922" s="19"/>
    </row>
    <row r="923" spans="2:22" ht="12.3" x14ac:dyDescent="0.4">
      <c r="B923" s="2"/>
      <c r="C923" s="2"/>
      <c r="D923" s="2"/>
      <c r="E923" s="7"/>
      <c r="F923" s="14"/>
      <c r="J923" s="2"/>
      <c r="K923" s="2"/>
      <c r="L923" s="2"/>
      <c r="V923" s="19"/>
    </row>
    <row r="924" spans="2:22" ht="12.3" x14ac:dyDescent="0.4">
      <c r="B924" s="2"/>
      <c r="C924" s="2"/>
      <c r="D924" s="2"/>
      <c r="E924" s="7"/>
      <c r="F924" s="14"/>
      <c r="J924" s="2"/>
      <c r="K924" s="2"/>
      <c r="L924" s="2"/>
      <c r="V924" s="19"/>
    </row>
    <row r="925" spans="2:22" ht="12.3" x14ac:dyDescent="0.4">
      <c r="B925" s="2"/>
      <c r="C925" s="2"/>
      <c r="D925" s="2"/>
      <c r="E925" s="7"/>
      <c r="F925" s="14"/>
      <c r="J925" s="2"/>
      <c r="K925" s="2"/>
      <c r="L925" s="2"/>
      <c r="V925" s="19"/>
    </row>
    <row r="926" spans="2:22" ht="12.3" x14ac:dyDescent="0.4">
      <c r="B926" s="2"/>
      <c r="C926" s="2"/>
      <c r="D926" s="2"/>
      <c r="E926" s="7"/>
      <c r="F926" s="14"/>
      <c r="J926" s="2"/>
      <c r="K926" s="2"/>
      <c r="L926" s="2"/>
      <c r="V926" s="19"/>
    </row>
    <row r="927" spans="2:22" ht="12.3" x14ac:dyDescent="0.4">
      <c r="B927" s="2"/>
      <c r="C927" s="2"/>
      <c r="D927" s="2"/>
      <c r="E927" s="7"/>
      <c r="F927" s="14"/>
      <c r="J927" s="2"/>
      <c r="K927" s="2"/>
      <c r="L927" s="2"/>
      <c r="V927" s="19"/>
    </row>
    <row r="928" spans="2:22" ht="12.3" x14ac:dyDescent="0.4">
      <c r="B928" s="2"/>
      <c r="C928" s="2"/>
      <c r="D928" s="2"/>
      <c r="E928" s="7"/>
      <c r="F928" s="14"/>
      <c r="J928" s="2"/>
      <c r="K928" s="2"/>
      <c r="L928" s="2"/>
      <c r="V928" s="19"/>
    </row>
    <row r="929" spans="2:22" ht="12.3" x14ac:dyDescent="0.4">
      <c r="B929" s="2"/>
      <c r="C929" s="2"/>
      <c r="D929" s="2"/>
      <c r="E929" s="7"/>
      <c r="F929" s="14"/>
      <c r="J929" s="2"/>
      <c r="K929" s="2"/>
      <c r="L929" s="2"/>
      <c r="V929" s="19"/>
    </row>
    <row r="930" spans="2:22" ht="12.3" x14ac:dyDescent="0.4">
      <c r="B930" s="2"/>
      <c r="C930" s="2"/>
      <c r="D930" s="2"/>
      <c r="E930" s="7"/>
      <c r="F930" s="14"/>
      <c r="J930" s="2"/>
      <c r="K930" s="2"/>
      <c r="L930" s="2"/>
      <c r="V930" s="19"/>
    </row>
    <row r="931" spans="2:22" ht="12.3" x14ac:dyDescent="0.4">
      <c r="B931" s="2"/>
      <c r="C931" s="2"/>
      <c r="D931" s="2"/>
      <c r="E931" s="7"/>
      <c r="F931" s="14"/>
      <c r="J931" s="2"/>
      <c r="K931" s="2"/>
      <c r="L931" s="2"/>
      <c r="V931" s="19"/>
    </row>
    <row r="932" spans="2:22" ht="12.3" x14ac:dyDescent="0.4">
      <c r="B932" s="2"/>
      <c r="C932" s="2"/>
      <c r="D932" s="2"/>
      <c r="E932" s="7"/>
      <c r="F932" s="14"/>
      <c r="J932" s="2"/>
      <c r="K932" s="2"/>
      <c r="L932" s="2"/>
      <c r="V932" s="19"/>
    </row>
    <row r="933" spans="2:22" ht="12.3" x14ac:dyDescent="0.4">
      <c r="B933" s="2"/>
      <c r="C933" s="2"/>
      <c r="D933" s="2"/>
      <c r="E933" s="7"/>
      <c r="F933" s="14"/>
      <c r="J933" s="2"/>
      <c r="K933" s="2"/>
      <c r="L933" s="2"/>
      <c r="V933" s="19"/>
    </row>
    <row r="934" spans="2:22" ht="12.3" x14ac:dyDescent="0.4">
      <c r="B934" s="2"/>
      <c r="C934" s="2"/>
      <c r="D934" s="2"/>
      <c r="E934" s="7"/>
      <c r="F934" s="14"/>
      <c r="J934" s="2"/>
      <c r="K934" s="2"/>
      <c r="L934" s="2"/>
      <c r="V934" s="19"/>
    </row>
    <row r="935" spans="2:22" ht="12.3" x14ac:dyDescent="0.4">
      <c r="B935" s="2"/>
      <c r="C935" s="2"/>
      <c r="D935" s="2"/>
      <c r="E935" s="7"/>
      <c r="F935" s="14"/>
      <c r="J935" s="2"/>
      <c r="K935" s="2"/>
      <c r="L935" s="2"/>
      <c r="V935" s="19"/>
    </row>
    <row r="936" spans="2:22" ht="12.3" x14ac:dyDescent="0.4">
      <c r="B936" s="2"/>
      <c r="C936" s="2"/>
      <c r="D936" s="2"/>
      <c r="E936" s="7"/>
      <c r="F936" s="14"/>
      <c r="J936" s="2"/>
      <c r="K936" s="2"/>
      <c r="L936" s="2"/>
      <c r="V936" s="19"/>
    </row>
    <row r="937" spans="2:22" ht="12.3" x14ac:dyDescent="0.4">
      <c r="B937" s="2"/>
      <c r="C937" s="2"/>
      <c r="D937" s="2"/>
      <c r="E937" s="7"/>
      <c r="F937" s="14"/>
      <c r="J937" s="2"/>
      <c r="K937" s="2"/>
      <c r="L937" s="2"/>
      <c r="V937" s="19"/>
    </row>
    <row r="938" spans="2:22" ht="12.3" x14ac:dyDescent="0.4">
      <c r="B938" s="2"/>
      <c r="C938" s="2"/>
      <c r="D938" s="2"/>
      <c r="E938" s="7"/>
      <c r="F938" s="14"/>
      <c r="J938" s="2"/>
      <c r="K938" s="2"/>
      <c r="L938" s="2"/>
      <c r="V938" s="19"/>
    </row>
    <row r="939" spans="2:22" ht="12.3" x14ac:dyDescent="0.4">
      <c r="B939" s="2"/>
      <c r="C939" s="2"/>
      <c r="D939" s="2"/>
      <c r="E939" s="7"/>
      <c r="F939" s="14"/>
      <c r="J939" s="2"/>
      <c r="K939" s="2"/>
      <c r="L939" s="2"/>
      <c r="V939" s="19"/>
    </row>
    <row r="940" spans="2:22" ht="12.3" x14ac:dyDescent="0.4">
      <c r="B940" s="2"/>
      <c r="C940" s="2"/>
      <c r="D940" s="2"/>
      <c r="E940" s="7"/>
      <c r="F940" s="14"/>
      <c r="J940" s="2"/>
      <c r="K940" s="2"/>
      <c r="L940" s="2"/>
      <c r="V940" s="19"/>
    </row>
    <row r="941" spans="2:22" ht="12.3" x14ac:dyDescent="0.4">
      <c r="B941" s="2"/>
      <c r="C941" s="2"/>
      <c r="D941" s="2"/>
      <c r="E941" s="7"/>
      <c r="F941" s="14"/>
      <c r="J941" s="2"/>
      <c r="K941" s="2"/>
      <c r="L941" s="2"/>
      <c r="V941" s="19"/>
    </row>
    <row r="942" spans="2:22" ht="12.3" x14ac:dyDescent="0.4">
      <c r="B942" s="2"/>
      <c r="C942" s="2"/>
      <c r="D942" s="2"/>
      <c r="E942" s="7"/>
      <c r="F942" s="14"/>
      <c r="J942" s="2"/>
      <c r="K942" s="2"/>
      <c r="L942" s="2"/>
      <c r="V942" s="19"/>
    </row>
    <row r="943" spans="2:22" ht="12.3" x14ac:dyDescent="0.4">
      <c r="B943" s="2"/>
      <c r="C943" s="2"/>
      <c r="D943" s="2"/>
      <c r="E943" s="7"/>
      <c r="F943" s="14"/>
      <c r="J943" s="2"/>
      <c r="K943" s="2"/>
      <c r="L943" s="2"/>
      <c r="V943" s="19"/>
    </row>
    <row r="944" spans="2:22" ht="12.3" x14ac:dyDescent="0.4">
      <c r="B944" s="2"/>
      <c r="C944" s="2"/>
      <c r="D944" s="2"/>
      <c r="E944" s="7"/>
      <c r="F944" s="14"/>
      <c r="J944" s="2"/>
      <c r="K944" s="2"/>
      <c r="L944" s="2"/>
      <c r="V944" s="19"/>
    </row>
    <row r="945" spans="2:22" ht="12.3" x14ac:dyDescent="0.4">
      <c r="B945" s="2"/>
      <c r="C945" s="2"/>
      <c r="D945" s="2"/>
      <c r="E945" s="7"/>
      <c r="F945" s="14"/>
      <c r="J945" s="2"/>
      <c r="K945" s="2"/>
      <c r="L945" s="2"/>
      <c r="V945" s="19"/>
    </row>
    <row r="946" spans="2:22" ht="12.3" x14ac:dyDescent="0.4">
      <c r="B946" s="2"/>
      <c r="C946" s="2"/>
      <c r="D946" s="2"/>
      <c r="E946" s="7"/>
      <c r="F946" s="14"/>
      <c r="J946" s="2"/>
      <c r="K946" s="2"/>
      <c r="L946" s="2"/>
      <c r="V946" s="19"/>
    </row>
    <row r="947" spans="2:22" ht="12.3" x14ac:dyDescent="0.4">
      <c r="B947" s="2"/>
      <c r="C947" s="2"/>
      <c r="D947" s="2"/>
      <c r="E947" s="7"/>
      <c r="F947" s="14"/>
      <c r="J947" s="2"/>
      <c r="K947" s="2"/>
      <c r="L947" s="2"/>
      <c r="V947" s="19"/>
    </row>
    <row r="948" spans="2:22" ht="12.3" x14ac:dyDescent="0.4">
      <c r="B948" s="2"/>
      <c r="C948" s="2"/>
      <c r="D948" s="2"/>
      <c r="E948" s="7"/>
      <c r="F948" s="14"/>
      <c r="J948" s="2"/>
      <c r="K948" s="2"/>
      <c r="L948" s="2"/>
      <c r="V948" s="19"/>
    </row>
    <row r="949" spans="2:22" ht="12.3" x14ac:dyDescent="0.4">
      <c r="B949" s="2"/>
      <c r="C949" s="2"/>
      <c r="D949" s="2"/>
      <c r="E949" s="7"/>
      <c r="F949" s="14"/>
      <c r="J949" s="2"/>
      <c r="K949" s="2"/>
      <c r="L949" s="2"/>
      <c r="V949" s="19"/>
    </row>
    <row r="950" spans="2:22" ht="12.3" x14ac:dyDescent="0.4">
      <c r="B950" s="2"/>
      <c r="C950" s="2"/>
      <c r="D950" s="2"/>
      <c r="E950" s="7"/>
      <c r="F950" s="14"/>
      <c r="J950" s="2"/>
      <c r="K950" s="2"/>
      <c r="L950" s="2"/>
      <c r="V950" s="19"/>
    </row>
    <row r="951" spans="2:22" ht="12.3" x14ac:dyDescent="0.4">
      <c r="B951" s="2"/>
      <c r="C951" s="2"/>
      <c r="D951" s="2"/>
      <c r="E951" s="7"/>
      <c r="F951" s="14"/>
      <c r="J951" s="2"/>
      <c r="K951" s="2"/>
      <c r="L951" s="2"/>
      <c r="V951" s="19"/>
    </row>
    <row r="952" spans="2:22" ht="12.3" x14ac:dyDescent="0.4">
      <c r="B952" s="2"/>
      <c r="C952" s="2"/>
      <c r="D952" s="2"/>
      <c r="E952" s="7"/>
      <c r="F952" s="14"/>
      <c r="J952" s="2"/>
      <c r="K952" s="2"/>
      <c r="L952" s="2"/>
      <c r="V952" s="19"/>
    </row>
    <row r="953" spans="2:22" ht="12.3" x14ac:dyDescent="0.4">
      <c r="B953" s="2"/>
      <c r="C953" s="2"/>
      <c r="D953" s="2"/>
      <c r="E953" s="7"/>
      <c r="F953" s="14"/>
      <c r="J953" s="2"/>
      <c r="K953" s="2"/>
      <c r="L953" s="2"/>
      <c r="V953" s="19"/>
    </row>
    <row r="954" spans="2:22" ht="12.3" x14ac:dyDescent="0.4">
      <c r="B954" s="2"/>
      <c r="C954" s="2"/>
      <c r="D954" s="2"/>
      <c r="E954" s="7"/>
      <c r="F954" s="14"/>
      <c r="J954" s="2"/>
      <c r="K954" s="2"/>
      <c r="L954" s="2"/>
      <c r="V954" s="19"/>
    </row>
    <row r="955" spans="2:22" ht="12.3" x14ac:dyDescent="0.4">
      <c r="B955" s="2"/>
      <c r="C955" s="2"/>
      <c r="D955" s="2"/>
      <c r="E955" s="7"/>
      <c r="F955" s="14"/>
      <c r="J955" s="2"/>
      <c r="K955" s="2"/>
      <c r="L955" s="2"/>
      <c r="V955" s="19"/>
    </row>
    <row r="956" spans="2:22" ht="12.3" x14ac:dyDescent="0.4">
      <c r="B956" s="2"/>
      <c r="C956" s="2"/>
      <c r="D956" s="2"/>
      <c r="E956" s="7"/>
      <c r="F956" s="14"/>
      <c r="J956" s="2"/>
      <c r="K956" s="2"/>
      <c r="L956" s="2"/>
      <c r="V956" s="19"/>
    </row>
    <row r="957" spans="2:22" ht="12.3" x14ac:dyDescent="0.4">
      <c r="B957" s="2"/>
      <c r="C957" s="2"/>
      <c r="D957" s="2"/>
      <c r="E957" s="7"/>
      <c r="F957" s="14"/>
      <c r="J957" s="2"/>
      <c r="K957" s="2"/>
      <c r="L957" s="2"/>
      <c r="V957" s="19"/>
    </row>
    <row r="958" spans="2:22" ht="12.3" x14ac:dyDescent="0.4">
      <c r="B958" s="2"/>
      <c r="C958" s="2"/>
      <c r="D958" s="2"/>
      <c r="E958" s="7"/>
      <c r="F958" s="14"/>
      <c r="J958" s="2"/>
      <c r="K958" s="2"/>
      <c r="L958" s="2"/>
      <c r="V958" s="19"/>
    </row>
    <row r="959" spans="2:22" ht="12.3" x14ac:dyDescent="0.4">
      <c r="B959" s="2"/>
      <c r="C959" s="2"/>
      <c r="D959" s="2"/>
      <c r="E959" s="7"/>
      <c r="F959" s="14"/>
      <c r="J959" s="2"/>
      <c r="K959" s="2"/>
      <c r="L959" s="2"/>
      <c r="V959" s="19"/>
    </row>
    <row r="960" spans="2:22" ht="12.3" x14ac:dyDescent="0.4">
      <c r="B960" s="2"/>
      <c r="C960" s="2"/>
      <c r="D960" s="2"/>
      <c r="E960" s="7"/>
      <c r="F960" s="14"/>
      <c r="J960" s="2"/>
      <c r="K960" s="2"/>
      <c r="L960" s="2"/>
      <c r="V960" s="19"/>
    </row>
    <row r="961" spans="2:22" ht="12.3" x14ac:dyDescent="0.4">
      <c r="B961" s="2"/>
      <c r="C961" s="2"/>
      <c r="D961" s="2"/>
      <c r="E961" s="7"/>
      <c r="F961" s="14"/>
      <c r="J961" s="2"/>
      <c r="K961" s="2"/>
      <c r="L961" s="2"/>
      <c r="V961" s="19"/>
    </row>
    <row r="962" spans="2:22" ht="12.3" x14ac:dyDescent="0.4">
      <c r="B962" s="2"/>
      <c r="C962" s="2"/>
      <c r="D962" s="2"/>
      <c r="E962" s="7"/>
      <c r="F962" s="14"/>
      <c r="J962" s="2"/>
      <c r="K962" s="2"/>
      <c r="L962" s="2"/>
      <c r="V962" s="19"/>
    </row>
    <row r="963" spans="2:22" ht="12.3" x14ac:dyDescent="0.4">
      <c r="B963" s="2"/>
      <c r="C963" s="2"/>
      <c r="D963" s="2"/>
      <c r="E963" s="7"/>
      <c r="F963" s="14"/>
      <c r="J963" s="2"/>
      <c r="K963" s="2"/>
      <c r="L963" s="2"/>
      <c r="V963" s="19"/>
    </row>
    <row r="964" spans="2:22" ht="12.3" x14ac:dyDescent="0.4">
      <c r="B964" s="2"/>
      <c r="C964" s="2"/>
      <c r="D964" s="2"/>
      <c r="E964" s="7"/>
      <c r="F964" s="14"/>
      <c r="J964" s="2"/>
      <c r="K964" s="2"/>
      <c r="L964" s="2"/>
      <c r="V964" s="19"/>
    </row>
    <row r="965" spans="2:22" ht="12.3" x14ac:dyDescent="0.4">
      <c r="B965" s="2"/>
      <c r="C965" s="2"/>
      <c r="D965" s="2"/>
      <c r="E965" s="7"/>
      <c r="F965" s="14"/>
      <c r="J965" s="2"/>
      <c r="K965" s="2"/>
      <c r="L965" s="2"/>
      <c r="V965" s="19"/>
    </row>
    <row r="966" spans="2:22" ht="12.3" x14ac:dyDescent="0.4">
      <c r="B966" s="2"/>
      <c r="C966" s="2"/>
      <c r="D966" s="2"/>
      <c r="E966" s="7"/>
      <c r="F966" s="14"/>
      <c r="J966" s="2"/>
      <c r="K966" s="2"/>
      <c r="L966" s="2"/>
      <c r="V966" s="19"/>
    </row>
    <row r="967" spans="2:22" ht="12.3" x14ac:dyDescent="0.4">
      <c r="B967" s="2"/>
      <c r="C967" s="2"/>
      <c r="D967" s="2"/>
      <c r="E967" s="7"/>
      <c r="F967" s="14"/>
      <c r="J967" s="2"/>
      <c r="K967" s="2"/>
      <c r="L967" s="2"/>
      <c r="V967" s="19"/>
    </row>
    <row r="968" spans="2:22" ht="12.3" x14ac:dyDescent="0.4">
      <c r="B968" s="2"/>
      <c r="C968" s="2"/>
      <c r="D968" s="2"/>
      <c r="E968" s="7"/>
      <c r="F968" s="14"/>
      <c r="J968" s="2"/>
      <c r="K968" s="2"/>
      <c r="L968" s="2"/>
      <c r="V968" s="19"/>
    </row>
    <row r="969" spans="2:22" ht="12.3" x14ac:dyDescent="0.4">
      <c r="B969" s="2"/>
      <c r="C969" s="2"/>
      <c r="D969" s="2"/>
      <c r="E969" s="7"/>
      <c r="F969" s="14"/>
      <c r="J969" s="2"/>
      <c r="K969" s="2"/>
      <c r="L969" s="2"/>
      <c r="V969" s="19"/>
    </row>
    <row r="970" spans="2:22" ht="12.3" x14ac:dyDescent="0.4">
      <c r="B970" s="2"/>
      <c r="C970" s="2"/>
      <c r="D970" s="2"/>
      <c r="E970" s="7"/>
      <c r="F970" s="14"/>
      <c r="J970" s="2"/>
      <c r="K970" s="2"/>
      <c r="L970" s="2"/>
      <c r="V970" s="19"/>
    </row>
    <row r="971" spans="2:22" ht="12.3" x14ac:dyDescent="0.4">
      <c r="B971" s="2"/>
      <c r="C971" s="2"/>
      <c r="D971" s="2"/>
      <c r="E971" s="7"/>
      <c r="F971" s="14"/>
      <c r="J971" s="2"/>
      <c r="K971" s="2"/>
      <c r="L971" s="2"/>
      <c r="V971" s="19"/>
    </row>
    <row r="972" spans="2:22" ht="12.3" x14ac:dyDescent="0.4">
      <c r="B972" s="2"/>
      <c r="C972" s="2"/>
      <c r="D972" s="2"/>
      <c r="E972" s="7"/>
      <c r="F972" s="14"/>
      <c r="J972" s="2"/>
      <c r="K972" s="2"/>
      <c r="L972" s="2"/>
      <c r="V972" s="19"/>
    </row>
    <row r="973" spans="2:22" ht="12.3" x14ac:dyDescent="0.4">
      <c r="B973" s="2"/>
      <c r="C973" s="2"/>
      <c r="D973" s="2"/>
      <c r="E973" s="7"/>
      <c r="F973" s="14"/>
      <c r="J973" s="2"/>
      <c r="K973" s="2"/>
      <c r="L973" s="2"/>
      <c r="V973" s="19"/>
    </row>
    <row r="974" spans="2:22" ht="12.3" x14ac:dyDescent="0.4">
      <c r="B974" s="2"/>
      <c r="C974" s="2"/>
      <c r="D974" s="2"/>
      <c r="E974" s="7"/>
      <c r="F974" s="14"/>
      <c r="J974" s="2"/>
      <c r="K974" s="2"/>
      <c r="L974" s="2"/>
      <c r="V974" s="19"/>
    </row>
    <row r="975" spans="2:22" ht="12.3" x14ac:dyDescent="0.4">
      <c r="B975" s="2"/>
      <c r="C975" s="2"/>
      <c r="D975" s="2"/>
      <c r="E975" s="7"/>
      <c r="F975" s="14"/>
      <c r="J975" s="2"/>
      <c r="K975" s="2"/>
      <c r="L975" s="2"/>
      <c r="V975" s="19"/>
    </row>
    <row r="976" spans="2:22" ht="12.3" x14ac:dyDescent="0.4">
      <c r="B976" s="2"/>
      <c r="C976" s="2"/>
      <c r="D976" s="2"/>
      <c r="E976" s="7"/>
      <c r="F976" s="14"/>
      <c r="J976" s="2"/>
      <c r="K976" s="2"/>
      <c r="L976" s="2"/>
      <c r="V976" s="19"/>
    </row>
    <row r="977" spans="2:22" ht="12.3" x14ac:dyDescent="0.4">
      <c r="B977" s="2"/>
      <c r="C977" s="2"/>
      <c r="D977" s="2"/>
      <c r="E977" s="7"/>
      <c r="F977" s="14"/>
      <c r="J977" s="2"/>
      <c r="K977" s="2"/>
      <c r="L977" s="2"/>
      <c r="V977" s="19"/>
    </row>
    <row r="978" spans="2:22" ht="12.3" x14ac:dyDescent="0.4">
      <c r="B978" s="2"/>
      <c r="C978" s="2"/>
      <c r="D978" s="2"/>
      <c r="E978" s="7"/>
      <c r="F978" s="14"/>
      <c r="J978" s="2"/>
      <c r="K978" s="2"/>
      <c r="L978" s="2"/>
      <c r="V978" s="19"/>
    </row>
    <row r="979" spans="2:22" ht="12.3" x14ac:dyDescent="0.4">
      <c r="B979" s="2"/>
      <c r="C979" s="2"/>
      <c r="D979" s="2"/>
      <c r="E979" s="7"/>
      <c r="F979" s="14"/>
      <c r="J979" s="2"/>
      <c r="K979" s="2"/>
      <c r="L979" s="2"/>
      <c r="V979" s="19"/>
    </row>
    <row r="980" spans="2:22" ht="12.3" x14ac:dyDescent="0.4">
      <c r="B980" s="2"/>
      <c r="C980" s="2"/>
      <c r="D980" s="2"/>
      <c r="E980" s="7"/>
      <c r="F980" s="14"/>
      <c r="J980" s="2"/>
      <c r="K980" s="2"/>
      <c r="L980" s="2"/>
      <c r="V980" s="19"/>
    </row>
    <row r="981" spans="2:22" ht="12.3" x14ac:dyDescent="0.4">
      <c r="B981" s="2"/>
      <c r="C981" s="2"/>
      <c r="D981" s="2"/>
      <c r="E981" s="7"/>
      <c r="F981" s="14"/>
      <c r="J981" s="2"/>
      <c r="K981" s="2"/>
      <c r="L981" s="2"/>
      <c r="V981" s="19"/>
    </row>
    <row r="982" spans="2:22" ht="12.3" x14ac:dyDescent="0.4">
      <c r="B982" s="2"/>
      <c r="C982" s="2"/>
      <c r="D982" s="2"/>
      <c r="E982" s="7"/>
      <c r="F982" s="14"/>
      <c r="J982" s="2"/>
      <c r="K982" s="2"/>
      <c r="L982" s="2"/>
      <c r="V982" s="19"/>
    </row>
    <row r="983" spans="2:22" ht="12.3" x14ac:dyDescent="0.4">
      <c r="B983" s="2"/>
      <c r="C983" s="2"/>
      <c r="D983" s="2"/>
      <c r="E983" s="7"/>
      <c r="F983" s="14"/>
      <c r="J983" s="2"/>
      <c r="K983" s="2"/>
      <c r="L983" s="2"/>
      <c r="V983" s="19"/>
    </row>
    <row r="984" spans="2:22" ht="12.3" x14ac:dyDescent="0.4">
      <c r="B984" s="2"/>
      <c r="C984" s="2"/>
      <c r="D984" s="2"/>
      <c r="E984" s="7"/>
      <c r="F984" s="14"/>
      <c r="J984" s="2"/>
      <c r="K984" s="2"/>
      <c r="L984" s="2"/>
      <c r="V984" s="19"/>
    </row>
    <row r="985" spans="2:22" ht="12.3" x14ac:dyDescent="0.4">
      <c r="B985" s="2"/>
      <c r="C985" s="2"/>
      <c r="D985" s="2"/>
      <c r="E985" s="7"/>
      <c r="F985" s="14"/>
      <c r="J985" s="2"/>
      <c r="K985" s="2"/>
      <c r="L985" s="2"/>
      <c r="V985" s="19"/>
    </row>
    <row r="986" spans="2:22" ht="12.3" x14ac:dyDescent="0.4">
      <c r="B986" s="2"/>
      <c r="C986" s="2"/>
      <c r="D986" s="2"/>
      <c r="E986" s="7"/>
      <c r="F986" s="14"/>
      <c r="J986" s="2"/>
      <c r="K986" s="2"/>
      <c r="L986" s="2"/>
      <c r="V986" s="19"/>
    </row>
    <row r="987" spans="2:22" ht="12.3" x14ac:dyDescent="0.4">
      <c r="B987" s="2"/>
      <c r="C987" s="2"/>
      <c r="D987" s="2"/>
      <c r="E987" s="7"/>
      <c r="F987" s="14"/>
      <c r="J987" s="2"/>
      <c r="K987" s="2"/>
      <c r="L987" s="2"/>
      <c r="V987" s="19"/>
    </row>
    <row r="988" spans="2:22" ht="12.3" x14ac:dyDescent="0.4">
      <c r="B988" s="2"/>
      <c r="C988" s="2"/>
      <c r="D988" s="2"/>
      <c r="E988" s="7"/>
      <c r="F988" s="14"/>
      <c r="J988" s="2"/>
      <c r="K988" s="2"/>
      <c r="L988" s="2"/>
      <c r="V988" s="19"/>
    </row>
    <row r="989" spans="2:22" ht="12.3" x14ac:dyDescent="0.4">
      <c r="B989" s="2"/>
      <c r="C989" s="2"/>
      <c r="D989" s="2"/>
      <c r="E989" s="7"/>
      <c r="F989" s="14"/>
      <c r="J989" s="2"/>
      <c r="K989" s="2"/>
      <c r="L989" s="2"/>
      <c r="V989" s="19"/>
    </row>
    <row r="990" spans="2:22" ht="12.3" x14ac:dyDescent="0.4">
      <c r="B990" s="2"/>
      <c r="C990" s="2"/>
      <c r="D990" s="2"/>
      <c r="E990" s="7"/>
      <c r="F990" s="14"/>
      <c r="J990" s="2"/>
      <c r="K990" s="2"/>
      <c r="L990" s="2"/>
      <c r="V990" s="19"/>
    </row>
    <row r="991" spans="2:22" ht="12.3" x14ac:dyDescent="0.4">
      <c r="B991" s="2"/>
      <c r="C991" s="2"/>
      <c r="D991" s="2"/>
      <c r="E991" s="7"/>
      <c r="F991" s="14"/>
      <c r="J991" s="2"/>
      <c r="K991" s="2"/>
      <c r="L991" s="2"/>
      <c r="V991" s="19"/>
    </row>
    <row r="992" spans="2:22" ht="12.3" x14ac:dyDescent="0.4">
      <c r="B992" s="2"/>
      <c r="C992" s="2"/>
      <c r="D992" s="2"/>
      <c r="E992" s="7"/>
      <c r="F992" s="14"/>
      <c r="J992" s="2"/>
      <c r="K992" s="2"/>
      <c r="L992" s="2"/>
      <c r="V992" s="19"/>
    </row>
    <row r="993" spans="2:22" ht="12.3" x14ac:dyDescent="0.4">
      <c r="B993" s="2"/>
      <c r="C993" s="2"/>
      <c r="D993" s="2"/>
      <c r="E993" s="7"/>
      <c r="F993" s="14"/>
      <c r="J993" s="2"/>
      <c r="K993" s="2"/>
      <c r="L993" s="2"/>
      <c r="V993" s="19"/>
    </row>
    <row r="994" spans="2:22" ht="12.3" x14ac:dyDescent="0.4">
      <c r="B994" s="2"/>
      <c r="C994" s="2"/>
      <c r="D994" s="2"/>
      <c r="E994" s="7"/>
      <c r="F994" s="14"/>
      <c r="J994" s="2"/>
      <c r="K994" s="2"/>
      <c r="L994" s="2"/>
      <c r="V994" s="19"/>
    </row>
    <row r="995" spans="2:22" ht="12.3" x14ac:dyDescent="0.4">
      <c r="B995" s="2"/>
      <c r="C995" s="2"/>
      <c r="D995" s="2"/>
      <c r="E995" s="7"/>
      <c r="F995" s="14"/>
      <c r="J995" s="2"/>
      <c r="K995" s="2"/>
      <c r="L995" s="2"/>
      <c r="V995" s="19"/>
    </row>
    <row r="996" spans="2:22" ht="12.3" x14ac:dyDescent="0.4">
      <c r="B996" s="2"/>
      <c r="C996" s="2"/>
      <c r="D996" s="2"/>
      <c r="E996" s="7"/>
      <c r="F996" s="14"/>
      <c r="J996" s="2"/>
      <c r="K996" s="2"/>
      <c r="L996" s="2"/>
      <c r="V996" s="19"/>
    </row>
    <row r="997" spans="2:22" ht="12.3" x14ac:dyDescent="0.4">
      <c r="B997" s="2"/>
      <c r="C997" s="2"/>
      <c r="D997" s="2"/>
      <c r="E997" s="7"/>
      <c r="F997" s="14"/>
      <c r="J997" s="2"/>
      <c r="K997" s="2"/>
      <c r="L997" s="2"/>
      <c r="V997" s="19"/>
    </row>
    <row r="998" spans="2:22" ht="12.3" x14ac:dyDescent="0.4">
      <c r="B998" s="2"/>
      <c r="C998" s="2"/>
      <c r="D998" s="2"/>
      <c r="E998" s="7"/>
      <c r="F998" s="14"/>
      <c r="J998" s="2"/>
      <c r="K998" s="2"/>
      <c r="L998" s="2"/>
      <c r="V998" s="19"/>
    </row>
    <row r="999" spans="2:22" ht="12.3" x14ac:dyDescent="0.4">
      <c r="B999" s="2"/>
      <c r="C999" s="2"/>
      <c r="D999" s="2"/>
      <c r="E999" s="7"/>
      <c r="F999" s="14"/>
      <c r="J999" s="2"/>
      <c r="K999" s="2"/>
      <c r="L999" s="2"/>
      <c r="V999" s="19"/>
    </row>
    <row r="1000" spans="2:22" ht="12.3" x14ac:dyDescent="0.4">
      <c r="B1000" s="2"/>
      <c r="C1000" s="2"/>
      <c r="D1000" s="2"/>
      <c r="E1000" s="7"/>
      <c r="F1000" s="14"/>
      <c r="J1000" s="2"/>
      <c r="K1000" s="2"/>
      <c r="L1000" s="2"/>
      <c r="V1000" s="19"/>
    </row>
  </sheetData>
  <mergeCells count="110">
    <mergeCell ref="U60:U61"/>
    <mergeCell ref="V60:V61"/>
    <mergeCell ref="U62:U63"/>
    <mergeCell ref="V62:V63"/>
    <mergeCell ref="U64:U65"/>
    <mergeCell ref="V64:V65"/>
    <mergeCell ref="V66:V67"/>
    <mergeCell ref="U66:U67"/>
    <mergeCell ref="U68:U69"/>
    <mergeCell ref="U70:U71"/>
    <mergeCell ref="U72:U73"/>
    <mergeCell ref="U74:U75"/>
    <mergeCell ref="U76:U77"/>
    <mergeCell ref="U78:U79"/>
    <mergeCell ref="V68:V69"/>
    <mergeCell ref="V70:V71"/>
    <mergeCell ref="V72:V73"/>
    <mergeCell ref="V74:V75"/>
    <mergeCell ref="V76:V77"/>
    <mergeCell ref="V78:V79"/>
    <mergeCell ref="V80:V81"/>
    <mergeCell ref="U80:U81"/>
    <mergeCell ref="U82:U83"/>
    <mergeCell ref="U84:U85"/>
    <mergeCell ref="U86:U87"/>
    <mergeCell ref="U88:U89"/>
    <mergeCell ref="U90:U91"/>
    <mergeCell ref="U92:U93"/>
    <mergeCell ref="V96:V97"/>
    <mergeCell ref="V98:V99"/>
    <mergeCell ref="V100:V101"/>
    <mergeCell ref="V102:V103"/>
    <mergeCell ref="V104:V105"/>
    <mergeCell ref="V106:V107"/>
    <mergeCell ref="V108:V109"/>
    <mergeCell ref="V110:V111"/>
    <mergeCell ref="V82:V83"/>
    <mergeCell ref="V84:V85"/>
    <mergeCell ref="V86:V87"/>
    <mergeCell ref="V88:V89"/>
    <mergeCell ref="V90:V91"/>
    <mergeCell ref="V92:V93"/>
    <mergeCell ref="V94:V95"/>
    <mergeCell ref="U108:U109"/>
    <mergeCell ref="U110:U111"/>
    <mergeCell ref="U94:U95"/>
    <mergeCell ref="U96:U97"/>
    <mergeCell ref="U98:U99"/>
    <mergeCell ref="U100:U101"/>
    <mergeCell ref="U102:U103"/>
    <mergeCell ref="U104:U105"/>
    <mergeCell ref="U106:U107"/>
    <mergeCell ref="U2:U3"/>
    <mergeCell ref="V2:V3"/>
    <mergeCell ref="U4:U5"/>
    <mergeCell ref="V4:V5"/>
    <mergeCell ref="U6:U7"/>
    <mergeCell ref="V6:V7"/>
    <mergeCell ref="V8:V9"/>
    <mergeCell ref="U8:U9"/>
    <mergeCell ref="U10:U11"/>
    <mergeCell ref="U12:U13"/>
    <mergeCell ref="U14:U15"/>
    <mergeCell ref="U16:U17"/>
    <mergeCell ref="U18:U19"/>
    <mergeCell ref="U20:U21"/>
    <mergeCell ref="V10:V11"/>
    <mergeCell ref="V12:V13"/>
    <mergeCell ref="V14:V15"/>
    <mergeCell ref="V16:V17"/>
    <mergeCell ref="V18:V19"/>
    <mergeCell ref="V20:V21"/>
    <mergeCell ref="V22:V23"/>
    <mergeCell ref="U22:U23"/>
    <mergeCell ref="U24:U25"/>
    <mergeCell ref="U26:U27"/>
    <mergeCell ref="U28:U29"/>
    <mergeCell ref="U30:U31"/>
    <mergeCell ref="U32:U33"/>
    <mergeCell ref="U34:U35"/>
    <mergeCell ref="V24:V25"/>
    <mergeCell ref="V26:V27"/>
    <mergeCell ref="V28:V29"/>
    <mergeCell ref="V30:V31"/>
    <mergeCell ref="V32:V33"/>
    <mergeCell ref="V34:V35"/>
    <mergeCell ref="U52:U53"/>
    <mergeCell ref="U54:U55"/>
    <mergeCell ref="U56:U57"/>
    <mergeCell ref="V56:V57"/>
    <mergeCell ref="U58:U59"/>
    <mergeCell ref="V58:V59"/>
    <mergeCell ref="V36:V37"/>
    <mergeCell ref="U36:U37"/>
    <mergeCell ref="U38:U39"/>
    <mergeCell ref="U40:U41"/>
    <mergeCell ref="U42:U43"/>
    <mergeCell ref="U44:U45"/>
    <mergeCell ref="U46:U47"/>
    <mergeCell ref="U48:U49"/>
    <mergeCell ref="U50:U51"/>
    <mergeCell ref="V52:V53"/>
    <mergeCell ref="V54:V55"/>
    <mergeCell ref="V38:V39"/>
    <mergeCell ref="V40:V41"/>
    <mergeCell ref="V42:V43"/>
    <mergeCell ref="V44:V45"/>
    <mergeCell ref="V46:V47"/>
    <mergeCell ref="V48:V49"/>
    <mergeCell ref="V50:V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 Bonuses</vt:lpstr>
      <vt:lpstr>Overall Rankings</vt:lpstr>
      <vt:lpstr>Country Rankings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Hill</cp:lastModifiedBy>
  <dcterms:created xsi:type="dcterms:W3CDTF">2022-06-27T00:08:06Z</dcterms:created>
  <dcterms:modified xsi:type="dcterms:W3CDTF">2022-06-27T04:00:07Z</dcterms:modified>
</cp:coreProperties>
</file>