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filterPrivacy="1" defaultThemeVersion="166925"/>
  <xr:revisionPtr revIDLastSave="0" documentId="13_ncr:1_{898BE934-2827-E043-A7EF-18C41ECF0DEA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Staff" sheetId="1" r:id="rId1"/>
    <sheet name="Stats" sheetId="2" r:id="rId2"/>
    <sheet name="Report July 2017" sheetId="3" r:id="rId3"/>
  </sheets>
  <definedNames>
    <definedName name="_xlnm._FilterDatabase" localSheetId="2" hidden="1">'Report July 2017'!$A$4:$H$24</definedName>
    <definedName name="_xlnm._FilterDatabase" localSheetId="0" hidden="1">Staff!$A$4:$H$24</definedName>
    <definedName name="Annual_Salary" localSheetId="2">'Report July 2017'!$N$4:$N$39</definedName>
    <definedName name="Annual_Salary">Staff!$N$4:$N$39</definedName>
    <definedName name="Date_of_Hire" localSheetId="2">'Report July 2017'!$F$4:$F$39</definedName>
    <definedName name="Date_of_Hire">Staff!$F$4:$F$39</definedName>
    <definedName name="Department" localSheetId="2">'Report July 2017'!$H$4:$H$39</definedName>
    <definedName name="Department">Staff!$H$4:$H$39</definedName>
    <definedName name="Email" localSheetId="2">'Report July 2017'!$E$4:$E$39</definedName>
    <definedName name="Email">Staff!$E$4:$E$39</definedName>
    <definedName name="Emp_ID" localSheetId="2">'Report July 2017'!$A$4:$A$39</definedName>
    <definedName name="Emp_ID">Staff!$A$4:$A$39</definedName>
    <definedName name="Extension" localSheetId="2">'Report July 2017'!$K$4:$K$39</definedName>
    <definedName name="Extension">Staff!$K$4:$K$39</definedName>
    <definedName name="First" localSheetId="2">'Report July 2017'!$C$4:$C$39</definedName>
    <definedName name="First">Staff!$C$4:$C$39</definedName>
    <definedName name="Floor" localSheetId="2">'Report July 2017'!$J$4:$J$39</definedName>
    <definedName name="Floor">Staff!$J$4:$J$39</definedName>
    <definedName name="Gender" localSheetId="2">'Report July 2017'!$D$4:$D$39</definedName>
    <definedName name="Gender">Staff!$D$4:$D$39</definedName>
    <definedName name="Last" localSheetId="2">'Report July 2017'!$B$4:$B$39</definedName>
    <definedName name="Last">Staff!$B$4:$B$39</definedName>
    <definedName name="Last_Review" localSheetId="2">'Report July 2017'!$L$4:$L$39</definedName>
    <definedName name="Last_Review">Staff!$L$4:$L$39</definedName>
    <definedName name="Location" localSheetId="2">'Report July 2017'!$I$4:$I$39</definedName>
    <definedName name="Location">Staff!$I$4:$I$39</definedName>
    <definedName name="Next_Review" localSheetId="2">'Report July 2017'!$M$4:$M$39</definedName>
    <definedName name="Next_Review">Staff!$M$4:$M$39</definedName>
    <definedName name="Pension" localSheetId="2">'Report July 2017'!$O$4:$O$39</definedName>
    <definedName name="Pension">Staff!$O$4:$O$39</definedName>
    <definedName name="Pension_Rate" localSheetId="2">'Report July 2017'!$P$1</definedName>
    <definedName name="Pension_Rate">Staff!$P$1</definedName>
    <definedName name="Years_Service" localSheetId="2">'Report July 2017'!$G$4:$G$39</definedName>
    <definedName name="Years_Service">Staff!$G$4:$G$39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3" l="1"/>
  <c r="O24" i="3"/>
  <c r="P24" i="3" s="1"/>
  <c r="M24" i="3"/>
  <c r="K24" i="3"/>
  <c r="J24" i="3"/>
  <c r="G24" i="3"/>
  <c r="E24" i="3"/>
  <c r="O12" i="3"/>
  <c r="P12" i="3" s="1"/>
  <c r="M12" i="3"/>
  <c r="K12" i="3"/>
  <c r="J12" i="3"/>
  <c r="G12" i="3"/>
  <c r="E12" i="3"/>
  <c r="O14" i="3"/>
  <c r="P14" i="3" s="1"/>
  <c r="M14" i="3"/>
  <c r="K14" i="3"/>
  <c r="J14" i="3"/>
  <c r="G14" i="3"/>
  <c r="E14" i="3"/>
  <c r="O39" i="3"/>
  <c r="P39" i="3" s="1"/>
  <c r="M39" i="3"/>
  <c r="K39" i="3"/>
  <c r="J39" i="3"/>
  <c r="G39" i="3"/>
  <c r="E39" i="3"/>
  <c r="O18" i="3"/>
  <c r="P18" i="3" s="1"/>
  <c r="M18" i="3"/>
  <c r="K18" i="3"/>
  <c r="J18" i="3"/>
  <c r="G18" i="3"/>
  <c r="E18" i="3"/>
  <c r="O38" i="3"/>
  <c r="P38" i="3" s="1"/>
  <c r="M38" i="3"/>
  <c r="K38" i="3"/>
  <c r="J38" i="3"/>
  <c r="G38" i="3"/>
  <c r="E38" i="3"/>
  <c r="O23" i="3"/>
  <c r="P23" i="3" s="1"/>
  <c r="M23" i="3"/>
  <c r="K23" i="3"/>
  <c r="J23" i="3"/>
  <c r="G23" i="3"/>
  <c r="E23" i="3"/>
  <c r="O37" i="3"/>
  <c r="P37" i="3" s="1"/>
  <c r="M37" i="3"/>
  <c r="K37" i="3"/>
  <c r="J37" i="3"/>
  <c r="G37" i="3"/>
  <c r="E37" i="3"/>
  <c r="O36" i="3"/>
  <c r="P36" i="3" s="1"/>
  <c r="M36" i="3"/>
  <c r="K36" i="3"/>
  <c r="J36" i="3"/>
  <c r="G36" i="3"/>
  <c r="E36" i="3"/>
  <c r="O17" i="3"/>
  <c r="P17" i="3" s="1"/>
  <c r="M17" i="3"/>
  <c r="K17" i="3"/>
  <c r="J17" i="3"/>
  <c r="G17" i="3"/>
  <c r="E17" i="3"/>
  <c r="O7" i="3"/>
  <c r="P7" i="3" s="1"/>
  <c r="M7" i="3"/>
  <c r="K7" i="3"/>
  <c r="J7" i="3"/>
  <c r="G7" i="3"/>
  <c r="E7" i="3"/>
  <c r="O35" i="3"/>
  <c r="P35" i="3" s="1"/>
  <c r="M35" i="3"/>
  <c r="K35" i="3"/>
  <c r="J35" i="3"/>
  <c r="G35" i="3"/>
  <c r="E35" i="3"/>
  <c r="O34" i="3"/>
  <c r="P34" i="3" s="1"/>
  <c r="M34" i="3"/>
  <c r="K34" i="3"/>
  <c r="J34" i="3"/>
  <c r="G34" i="3"/>
  <c r="E34" i="3"/>
  <c r="O6" i="3"/>
  <c r="P6" i="3" s="1"/>
  <c r="M6" i="3"/>
  <c r="K6" i="3"/>
  <c r="J6" i="3"/>
  <c r="G6" i="3"/>
  <c r="E6" i="3"/>
  <c r="O33" i="3"/>
  <c r="P33" i="3" s="1"/>
  <c r="M33" i="3"/>
  <c r="K33" i="3"/>
  <c r="J33" i="3"/>
  <c r="G33" i="3"/>
  <c r="E33" i="3"/>
  <c r="O32" i="3"/>
  <c r="P32" i="3" s="1"/>
  <c r="M32" i="3"/>
  <c r="K32" i="3"/>
  <c r="J32" i="3"/>
  <c r="G32" i="3"/>
  <c r="E32" i="3"/>
  <c r="O5" i="3"/>
  <c r="P5" i="3" s="1"/>
  <c r="M5" i="3"/>
  <c r="K5" i="3"/>
  <c r="J5" i="3"/>
  <c r="G5" i="3"/>
  <c r="E5" i="3"/>
  <c r="O15" i="3"/>
  <c r="P15" i="3" s="1"/>
  <c r="M15" i="3"/>
  <c r="K15" i="3"/>
  <c r="J15" i="3"/>
  <c r="G15" i="3"/>
  <c r="O11" i="3"/>
  <c r="P11" i="3" s="1"/>
  <c r="M11" i="3"/>
  <c r="K11" i="3"/>
  <c r="J11" i="3"/>
  <c r="G11" i="3"/>
  <c r="E11" i="3"/>
  <c r="O22" i="3"/>
  <c r="P22" i="3" s="1"/>
  <c r="M22" i="3"/>
  <c r="K22" i="3"/>
  <c r="J22" i="3"/>
  <c r="G22" i="3"/>
  <c r="E22" i="3"/>
  <c r="O21" i="3"/>
  <c r="P21" i="3" s="1"/>
  <c r="M21" i="3"/>
  <c r="K21" i="3"/>
  <c r="J21" i="3"/>
  <c r="G21" i="3"/>
  <c r="E21" i="3"/>
  <c r="O16" i="3"/>
  <c r="P16" i="3" s="1"/>
  <c r="M16" i="3"/>
  <c r="K16" i="3"/>
  <c r="J16" i="3"/>
  <c r="G16" i="3"/>
  <c r="E16" i="3"/>
  <c r="O31" i="3"/>
  <c r="P31" i="3" s="1"/>
  <c r="M31" i="3"/>
  <c r="K31" i="3"/>
  <c r="J31" i="3"/>
  <c r="G31" i="3"/>
  <c r="E31" i="3"/>
  <c r="O30" i="3"/>
  <c r="P30" i="3" s="1"/>
  <c r="M30" i="3"/>
  <c r="K30" i="3"/>
  <c r="J30" i="3"/>
  <c r="G30" i="3"/>
  <c r="E30" i="3"/>
  <c r="O20" i="3"/>
  <c r="P20" i="3" s="1"/>
  <c r="M20" i="3"/>
  <c r="K20" i="3"/>
  <c r="J20" i="3"/>
  <c r="G20" i="3"/>
  <c r="E20" i="3"/>
  <c r="O29" i="3"/>
  <c r="P29" i="3" s="1"/>
  <c r="M29" i="3"/>
  <c r="K29" i="3"/>
  <c r="J29" i="3"/>
  <c r="G29" i="3"/>
  <c r="E29" i="3"/>
  <c r="O10" i="3"/>
  <c r="P10" i="3" s="1"/>
  <c r="M10" i="3"/>
  <c r="K10" i="3"/>
  <c r="J10" i="3"/>
  <c r="G10" i="3"/>
  <c r="E10" i="3"/>
  <c r="O28" i="3"/>
  <c r="P28" i="3" s="1"/>
  <c r="M28" i="3"/>
  <c r="K28" i="3"/>
  <c r="J28" i="3"/>
  <c r="G28" i="3"/>
  <c r="E28" i="3"/>
  <c r="O4" i="3"/>
  <c r="P4" i="3" s="1"/>
  <c r="M4" i="3"/>
  <c r="K4" i="3"/>
  <c r="J4" i="3"/>
  <c r="G4" i="3"/>
  <c r="E4" i="3"/>
  <c r="O27" i="3"/>
  <c r="P27" i="3" s="1"/>
  <c r="M27" i="3"/>
  <c r="K27" i="3"/>
  <c r="J27" i="3"/>
  <c r="G27" i="3"/>
  <c r="E27" i="3"/>
  <c r="O9" i="3"/>
  <c r="P9" i="3" s="1"/>
  <c r="M9" i="3"/>
  <c r="K9" i="3"/>
  <c r="J9" i="3"/>
  <c r="G9" i="3"/>
  <c r="E9" i="3"/>
  <c r="O26" i="3"/>
  <c r="P26" i="3" s="1"/>
  <c r="M26" i="3"/>
  <c r="K26" i="3"/>
  <c r="J26" i="3"/>
  <c r="G26" i="3"/>
  <c r="E26" i="3"/>
  <c r="O8" i="3"/>
  <c r="P8" i="3" s="1"/>
  <c r="M8" i="3"/>
  <c r="K8" i="3"/>
  <c r="J8" i="3"/>
  <c r="G8" i="3"/>
  <c r="E8" i="3"/>
  <c r="O25" i="3"/>
  <c r="P25" i="3" s="1"/>
  <c r="M25" i="3"/>
  <c r="K25" i="3"/>
  <c r="J25" i="3"/>
  <c r="G25" i="3"/>
  <c r="E25" i="3"/>
  <c r="O19" i="3"/>
  <c r="P19" i="3" s="1"/>
  <c r="M19" i="3"/>
  <c r="K19" i="3"/>
  <c r="J19" i="3"/>
  <c r="G19" i="3"/>
  <c r="E19" i="3"/>
  <c r="O13" i="3"/>
  <c r="M13" i="3"/>
  <c r="K13" i="3"/>
  <c r="J13" i="3"/>
  <c r="G13" i="3"/>
  <c r="E13" i="3"/>
  <c r="B22" i="2"/>
  <c r="C22" i="2"/>
  <c r="D22" i="2"/>
  <c r="E39" i="1"/>
  <c r="G39" i="1"/>
  <c r="J39" i="1"/>
  <c r="K39" i="1"/>
  <c r="M39" i="1"/>
  <c r="O39" i="1"/>
  <c r="P39" i="1" s="1"/>
  <c r="O4" i="1"/>
  <c r="P4" i="1" s="1"/>
  <c r="O5" i="1"/>
  <c r="P5" i="1" s="1"/>
  <c r="O6" i="1"/>
  <c r="P6" i="1"/>
  <c r="O7" i="1"/>
  <c r="P7" i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/>
  <c r="O30" i="1"/>
  <c r="P30" i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/>
  <c r="A40" i="1"/>
  <c r="N40" i="1"/>
  <c r="B12" i="2"/>
  <c r="B11" i="2"/>
  <c r="B3" i="2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P13" i="3" l="1"/>
  <c r="B6" i="2"/>
  <c r="P40" i="1"/>
  <c r="G40" i="1"/>
  <c r="O40" i="1"/>
</calcChain>
</file>

<file path=xl/sharedStrings.xml><?xml version="1.0" encoding="utf-8"?>
<sst xmlns="http://schemas.openxmlformats.org/spreadsheetml/2006/main" count="487" uniqueCount="176">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</sst>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9" fillId="5" borderId="3" xfId="0" applyFont="1" applyFill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7" fontId="0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167" fontId="0" fillId="0" borderId="2" xfId="0" applyNumberFormat="1" applyFont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20A-064D-881A-789555ECE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4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3" totalsRowDxfId="32"/>
    <tableColumn id="2" xr3:uid="{00000000-0010-0000-0000-000002000000}" name="Last"/>
    <tableColumn id="3" xr3:uid="{00000000-0010-0000-0000-000003000000}" name="First" dataDxfId="31" totalsRowDxfId="30"/>
    <tableColumn id="4" xr3:uid="{00000000-0010-0000-0000-000004000000}" name="Gender" dataDxfId="29" totalsRowDxfId="28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7" totalsRowDxfId="26"/>
    <tableColumn id="7" xr3:uid="{00000000-0010-0000-0000-000007000000}" name="Years Service" totalsRowFunction="average" dataDxfId="25" totalsRowDxfId="24">
      <calculatedColumnFormula>YEARFRAC(F4,TODAY())</calculatedColumnFormula>
    </tableColumn>
    <tableColumn id="8" xr3:uid="{00000000-0010-0000-0000-000008000000}" name="Department" dataDxfId="23" totalsRowDxfId="22"/>
    <tableColumn id="9" xr3:uid="{00000000-0010-0000-0000-000009000000}" name="Location" dataDxfId="21" totalsRowDxfId="20"/>
    <tableColumn id="10" xr3:uid="{00000000-0010-0000-0000-00000A000000}" name="Floor" dataDxfId="19" totalsRowDxfId="18">
      <calculatedColumnFormula>LEFT(I4,2)</calculatedColumnFormula>
    </tableColumn>
    <tableColumn id="11" xr3:uid="{00000000-0010-0000-0000-00000B000000}" name="Extension" dataDxfId="17" totalsRowDxfId="16">
      <calculatedColumnFormula>RIGHT(I4,4)</calculatedColumnFormula>
    </tableColumn>
    <tableColumn id="12" xr3:uid="{00000000-0010-0000-0000-00000C000000}" name="Last Review" dataDxfId="15" totalsRowDxfId="14"/>
    <tableColumn id="13" xr3:uid="{00000000-0010-0000-0000-00000D000000}" name="Next Review" dataDxfId="13" totalsRowDxfId="12">
      <calculatedColumnFormula>L4+365</calculatedColumnFormula>
    </tableColumn>
    <tableColumn id="14" xr3:uid="{00000000-0010-0000-0000-00000E000000}" name="Annual Salary" totalsRowFunction="sum" dataDxfId="11" totalsRowDxfId="10"/>
    <tableColumn id="15" xr3:uid="{00000000-0010-0000-0000-00000F000000}" name="Pension" totalsRowFunction="sum" dataDxfId="9" totalsRowDxfId="8">
      <calculatedColumnFormula>N4*Pension_Rate</calculatedColumnFormula>
    </tableColumn>
    <tableColumn id="16" xr3:uid="{00000000-0010-0000-0000-000010000000}" name="Package" totalsRowFunction="sum" dataDxfId="7" totalsRowDxfId="6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5"/>
    <tableColumn id="2" xr3:uid="{00000000-0010-0000-0100-000002000000}" name="Total Salary" dataDxfId="4">
      <calculatedColumnFormula>SUMIFS(Annual_Salary,Department,A16)</calculatedColumnFormula>
    </tableColumn>
    <tableColumn id="3" xr3:uid="{00000000-0010-0000-0100-000003000000}" name="M" dataDxfId="3">
      <calculatedColumnFormula>SUMIFS(Annual_Salary,Department,A16,Gender,$C$15)</calculatedColumnFormula>
    </tableColumn>
    <tableColumn id="4" xr3:uid="{00000000-0010-0000-0100-000004000000}" name="F" dataDxfId="2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145" zoomScaleNormal="145" zoomScalePageLayoutView="70" workbookViewId="0">
      <selection activeCell="E11" sqref="E11"/>
    </sheetView>
  </sheetViews>
  <sheetFormatPr baseColWidth="10" defaultColWidth="8.83203125" defaultRowHeight="15" x14ac:dyDescent="0.2"/>
  <cols>
    <col min="1" max="1" width="9.1640625" style="3" customWidth="1"/>
    <col min="2" max="2" width="13" customWidth="1"/>
    <col min="3" max="3" width="11.83203125" customWidth="1"/>
    <col min="4" max="4" width="9.5" style="3" customWidth="1"/>
    <col min="5" max="5" width="29.1640625" bestFit="1" customWidth="1"/>
    <col min="6" max="6" width="14" style="3" customWidth="1"/>
    <col min="7" max="7" width="14.83203125" customWidth="1"/>
    <col min="8" max="8" width="17.6640625" customWidth="1"/>
    <col min="9" max="9" width="16.1640625" customWidth="1"/>
    <col min="10" max="10" width="10.5" customWidth="1"/>
    <col min="11" max="11" width="12.83203125" customWidth="1"/>
    <col min="12" max="12" width="14.1640625" customWidth="1"/>
    <col min="13" max="13" width="14.5" customWidth="1"/>
    <col min="14" max="14" width="15.1640625" customWidth="1"/>
    <col min="15" max="15" width="11.33203125" bestFit="1" customWidth="1"/>
    <col min="16" max="16" width="13.33203125" bestFit="1" customWidth="1"/>
  </cols>
  <sheetData>
    <row r="1" spans="1:16" ht="29" x14ac:dyDescent="0.35">
      <c r="A1" s="18" t="s">
        <v>95</v>
      </c>
      <c r="O1" s="14" t="s">
        <v>161</v>
      </c>
      <c r="P1" s="15">
        <v>0.09</v>
      </c>
    </row>
    <row r="3" spans="1:16" x14ac:dyDescent="0.2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ht="16" x14ac:dyDescent="0.2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21.016666666666666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4">
        <f>SUM(Table1[[#This Row],[Annual Salary]:[Pension]])</f>
        <v>110526</v>
      </c>
    </row>
    <row r="5" spans="1:16" ht="16" x14ac:dyDescent="0.2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20.944444444444443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4">
        <f>SUM(Table1[[#This Row],[Annual Salary]:[Pension]])</f>
        <v>76627</v>
      </c>
    </row>
    <row r="6" spans="1:16" ht="16" x14ac:dyDescent="0.2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19.405555555555555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4">
        <f>SUM(Table1[[#This Row],[Annual Salary]:[Pension]])</f>
        <v>74992</v>
      </c>
    </row>
    <row r="7" spans="1:16" ht="16" x14ac:dyDescent="0.2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17.791666666666668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4">
        <f>SUM(Table1[[#This Row],[Annual Salary]:[Pension]])</f>
        <v>64528</v>
      </c>
    </row>
    <row r="8" spans="1:16" ht="16" x14ac:dyDescent="0.2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16.56111111111111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4">
        <f>SUM(Table1[[#This Row],[Annual Salary]:[Pension]])</f>
        <v>68561</v>
      </c>
    </row>
    <row r="9" spans="1:16" ht="16" x14ac:dyDescent="0.2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16.027777777777779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4">
        <f>SUM(Table1[[#This Row],[Annual Salary]:[Pension]])</f>
        <v>63656</v>
      </c>
    </row>
    <row r="10" spans="1:16" ht="16" x14ac:dyDescent="0.2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15.875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4">
        <f>SUM(Table1[[#This Row],[Annual Salary]:[Pension]])</f>
        <v>64528</v>
      </c>
    </row>
    <row r="11" spans="1:16" ht="16" x14ac:dyDescent="0.2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15.263888888888889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4">
        <f>SUM(Table1[[#This Row],[Annual Salary]:[Pension]])</f>
        <v>56244</v>
      </c>
    </row>
    <row r="12" spans="1:16" ht="16" x14ac:dyDescent="0.2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13.816666666666666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4">
        <f>SUM(Table1[[#This Row],[Annual Salary]:[Pension]])</f>
        <v>63438</v>
      </c>
    </row>
    <row r="13" spans="1:16" ht="16" x14ac:dyDescent="0.2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13.447222222222223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4">
        <f>SUM(Table1[[#This Row],[Annual Salary]:[Pension]])</f>
        <v>60822</v>
      </c>
    </row>
    <row r="14" spans="1:16" ht="16" x14ac:dyDescent="0.2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12.15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4">
        <f>SUM(Table1[[#This Row],[Annual Salary]:[Pension]])</f>
        <v>60495</v>
      </c>
    </row>
    <row r="15" spans="1:16" ht="16" x14ac:dyDescent="0.2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11.988888888888889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4">
        <f>SUM(Table1[[#This Row],[Annual Salary]:[Pension]])</f>
        <v>52756</v>
      </c>
    </row>
    <row r="16" spans="1:16" ht="16" x14ac:dyDescent="0.2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10.96111111111111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4">
        <f>SUM(Table1[[#This Row],[Annual Salary]:[Pension]])</f>
        <v>64637</v>
      </c>
    </row>
    <row r="17" spans="1:16" ht="16" x14ac:dyDescent="0.2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10.633333333333333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4">
        <f>SUM(Table1[[#This Row],[Annual Salary]:[Pension]])</f>
        <v>61040</v>
      </c>
    </row>
    <row r="18" spans="1:16" ht="16" x14ac:dyDescent="0.2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9.8638888888888889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4">
        <f>SUM(Table1[[#This Row],[Annual Salary]:[Pension]])</f>
        <v>68888</v>
      </c>
    </row>
    <row r="19" spans="1:16" ht="16" x14ac:dyDescent="0.2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9.3722222222222218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4">
        <f>SUM(Table1[[#This Row],[Annual Salary]:[Pension]])</f>
        <v>56353</v>
      </c>
    </row>
    <row r="20" spans="1:16" ht="16" x14ac:dyDescent="0.2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9.2750000000000004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4">
        <f>SUM(Table1[[#This Row],[Annual Salary]:[Pension]])</f>
        <v>54064</v>
      </c>
    </row>
    <row r="21" spans="1:16" ht="16" x14ac:dyDescent="0.2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8.75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4">
        <f>SUM(Table1[[#This Row],[Annual Salary]:[Pension]])</f>
        <v>49159</v>
      </c>
    </row>
    <row r="22" spans="1:16" ht="16" x14ac:dyDescent="0.2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7.6916666666666664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4">
        <f>SUM(Table1[[#This Row],[Annual Salary]:[Pension]])</f>
        <v>45889</v>
      </c>
    </row>
    <row r="23" spans="1:16" ht="16" x14ac:dyDescent="0.2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7.4055555555555559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4">
        <f>SUM(Table1[[#This Row],[Annual Salary]:[Pension]])</f>
        <v>68452</v>
      </c>
    </row>
    <row r="24" spans="1:16" ht="16" x14ac:dyDescent="0.2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7.3777777777777782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4">
        <f>SUM(Table1[[#This Row],[Annual Salary]:[Pension]])</f>
        <v>59623</v>
      </c>
    </row>
    <row r="25" spans="1:16" ht="16" x14ac:dyDescent="0.2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7.2333333333333334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4">
        <f>SUM(Table1[[#This Row],[Annual Salary]:[Pension]])</f>
        <v>57334</v>
      </c>
    </row>
    <row r="26" spans="1:16" ht="16" x14ac:dyDescent="0.2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7.1416666666666666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4">
        <f>SUM(Table1[[#This Row],[Annual Salary]:[Pension]])</f>
        <v>63765</v>
      </c>
    </row>
    <row r="27" spans="1:16" ht="16" x14ac:dyDescent="0.2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7.1055555555555552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4">
        <f>SUM(Table1[[#This Row],[Annual Salary]:[Pension]])</f>
        <v>50685</v>
      </c>
    </row>
    <row r="28" spans="1:16" ht="16" x14ac:dyDescent="0.2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6.7805555555555559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4">
        <f>SUM(Table1[[#This Row],[Annual Salary]:[Pension]])</f>
        <v>61258</v>
      </c>
    </row>
    <row r="29" spans="1:16" ht="16" x14ac:dyDescent="0.2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6.4861111111111107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4">
        <f>SUM(Table1[[#This Row],[Annual Salary]:[Pension]])</f>
        <v>59841</v>
      </c>
    </row>
    <row r="30" spans="1:16" ht="16" x14ac:dyDescent="0.2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6.4833333333333334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4">
        <f>SUM(Table1[[#This Row],[Annual Salary]:[Pension]])</f>
        <v>52211</v>
      </c>
    </row>
    <row r="31" spans="1:16" ht="16" x14ac:dyDescent="0.2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6.2333333333333334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4">
        <f>SUM(Table1[[#This Row],[Annual Salary]:[Pension]])</f>
        <v>54064</v>
      </c>
    </row>
    <row r="32" spans="1:16" ht="16" x14ac:dyDescent="0.2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6.2249999999999996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4">
        <f>SUM(Table1[[#This Row],[Annual Salary]:[Pension]])</f>
        <v>38804</v>
      </c>
    </row>
    <row r="33" spans="1:16" ht="16" x14ac:dyDescent="0.2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6.0972222222222223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4">
        <f>SUM(Table1[[#This Row],[Annual Salary]:[Pension]])</f>
        <v>63765</v>
      </c>
    </row>
    <row r="34" spans="1:16" ht="16" x14ac:dyDescent="0.2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6.0611111111111109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4">
        <f>SUM(Table1[[#This Row],[Annual Salary]:[Pension]])</f>
        <v>56026</v>
      </c>
    </row>
    <row r="35" spans="1:16" ht="16" x14ac:dyDescent="0.2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5.2222222222222223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4">
        <f>SUM(Table1[[#This Row],[Annual Salary]:[Pension]])</f>
        <v>42074</v>
      </c>
    </row>
    <row r="36" spans="1:16" ht="16" x14ac:dyDescent="0.2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5.1388888888888893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4">
        <f>SUM(Table1[[#This Row],[Annual Salary]:[Pension]])</f>
        <v>44145</v>
      </c>
    </row>
    <row r="37" spans="1:16" ht="16" x14ac:dyDescent="0.2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12.074999999999999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4">
        <f>SUM(Table1[[#This Row],[Annual Salary]:[Pension]])</f>
        <v>105076</v>
      </c>
    </row>
    <row r="38" spans="1:16" ht="16" x14ac:dyDescent="0.2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4.7166666666666668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4">
        <f>SUM(Table1[[#This Row],[Annual Salary]:[Pension]])</f>
        <v>40330</v>
      </c>
    </row>
    <row r="39" spans="1:16" ht="16" x14ac:dyDescent="0.2">
      <c r="A39" s="3" t="s">
        <v>172</v>
      </c>
      <c r="B39" t="s">
        <v>173</v>
      </c>
      <c r="C39" s="2" t="s">
        <v>174</v>
      </c>
      <c r="D39" s="19" t="s">
        <v>165</v>
      </c>
      <c r="E39" t="str">
        <f>LOWER(C39&amp;"."&amp;B39&amp;"@pushpin.com")</f>
        <v>william.grey@pushpin.com</v>
      </c>
      <c r="F39" s="23">
        <v>42933</v>
      </c>
      <c r="G39" s="4">
        <f ca="1">YEARFRAC(F39,TODAY())</f>
        <v>4.5555555555555554</v>
      </c>
      <c r="H39" s="1" t="s">
        <v>175</v>
      </c>
      <c r="I39" s="5"/>
      <c r="J39" s="6" t="str">
        <f>LEFT(I39,2)</f>
        <v/>
      </c>
      <c r="K39" s="6" t="str">
        <f>RIGHT(I39,4)</f>
        <v/>
      </c>
      <c r="L39" s="23">
        <v>42933</v>
      </c>
      <c r="M39" s="23">
        <f>L39+365</f>
        <v>43298</v>
      </c>
      <c r="N39" s="8">
        <v>97000</v>
      </c>
      <c r="O39" s="16">
        <f>N39*Pension_Rate</f>
        <v>8730</v>
      </c>
      <c r="P39" s="24">
        <f>SUM(Table1[[#This Row],[Annual Salary]:[Pension]])</f>
        <v>105730</v>
      </c>
    </row>
    <row r="40" spans="1:16" x14ac:dyDescent="0.2">
      <c r="A40" s="3">
        <f>SUBTOTAL(103,Table1[Emp ID])</f>
        <v>36</v>
      </c>
      <c r="C40" s="2"/>
      <c r="D40" s="19"/>
      <c r="G40" s="4">
        <f ca="1">SUBTOTAL(101,Table1[Years Service])</f>
        <v>10.365972222222224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24">
        <f>SUBTOTAL(109,Table1[Package])</f>
        <v>2240386</v>
      </c>
    </row>
    <row r="42" spans="1:16" ht="16" x14ac:dyDescent="0.2">
      <c r="E42" s="13"/>
    </row>
    <row r="43" spans="1:16" ht="16" x14ac:dyDescent="0.2">
      <c r="E43" s="13"/>
    </row>
    <row r="44" spans="1:16" ht="16" x14ac:dyDescent="0.2">
      <c r="E44" s="13"/>
    </row>
  </sheetData>
  <sortState xmlns:xlrd2="http://schemas.microsoft.com/office/spreadsheetml/2017/richdata2" ref="A4:N38">
    <sortCondition ref="A7"/>
  </sortState>
  <conditionalFormatting sqref="M4:M39">
    <cfRule type="cellIs" dxfId="36" priority="1" operator="equal">
      <formula>0</formula>
    </cfRule>
    <cfRule type="expression" dxfId="35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zoomScalePageLayoutView="70" workbookViewId="0">
      <selection activeCell="B42" sqref="B42"/>
    </sheetView>
  </sheetViews>
  <sheetFormatPr baseColWidth="10" defaultColWidth="8.83203125" defaultRowHeight="15" x14ac:dyDescent="0.2"/>
  <cols>
    <col min="1" max="1" width="29.6640625" customWidth="1"/>
    <col min="2" max="4" width="17.1640625" customWidth="1"/>
  </cols>
  <sheetData>
    <row r="1" spans="1:4" ht="29" x14ac:dyDescent="0.35">
      <c r="A1" s="18" t="s">
        <v>95</v>
      </c>
    </row>
    <row r="2" spans="1:4" x14ac:dyDescent="0.2">
      <c r="A2" s="3"/>
    </row>
    <row r="3" spans="1:4" ht="23.25" customHeight="1" x14ac:dyDescent="0.2">
      <c r="A3" s="9" t="s">
        <v>162</v>
      </c>
      <c r="B3" s="17">
        <f>COUNTA(Emp_ID)</f>
        <v>36</v>
      </c>
    </row>
    <row r="4" spans="1:4" ht="23.25" customHeight="1" x14ac:dyDescent="0.2">
      <c r="A4" s="9" t="s">
        <v>134</v>
      </c>
      <c r="B4" s="10">
        <f>SUM(Annual_Salary)</f>
        <v>2055400</v>
      </c>
    </row>
    <row r="5" spans="1:4" ht="23.25" customHeight="1" x14ac:dyDescent="0.2">
      <c r="A5" s="9" t="s">
        <v>135</v>
      </c>
      <c r="B5" s="10">
        <f>AVERAGE(Annual_Salary)</f>
        <v>57094.444444444445</v>
      </c>
    </row>
    <row r="6" spans="1:4" ht="23.25" customHeight="1" x14ac:dyDescent="0.2">
      <c r="A6" s="9" t="s">
        <v>136</v>
      </c>
      <c r="B6" s="11">
        <f ca="1">MAX(Years_Service)</f>
        <v>21.016666666666666</v>
      </c>
    </row>
    <row r="7" spans="1:4" ht="23.25" customHeight="1" x14ac:dyDescent="0.2">
      <c r="A7" s="9" t="s">
        <v>137</v>
      </c>
      <c r="B7" s="12">
        <f>MAX(Date_of_Hire)</f>
        <v>42933</v>
      </c>
    </row>
    <row r="10" spans="1:4" ht="16" x14ac:dyDescent="0.2">
      <c r="A10" s="9" t="s">
        <v>164</v>
      </c>
      <c r="B10" s="20" t="s">
        <v>167</v>
      </c>
    </row>
    <row r="11" spans="1:4" ht="16" x14ac:dyDescent="0.2">
      <c r="A11" s="1" t="s">
        <v>168</v>
      </c>
      <c r="B11" s="6">
        <f>COUNTIFS(Gender,"M")</f>
        <v>18</v>
      </c>
    </row>
    <row r="12" spans="1:4" ht="16" x14ac:dyDescent="0.2">
      <c r="A12" s="1" t="s">
        <v>169</v>
      </c>
      <c r="B12" s="6">
        <f>COUNTIFS(Gender,"F")</f>
        <v>18</v>
      </c>
    </row>
    <row r="15" spans="1:4" x14ac:dyDescent="0.2">
      <c r="A15" t="s">
        <v>5</v>
      </c>
      <c r="B15" t="s">
        <v>163</v>
      </c>
      <c r="C15" t="s">
        <v>165</v>
      </c>
      <c r="D15" t="s">
        <v>166</v>
      </c>
    </row>
    <row r="16" spans="1:4" ht="16" x14ac:dyDescent="0.2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ht="16" x14ac:dyDescent="0.2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ht="16" x14ac:dyDescent="0.2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ht="16" x14ac:dyDescent="0.2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ht="16" x14ac:dyDescent="0.2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ht="16" x14ac:dyDescent="0.2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ht="16" x14ac:dyDescent="0.2">
      <c r="A22" s="21" t="s">
        <v>175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3383-7C10-4C44-9915-3456B630F4C6}">
  <dimension ref="A1:P43"/>
  <sheetViews>
    <sheetView tabSelected="1" zoomScale="145" zoomScaleNormal="145" zoomScalePageLayoutView="70" workbookViewId="0">
      <selection activeCell="F18" sqref="F18"/>
    </sheetView>
  </sheetViews>
  <sheetFormatPr baseColWidth="10" defaultColWidth="8.83203125" defaultRowHeight="15" x14ac:dyDescent="0.2"/>
  <cols>
    <col min="1" max="1" width="9.1640625" style="3" customWidth="1"/>
    <col min="2" max="2" width="13" customWidth="1"/>
    <col min="3" max="3" width="11.83203125" customWidth="1"/>
    <col min="4" max="4" width="9.5" style="3" customWidth="1"/>
    <col min="5" max="5" width="29.1640625" bestFit="1" customWidth="1"/>
    <col min="6" max="6" width="14" style="3" customWidth="1"/>
    <col min="7" max="7" width="14.83203125" customWidth="1"/>
    <col min="8" max="8" width="17.6640625" customWidth="1"/>
    <col min="9" max="9" width="16.1640625" customWidth="1"/>
    <col min="10" max="10" width="10.5" hidden="1" customWidth="1"/>
    <col min="11" max="11" width="12.83203125" hidden="1" customWidth="1"/>
    <col min="12" max="12" width="14.1640625" hidden="1" customWidth="1"/>
    <col min="13" max="13" width="14.5" hidden="1" customWidth="1"/>
    <col min="14" max="14" width="15.1640625" customWidth="1"/>
    <col min="15" max="15" width="11.33203125" bestFit="1" customWidth="1"/>
    <col min="16" max="16" width="13.33203125" bestFit="1" customWidth="1"/>
  </cols>
  <sheetData>
    <row r="1" spans="1:16" ht="29" x14ac:dyDescent="0.35">
      <c r="A1" s="18" t="s">
        <v>95</v>
      </c>
      <c r="O1" s="14" t="s">
        <v>161</v>
      </c>
      <c r="P1" s="15">
        <v>0.09</v>
      </c>
    </row>
    <row r="2" spans="1:16" ht="16" thickBot="1" x14ac:dyDescent="0.25"/>
    <row r="3" spans="1:16" ht="16" thickBot="1" x14ac:dyDescent="0.25">
      <c r="A3" s="27" t="s">
        <v>0</v>
      </c>
      <c r="B3" s="27" t="s">
        <v>1</v>
      </c>
      <c r="C3" s="27" t="s">
        <v>2</v>
      </c>
      <c r="D3" s="27" t="s">
        <v>164</v>
      </c>
      <c r="E3" s="27" t="s">
        <v>3</v>
      </c>
      <c r="F3" s="27" t="s">
        <v>4</v>
      </c>
      <c r="G3" s="27" t="s">
        <v>62</v>
      </c>
      <c r="H3" s="27" t="s">
        <v>5</v>
      </c>
      <c r="I3" s="27" t="s">
        <v>6</v>
      </c>
      <c r="J3" s="27" t="s">
        <v>60</v>
      </c>
      <c r="K3" s="27" t="s">
        <v>7</v>
      </c>
      <c r="L3" s="27" t="s">
        <v>132</v>
      </c>
      <c r="M3" s="27" t="s">
        <v>133</v>
      </c>
      <c r="N3" s="27" t="s">
        <v>170</v>
      </c>
      <c r="O3" s="27" t="s">
        <v>160</v>
      </c>
      <c r="P3" s="27" t="s">
        <v>171</v>
      </c>
    </row>
    <row r="4" spans="1:16" ht="16" x14ac:dyDescent="0.2">
      <c r="A4" s="28" t="s">
        <v>67</v>
      </c>
      <c r="B4" s="29" t="s">
        <v>51</v>
      </c>
      <c r="C4" s="30" t="s">
        <v>50</v>
      </c>
      <c r="D4" s="31" t="s">
        <v>165</v>
      </c>
      <c r="E4" s="29" t="str">
        <f t="shared" ref="E4:E39" si="0">LOWER(C4&amp;"."&amp;B4&amp;"@pushpin.com")</f>
        <v>nicholas.fernandes@pushpin.com</v>
      </c>
      <c r="F4" s="32">
        <v>39023</v>
      </c>
      <c r="G4" s="33">
        <f t="shared" ref="G4:G39" ca="1" si="1">YEARFRAC(F4,TODAY())</f>
        <v>15.263888888888889</v>
      </c>
      <c r="H4" s="34" t="s">
        <v>15</v>
      </c>
      <c r="I4" s="35" t="s">
        <v>122</v>
      </c>
      <c r="J4" s="36" t="str">
        <f t="shared" ref="J4:J39" si="2">LEFT(I4,2)</f>
        <v>02</v>
      </c>
      <c r="K4" s="36" t="str">
        <f t="shared" ref="K4:K39" si="3">RIGHT(I4,4)</f>
        <v>2372</v>
      </c>
      <c r="L4" s="32">
        <v>42614</v>
      </c>
      <c r="M4" s="32">
        <f t="shared" ref="M4:M39" si="4">L4+365</f>
        <v>42979</v>
      </c>
      <c r="N4" s="37">
        <v>51600</v>
      </c>
      <c r="O4" s="38">
        <f t="shared" ref="O4:O39" si="5">N4*Pension_Rate</f>
        <v>4644</v>
      </c>
      <c r="P4" s="39">
        <f>SUM('Report July 2017'!$N4:$O4)</f>
        <v>56244</v>
      </c>
    </row>
    <row r="5" spans="1:16" ht="16" x14ac:dyDescent="0.2">
      <c r="A5" s="40" t="s">
        <v>79</v>
      </c>
      <c r="B5" s="25" t="s">
        <v>139</v>
      </c>
      <c r="C5" s="2" t="s">
        <v>27</v>
      </c>
      <c r="D5" s="19" t="s">
        <v>165</v>
      </c>
      <c r="E5" s="25" t="str">
        <f t="shared" si="0"/>
        <v>jim.boller@pushpin.com</v>
      </c>
      <c r="F5" s="41">
        <v>41893</v>
      </c>
      <c r="G5" s="42">
        <f t="shared" ca="1" si="1"/>
        <v>7.4055555555555559</v>
      </c>
      <c r="H5" s="43" t="s">
        <v>15</v>
      </c>
      <c r="I5" s="44" t="s">
        <v>116</v>
      </c>
      <c r="J5" s="45" t="str">
        <f t="shared" si="2"/>
        <v>03</v>
      </c>
      <c r="K5" s="45" t="str">
        <f t="shared" si="3"/>
        <v>2318</v>
      </c>
      <c r="L5" s="41">
        <v>42835</v>
      </c>
      <c r="M5" s="41">
        <f t="shared" si="4"/>
        <v>43200</v>
      </c>
      <c r="N5" s="46">
        <v>62800</v>
      </c>
      <c r="O5" s="47">
        <f t="shared" si="5"/>
        <v>5652</v>
      </c>
      <c r="P5" s="48">
        <f>SUM('Report July 2017'!$N5:$O5)</f>
        <v>68452</v>
      </c>
    </row>
    <row r="6" spans="1:16" ht="16" x14ac:dyDescent="0.2">
      <c r="A6" s="40" t="s">
        <v>82</v>
      </c>
      <c r="B6" s="25" t="s">
        <v>145</v>
      </c>
      <c r="C6" s="2" t="s">
        <v>146</v>
      </c>
      <c r="D6" s="19" t="s">
        <v>166</v>
      </c>
      <c r="E6" s="25" t="str">
        <f t="shared" si="0"/>
        <v>anna.clark@pushpin.com</v>
      </c>
      <c r="F6" s="41">
        <v>41989</v>
      </c>
      <c r="G6" s="42">
        <f t="shared" ca="1" si="1"/>
        <v>7.1416666666666666</v>
      </c>
      <c r="H6" s="43" t="s">
        <v>15</v>
      </c>
      <c r="I6" s="44" t="s">
        <v>106</v>
      </c>
      <c r="J6" s="45" t="str">
        <f t="shared" si="2"/>
        <v>03</v>
      </c>
      <c r="K6" s="45" t="str">
        <f t="shared" si="3"/>
        <v>2601</v>
      </c>
      <c r="L6" s="41">
        <v>42731</v>
      </c>
      <c r="M6" s="41">
        <f t="shared" si="4"/>
        <v>43096</v>
      </c>
      <c r="N6" s="46">
        <v>58500</v>
      </c>
      <c r="O6" s="47">
        <f t="shared" si="5"/>
        <v>5265</v>
      </c>
      <c r="P6" s="48">
        <f>SUM('Report July 2017'!$N6:$O6)</f>
        <v>63765</v>
      </c>
    </row>
    <row r="7" spans="1:16" ht="16" x14ac:dyDescent="0.2">
      <c r="A7" s="40" t="s">
        <v>85</v>
      </c>
      <c r="B7" s="25" t="s">
        <v>151</v>
      </c>
      <c r="C7" s="2" t="s">
        <v>26</v>
      </c>
      <c r="D7" s="19" t="s">
        <v>166</v>
      </c>
      <c r="E7" s="25" t="str">
        <f t="shared" si="0"/>
        <v>alexandra.donnell@pushpin.com</v>
      </c>
      <c r="F7" s="41">
        <v>42228</v>
      </c>
      <c r="G7" s="42">
        <f t="shared" ca="1" si="1"/>
        <v>6.4861111111111107</v>
      </c>
      <c r="H7" s="43" t="s">
        <v>15</v>
      </c>
      <c r="I7" s="44" t="s">
        <v>110</v>
      </c>
      <c r="J7" s="45" t="str">
        <f t="shared" si="2"/>
        <v>03</v>
      </c>
      <c r="K7" s="45" t="str">
        <f t="shared" si="3"/>
        <v>2082</v>
      </c>
      <c r="L7" s="41">
        <v>42629</v>
      </c>
      <c r="M7" s="41">
        <f t="shared" si="4"/>
        <v>42994</v>
      </c>
      <c r="N7" s="46">
        <v>54900</v>
      </c>
      <c r="O7" s="47">
        <f t="shared" si="5"/>
        <v>4941</v>
      </c>
      <c r="P7" s="48">
        <f>SUM('Report July 2017'!$N7:$O7)</f>
        <v>59841</v>
      </c>
    </row>
    <row r="8" spans="1:16" ht="16" x14ac:dyDescent="0.2">
      <c r="A8" s="40" t="s">
        <v>63</v>
      </c>
      <c r="B8" s="25" t="s">
        <v>138</v>
      </c>
      <c r="C8" s="2" t="s">
        <v>12</v>
      </c>
      <c r="D8" s="19" t="s">
        <v>165</v>
      </c>
      <c r="E8" s="25" t="str">
        <f t="shared" si="0"/>
        <v>adam.barry@pushpin.com</v>
      </c>
      <c r="F8" s="41">
        <v>38099</v>
      </c>
      <c r="G8" s="42">
        <f t="shared" ca="1" si="1"/>
        <v>17.791666666666668</v>
      </c>
      <c r="H8" s="43" t="s">
        <v>24</v>
      </c>
      <c r="I8" s="44" t="s">
        <v>97</v>
      </c>
      <c r="J8" s="45" t="str">
        <f t="shared" si="2"/>
        <v>02</v>
      </c>
      <c r="K8" s="45" t="str">
        <f t="shared" si="3"/>
        <v>2018</v>
      </c>
      <c r="L8" s="41">
        <v>42860</v>
      </c>
      <c r="M8" s="41">
        <f t="shared" si="4"/>
        <v>43225</v>
      </c>
      <c r="N8" s="46">
        <v>59200</v>
      </c>
      <c r="O8" s="47">
        <f t="shared" si="5"/>
        <v>5328</v>
      </c>
      <c r="P8" s="48">
        <f>SUM('Report July 2017'!$N8:$O8)</f>
        <v>64528</v>
      </c>
    </row>
    <row r="9" spans="1:16" ht="16" x14ac:dyDescent="0.2">
      <c r="A9" s="40" t="s">
        <v>65</v>
      </c>
      <c r="B9" s="25" t="s">
        <v>154</v>
      </c>
      <c r="C9" s="2" t="s">
        <v>14</v>
      </c>
      <c r="D9" s="19" t="s">
        <v>166</v>
      </c>
      <c r="E9" s="25" t="str">
        <f t="shared" si="0"/>
        <v>susan.filosa@pushpin.com</v>
      </c>
      <c r="F9" s="41">
        <v>38744</v>
      </c>
      <c r="G9" s="42">
        <f t="shared" ca="1" si="1"/>
        <v>16.027777777777779</v>
      </c>
      <c r="H9" s="43" t="s">
        <v>24</v>
      </c>
      <c r="I9" s="44" t="s">
        <v>112</v>
      </c>
      <c r="J9" s="45" t="str">
        <f t="shared" si="2"/>
        <v>02</v>
      </c>
      <c r="K9" s="45" t="str">
        <f t="shared" si="3"/>
        <v>2279</v>
      </c>
      <c r="L9" s="41">
        <v>42596</v>
      </c>
      <c r="M9" s="41">
        <f t="shared" si="4"/>
        <v>42961</v>
      </c>
      <c r="N9" s="46">
        <v>58400</v>
      </c>
      <c r="O9" s="47">
        <f t="shared" si="5"/>
        <v>5256</v>
      </c>
      <c r="P9" s="48">
        <f>SUM('Report July 2017'!$N9:$O9)</f>
        <v>63656</v>
      </c>
    </row>
    <row r="10" spans="1:16" ht="16" x14ac:dyDescent="0.2">
      <c r="A10" s="40" t="s">
        <v>69</v>
      </c>
      <c r="B10" s="25" t="s">
        <v>148</v>
      </c>
      <c r="C10" s="2" t="s">
        <v>18</v>
      </c>
      <c r="D10" s="19" t="s">
        <v>166</v>
      </c>
      <c r="E10" s="25" t="str">
        <f t="shared" si="0"/>
        <v>janet.comuntzis@pushpin.com</v>
      </c>
      <c r="F10" s="41">
        <v>39686</v>
      </c>
      <c r="G10" s="42">
        <f t="shared" ca="1" si="1"/>
        <v>13.447222222222223</v>
      </c>
      <c r="H10" s="43" t="s">
        <v>24</v>
      </c>
      <c r="I10" s="44" t="s">
        <v>109</v>
      </c>
      <c r="J10" s="45" t="str">
        <f t="shared" si="2"/>
        <v>02</v>
      </c>
      <c r="K10" s="45" t="str">
        <f t="shared" si="3"/>
        <v>2286</v>
      </c>
      <c r="L10" s="41">
        <v>42658</v>
      </c>
      <c r="M10" s="41">
        <f t="shared" si="4"/>
        <v>43023</v>
      </c>
      <c r="N10" s="46">
        <v>55800</v>
      </c>
      <c r="O10" s="47">
        <f t="shared" si="5"/>
        <v>5022</v>
      </c>
      <c r="P10" s="48">
        <f>SUM('Report July 2017'!$N10:$O10)</f>
        <v>60822</v>
      </c>
    </row>
    <row r="11" spans="1:16" ht="16" x14ac:dyDescent="0.2">
      <c r="A11" s="40" t="s">
        <v>77</v>
      </c>
      <c r="B11" s="25" t="s">
        <v>147</v>
      </c>
      <c r="C11" s="2" t="s">
        <v>20</v>
      </c>
      <c r="D11" s="19" t="s">
        <v>166</v>
      </c>
      <c r="E11" s="25" t="str">
        <f t="shared" si="0"/>
        <v>sabrina.cole@pushpin.com</v>
      </c>
      <c r="F11" s="41">
        <v>41401</v>
      </c>
      <c r="G11" s="42">
        <f t="shared" ca="1" si="1"/>
        <v>8.75</v>
      </c>
      <c r="H11" s="43" t="s">
        <v>24</v>
      </c>
      <c r="I11" s="44" t="s">
        <v>108</v>
      </c>
      <c r="J11" s="45" t="str">
        <f t="shared" si="2"/>
        <v>02</v>
      </c>
      <c r="K11" s="45" t="str">
        <f t="shared" si="3"/>
        <v>2537</v>
      </c>
      <c r="L11" s="41">
        <v>42710</v>
      </c>
      <c r="M11" s="41">
        <f t="shared" si="4"/>
        <v>43075</v>
      </c>
      <c r="N11" s="46">
        <v>45100</v>
      </c>
      <c r="O11" s="47">
        <f t="shared" si="5"/>
        <v>4059</v>
      </c>
      <c r="P11" s="48">
        <f>SUM('Report July 2017'!$N11:$O11)</f>
        <v>49159</v>
      </c>
    </row>
    <row r="12" spans="1:16" ht="16" x14ac:dyDescent="0.2">
      <c r="A12" s="40" t="s">
        <v>94</v>
      </c>
      <c r="B12" s="25" t="s">
        <v>145</v>
      </c>
      <c r="C12" s="2" t="s">
        <v>16</v>
      </c>
      <c r="D12" s="19" t="s">
        <v>166</v>
      </c>
      <c r="E12" s="25" t="str">
        <f t="shared" si="0"/>
        <v>elizabeth.clark@pushpin.com</v>
      </c>
      <c r="F12" s="41">
        <v>42874</v>
      </c>
      <c r="G12" s="42">
        <f t="shared" ca="1" si="1"/>
        <v>4.7166666666666668</v>
      </c>
      <c r="H12" s="43" t="s">
        <v>24</v>
      </c>
      <c r="I12" s="44" t="s">
        <v>107</v>
      </c>
      <c r="J12" s="45" t="str">
        <f t="shared" si="2"/>
        <v>02</v>
      </c>
      <c r="K12" s="45" t="str">
        <f t="shared" si="3"/>
        <v>2414</v>
      </c>
      <c r="L12" s="41">
        <v>42720</v>
      </c>
      <c r="M12" s="41">
        <f t="shared" si="4"/>
        <v>43085</v>
      </c>
      <c r="N12" s="46">
        <v>37000</v>
      </c>
      <c r="O12" s="47">
        <f t="shared" si="5"/>
        <v>3330</v>
      </c>
      <c r="P12" s="48">
        <f>SUM('Report July 2017'!$N12:$O12)</f>
        <v>40330</v>
      </c>
    </row>
    <row r="13" spans="1:16" ht="16" x14ac:dyDescent="0.2">
      <c r="A13" s="40" t="s">
        <v>8</v>
      </c>
      <c r="B13" s="25" t="s">
        <v>140</v>
      </c>
      <c r="C13" s="2" t="s">
        <v>23</v>
      </c>
      <c r="D13" s="19" t="s">
        <v>165</v>
      </c>
      <c r="E13" s="25" t="str">
        <f t="shared" si="0"/>
        <v>joe.carol@pushpin.com</v>
      </c>
      <c r="F13" s="41">
        <v>36923</v>
      </c>
      <c r="G13" s="42">
        <f t="shared" ca="1" si="1"/>
        <v>21.016666666666666</v>
      </c>
      <c r="H13" s="43" t="s">
        <v>22</v>
      </c>
      <c r="I13" s="44" t="s">
        <v>118</v>
      </c>
      <c r="J13" s="45" t="str">
        <f t="shared" si="2"/>
        <v>01</v>
      </c>
      <c r="K13" s="45" t="str">
        <f t="shared" si="3"/>
        <v>2321</v>
      </c>
      <c r="L13" s="41">
        <v>42817</v>
      </c>
      <c r="M13" s="41">
        <f t="shared" si="4"/>
        <v>43182</v>
      </c>
      <c r="N13" s="46">
        <v>101400</v>
      </c>
      <c r="O13" s="47">
        <f t="shared" si="5"/>
        <v>9126</v>
      </c>
      <c r="P13" s="48">
        <f>SUM('Report July 2017'!$N13:$O13)</f>
        <v>110526</v>
      </c>
    </row>
    <row r="14" spans="1:16" ht="16" x14ac:dyDescent="0.2">
      <c r="A14" s="40" t="s">
        <v>93</v>
      </c>
      <c r="B14" s="25" t="s">
        <v>159</v>
      </c>
      <c r="C14" s="2" t="s">
        <v>57</v>
      </c>
      <c r="D14" s="19" t="s">
        <v>166</v>
      </c>
      <c r="E14" s="25" t="str">
        <f t="shared" si="0"/>
        <v>mei.wang@pushpin.com</v>
      </c>
      <c r="F14" s="41">
        <v>40188</v>
      </c>
      <c r="G14" s="42">
        <f t="shared" ca="1" si="1"/>
        <v>12.074999999999999</v>
      </c>
      <c r="H14" s="43" t="s">
        <v>22</v>
      </c>
      <c r="I14" s="44" t="s">
        <v>114</v>
      </c>
      <c r="J14" s="45" t="str">
        <f t="shared" si="2"/>
        <v>01</v>
      </c>
      <c r="K14" s="45" t="str">
        <f t="shared" si="3"/>
        <v>2783</v>
      </c>
      <c r="L14" s="41">
        <v>42544</v>
      </c>
      <c r="M14" s="41">
        <f t="shared" si="4"/>
        <v>42909</v>
      </c>
      <c r="N14" s="46">
        <v>96400</v>
      </c>
      <c r="O14" s="47">
        <f t="shared" si="5"/>
        <v>8676</v>
      </c>
      <c r="P14" s="48">
        <f>SUM('Report July 2017'!$N14:$O14)</f>
        <v>105076</v>
      </c>
    </row>
    <row r="15" spans="1:16" ht="16" x14ac:dyDescent="0.2">
      <c r="A15" s="40" t="s">
        <v>78</v>
      </c>
      <c r="B15" s="25" t="s">
        <v>141</v>
      </c>
      <c r="C15" s="2" t="s">
        <v>27</v>
      </c>
      <c r="D15" s="19" t="s">
        <v>165</v>
      </c>
      <c r="E15" s="25" t="str">
        <f t="shared" si="0"/>
        <v>jim.chaffee@pushpin.com</v>
      </c>
      <c r="F15" s="41">
        <v>41787</v>
      </c>
      <c r="G15" s="42">
        <f t="shared" ca="1" si="1"/>
        <v>7.6916666666666664</v>
      </c>
      <c r="H15" s="43" t="s">
        <v>13</v>
      </c>
      <c r="I15" s="44" t="s">
        <v>102</v>
      </c>
      <c r="J15" s="45" t="str">
        <f t="shared" si="2"/>
        <v>03</v>
      </c>
      <c r="K15" s="45" t="str">
        <f t="shared" si="3"/>
        <v>2432</v>
      </c>
      <c r="L15" s="41">
        <v>42804</v>
      </c>
      <c r="M15" s="41">
        <f t="shared" si="4"/>
        <v>43169</v>
      </c>
      <c r="N15" s="46">
        <v>42100</v>
      </c>
      <c r="O15" s="47">
        <f t="shared" si="5"/>
        <v>3789</v>
      </c>
      <c r="P15" s="48">
        <f>SUM('Report July 2017'!$N15:$O15)</f>
        <v>45889</v>
      </c>
    </row>
    <row r="16" spans="1:16" ht="16" x14ac:dyDescent="0.2">
      <c r="A16" s="40" t="s">
        <v>74</v>
      </c>
      <c r="B16" s="25" t="s">
        <v>142</v>
      </c>
      <c r="C16" s="2" t="s">
        <v>61</v>
      </c>
      <c r="D16" s="19" t="s">
        <v>166</v>
      </c>
      <c r="E16" s="25" t="str">
        <f t="shared" si="0"/>
        <v>uma.chaudri@pushpin.com</v>
      </c>
      <c r="F16" s="41">
        <v>40994</v>
      </c>
      <c r="G16" s="42">
        <f t="shared" ca="1" si="1"/>
        <v>9.8638888888888889</v>
      </c>
      <c r="H16" s="43" t="s">
        <v>17</v>
      </c>
      <c r="I16" s="44" t="s">
        <v>119</v>
      </c>
      <c r="J16" s="45" t="str">
        <f t="shared" si="2"/>
        <v>03</v>
      </c>
      <c r="K16" s="45" t="str">
        <f t="shared" si="3"/>
        <v>2134</v>
      </c>
      <c r="L16" s="41">
        <v>42776</v>
      </c>
      <c r="M16" s="41">
        <f t="shared" si="4"/>
        <v>43141</v>
      </c>
      <c r="N16" s="46">
        <v>63200</v>
      </c>
      <c r="O16" s="47">
        <f t="shared" si="5"/>
        <v>5688</v>
      </c>
      <c r="P16" s="48">
        <f>SUM('Report July 2017'!$N16:$O16)</f>
        <v>68888</v>
      </c>
    </row>
    <row r="17" spans="1:16" ht="16" x14ac:dyDescent="0.2">
      <c r="A17" s="40" t="s">
        <v>86</v>
      </c>
      <c r="B17" s="25" t="s">
        <v>156</v>
      </c>
      <c r="C17" s="2" t="s">
        <v>157</v>
      </c>
      <c r="D17" s="19" t="s">
        <v>165</v>
      </c>
      <c r="E17" s="25" t="str">
        <f t="shared" si="0"/>
        <v>carlos.martinez@pushpin.com</v>
      </c>
      <c r="F17" s="41">
        <v>42229</v>
      </c>
      <c r="G17" s="42">
        <f t="shared" ca="1" si="1"/>
        <v>6.4833333333333334</v>
      </c>
      <c r="H17" s="43" t="s">
        <v>17</v>
      </c>
      <c r="I17" s="44" t="s">
        <v>99</v>
      </c>
      <c r="J17" s="45" t="str">
        <f t="shared" si="2"/>
        <v>03</v>
      </c>
      <c r="K17" s="45" t="str">
        <f t="shared" si="3"/>
        <v>2764</v>
      </c>
      <c r="L17" s="41">
        <v>42845</v>
      </c>
      <c r="M17" s="41">
        <f t="shared" si="4"/>
        <v>43210</v>
      </c>
      <c r="N17" s="46">
        <v>47900</v>
      </c>
      <c r="O17" s="47">
        <f t="shared" si="5"/>
        <v>4311</v>
      </c>
      <c r="P17" s="48">
        <f>SUM('Report July 2017'!$N17:$O17)</f>
        <v>52211</v>
      </c>
    </row>
    <row r="18" spans="1:16" ht="16" x14ac:dyDescent="0.2">
      <c r="A18" s="40" t="s">
        <v>91</v>
      </c>
      <c r="B18" s="25" t="s">
        <v>158</v>
      </c>
      <c r="C18" s="2" t="s">
        <v>58</v>
      </c>
      <c r="D18" s="19" t="s">
        <v>165</v>
      </c>
      <c r="E18" s="25" t="str">
        <f t="shared" si="0"/>
        <v>sean.sanders@pushpin.com</v>
      </c>
      <c r="F18" s="41">
        <v>42691</v>
      </c>
      <c r="G18" s="42">
        <f t="shared" ca="1" si="1"/>
        <v>5.2222222222222223</v>
      </c>
      <c r="H18" s="43" t="s">
        <v>17</v>
      </c>
      <c r="I18" s="44" t="s">
        <v>113</v>
      </c>
      <c r="J18" s="45" t="str">
        <f t="shared" si="2"/>
        <v>03</v>
      </c>
      <c r="K18" s="45" t="str">
        <f t="shared" si="3"/>
        <v>2765</v>
      </c>
      <c r="L18" s="41">
        <v>42566</v>
      </c>
      <c r="M18" s="41">
        <f t="shared" si="4"/>
        <v>42931</v>
      </c>
      <c r="N18" s="46">
        <v>38600</v>
      </c>
      <c r="O18" s="47">
        <f t="shared" si="5"/>
        <v>3474</v>
      </c>
      <c r="P18" s="48">
        <f>SUM('Report July 2017'!$N18:$O18)</f>
        <v>42074</v>
      </c>
    </row>
    <row r="19" spans="1:16" ht="16" x14ac:dyDescent="0.2">
      <c r="A19" s="40" t="s">
        <v>9</v>
      </c>
      <c r="B19" s="25" t="s">
        <v>144</v>
      </c>
      <c r="C19" s="2" t="s">
        <v>56</v>
      </c>
      <c r="D19" s="19" t="s">
        <v>165</v>
      </c>
      <c r="E19" s="25" t="str">
        <f t="shared" si="0"/>
        <v>eric.chung@pushpin.com</v>
      </c>
      <c r="F19" s="41">
        <v>36949</v>
      </c>
      <c r="G19" s="42">
        <f t="shared" ca="1" si="1"/>
        <v>20.944444444444443</v>
      </c>
      <c r="H19" s="43" t="s">
        <v>59</v>
      </c>
      <c r="I19" s="44" t="s">
        <v>105</v>
      </c>
      <c r="J19" s="45" t="str">
        <f t="shared" si="2"/>
        <v>03</v>
      </c>
      <c r="K19" s="45" t="str">
        <f t="shared" si="3"/>
        <v>2796</v>
      </c>
      <c r="L19" s="41">
        <v>42731</v>
      </c>
      <c r="M19" s="41">
        <f t="shared" si="4"/>
        <v>43096</v>
      </c>
      <c r="N19" s="46">
        <v>70300</v>
      </c>
      <c r="O19" s="47">
        <f t="shared" si="5"/>
        <v>6327</v>
      </c>
      <c r="P19" s="48">
        <f>SUM('Report July 2017'!$N19:$O19)</f>
        <v>76627</v>
      </c>
    </row>
    <row r="20" spans="1:16" ht="16" x14ac:dyDescent="0.2">
      <c r="A20" s="40" t="s">
        <v>71</v>
      </c>
      <c r="B20" s="25" t="s">
        <v>143</v>
      </c>
      <c r="C20" s="2" t="s">
        <v>16</v>
      </c>
      <c r="D20" s="19" t="s">
        <v>166</v>
      </c>
      <c r="E20" s="25" t="str">
        <f t="shared" si="0"/>
        <v>elizabeth.chu@pushpin.com</v>
      </c>
      <c r="F20" s="41">
        <v>40220</v>
      </c>
      <c r="G20" s="42">
        <f t="shared" ca="1" si="1"/>
        <v>11.988888888888889</v>
      </c>
      <c r="H20" s="43" t="s">
        <v>59</v>
      </c>
      <c r="I20" s="44" t="s">
        <v>104</v>
      </c>
      <c r="J20" s="45" t="str">
        <f t="shared" si="2"/>
        <v>01</v>
      </c>
      <c r="K20" s="45" t="str">
        <f t="shared" si="3"/>
        <v>2425</v>
      </c>
      <c r="L20" s="41">
        <v>42761</v>
      </c>
      <c r="M20" s="41">
        <f t="shared" si="4"/>
        <v>43126</v>
      </c>
      <c r="N20" s="46">
        <v>48400</v>
      </c>
      <c r="O20" s="47">
        <f t="shared" si="5"/>
        <v>4356</v>
      </c>
      <c r="P20" s="48">
        <f>SUM('Report July 2017'!$N20:$O20)</f>
        <v>52756</v>
      </c>
    </row>
    <row r="21" spans="1:16" ht="16" x14ac:dyDescent="0.2">
      <c r="A21" s="40" t="s">
        <v>75</v>
      </c>
      <c r="B21" s="25" t="s">
        <v>150</v>
      </c>
      <c r="C21" s="2" t="s">
        <v>28</v>
      </c>
      <c r="D21" s="19" t="s">
        <v>166</v>
      </c>
      <c r="E21" s="25" t="str">
        <f t="shared" si="0"/>
        <v>tina.desiato@pushpin.com</v>
      </c>
      <c r="F21" s="41">
        <v>41175</v>
      </c>
      <c r="G21" s="42">
        <f t="shared" ca="1" si="1"/>
        <v>9.3722222222222218</v>
      </c>
      <c r="H21" s="25" t="s">
        <v>59</v>
      </c>
      <c r="I21" s="44" t="s">
        <v>121</v>
      </c>
      <c r="J21" s="45" t="str">
        <f t="shared" si="2"/>
        <v>01</v>
      </c>
      <c r="K21" s="45" t="str">
        <f t="shared" si="3"/>
        <v>2358</v>
      </c>
      <c r="L21" s="41">
        <v>42652</v>
      </c>
      <c r="M21" s="41">
        <f t="shared" si="4"/>
        <v>43017</v>
      </c>
      <c r="N21" s="46">
        <v>51700</v>
      </c>
      <c r="O21" s="47">
        <f t="shared" si="5"/>
        <v>4653</v>
      </c>
      <c r="P21" s="48">
        <f>SUM('Report July 2017'!$N21:$O21)</f>
        <v>56353</v>
      </c>
    </row>
    <row r="22" spans="1:16" ht="16" x14ac:dyDescent="0.2">
      <c r="A22" s="40" t="s">
        <v>76</v>
      </c>
      <c r="B22" s="25" t="s">
        <v>149</v>
      </c>
      <c r="C22" s="2" t="s">
        <v>19</v>
      </c>
      <c r="D22" s="19" t="s">
        <v>165</v>
      </c>
      <c r="E22" s="25" t="str">
        <f t="shared" si="0"/>
        <v>bob.decker@pushpin.com</v>
      </c>
      <c r="F22" s="41">
        <v>41210</v>
      </c>
      <c r="G22" s="42">
        <f t="shared" ca="1" si="1"/>
        <v>9.2750000000000004</v>
      </c>
      <c r="H22" s="43" t="s">
        <v>59</v>
      </c>
      <c r="I22" s="44" t="s">
        <v>120</v>
      </c>
      <c r="J22" s="45" t="str">
        <f t="shared" si="2"/>
        <v>01</v>
      </c>
      <c r="K22" s="45" t="str">
        <f t="shared" si="3"/>
        <v>2086</v>
      </c>
      <c r="L22" s="41">
        <v>42656</v>
      </c>
      <c r="M22" s="41">
        <f t="shared" si="4"/>
        <v>43021</v>
      </c>
      <c r="N22" s="46">
        <v>49600</v>
      </c>
      <c r="O22" s="47">
        <f t="shared" si="5"/>
        <v>4464</v>
      </c>
      <c r="P22" s="48">
        <f>SUM('Report July 2017'!$N22:$O22)</f>
        <v>54064</v>
      </c>
    </row>
    <row r="23" spans="1:16" ht="16" x14ac:dyDescent="0.2">
      <c r="A23" s="40" t="s">
        <v>89</v>
      </c>
      <c r="B23" s="25" t="s">
        <v>152</v>
      </c>
      <c r="C23" s="2" t="s">
        <v>25</v>
      </c>
      <c r="D23" s="19" t="s">
        <v>165</v>
      </c>
      <c r="E23" s="25" t="str">
        <f t="shared" si="0"/>
        <v>mark.ellis@pushpin.com</v>
      </c>
      <c r="F23" s="41">
        <v>42371</v>
      </c>
      <c r="G23" s="42">
        <f t="shared" ca="1" si="1"/>
        <v>6.0972222222222223</v>
      </c>
      <c r="H23" s="43" t="s">
        <v>59</v>
      </c>
      <c r="I23" s="44" t="s">
        <v>111</v>
      </c>
      <c r="J23" s="45" t="str">
        <f t="shared" si="2"/>
        <v>03</v>
      </c>
      <c r="K23" s="45" t="str">
        <f t="shared" si="3"/>
        <v>2482</v>
      </c>
      <c r="L23" s="41">
        <v>42619</v>
      </c>
      <c r="M23" s="41">
        <f t="shared" si="4"/>
        <v>42984</v>
      </c>
      <c r="N23" s="46">
        <v>58500</v>
      </c>
      <c r="O23" s="47">
        <f t="shared" si="5"/>
        <v>5265</v>
      </c>
      <c r="P23" s="48">
        <f>SUM('Report July 2017'!$N23:$O23)</f>
        <v>63765</v>
      </c>
    </row>
    <row r="24" spans="1:16" ht="16" x14ac:dyDescent="0.2">
      <c r="A24" s="40" t="s">
        <v>172</v>
      </c>
      <c r="B24" s="25" t="s">
        <v>173</v>
      </c>
      <c r="C24" s="2" t="s">
        <v>174</v>
      </c>
      <c r="D24" s="19" t="s">
        <v>165</v>
      </c>
      <c r="E24" s="25" t="str">
        <f t="shared" si="0"/>
        <v>william.grey@pushpin.com</v>
      </c>
      <c r="F24" s="49">
        <v>42933</v>
      </c>
      <c r="G24" s="42">
        <f t="shared" ca="1" si="1"/>
        <v>4.5555555555555554</v>
      </c>
      <c r="H24" s="43" t="s">
        <v>175</v>
      </c>
      <c r="I24" s="44"/>
      <c r="J24" s="45" t="str">
        <f t="shared" si="2"/>
        <v/>
      </c>
      <c r="K24" s="45" t="str">
        <f t="shared" si="3"/>
        <v/>
      </c>
      <c r="L24" s="49">
        <v>42933</v>
      </c>
      <c r="M24" s="49">
        <f t="shared" si="4"/>
        <v>43298</v>
      </c>
      <c r="N24" s="46">
        <v>97000</v>
      </c>
      <c r="O24" s="47">
        <f t="shared" si="5"/>
        <v>8730</v>
      </c>
      <c r="P24" s="48">
        <f>SUM('Report July 2017'!$N24:$O24)</f>
        <v>105730</v>
      </c>
    </row>
    <row r="25" spans="1:16" ht="16" x14ac:dyDescent="0.2">
      <c r="A25" s="40" t="s">
        <v>11</v>
      </c>
      <c r="B25" s="25" t="s">
        <v>155</v>
      </c>
      <c r="C25" s="2" t="s">
        <v>10</v>
      </c>
      <c r="D25" s="19" t="s">
        <v>165</v>
      </c>
      <c r="E25" s="25" t="str">
        <f t="shared" si="0"/>
        <v>daniel.flanders@pushpin.com</v>
      </c>
      <c r="F25" s="41">
        <v>37510</v>
      </c>
      <c r="G25" s="42">
        <f t="shared" ca="1" si="1"/>
        <v>19.405555555555555</v>
      </c>
      <c r="H25" s="43" t="s">
        <v>55</v>
      </c>
      <c r="I25" s="44" t="s">
        <v>124</v>
      </c>
      <c r="J25" s="45" t="str">
        <f t="shared" si="2"/>
        <v>02</v>
      </c>
      <c r="K25" s="45" t="str">
        <f t="shared" si="3"/>
        <v>2639</v>
      </c>
      <c r="L25" s="41">
        <v>42590</v>
      </c>
      <c r="M25" s="41">
        <f t="shared" si="4"/>
        <v>42955</v>
      </c>
      <c r="N25" s="46">
        <v>68800</v>
      </c>
      <c r="O25" s="47">
        <f t="shared" si="5"/>
        <v>6192</v>
      </c>
      <c r="P25" s="48">
        <f>SUM('Report July 2017'!$N25:$O25)</f>
        <v>74992</v>
      </c>
    </row>
    <row r="26" spans="1:16" ht="16" x14ac:dyDescent="0.2">
      <c r="A26" s="40" t="s">
        <v>64</v>
      </c>
      <c r="B26" s="25" t="s">
        <v>153</v>
      </c>
      <c r="C26" s="2" t="s">
        <v>21</v>
      </c>
      <c r="D26" s="19" t="s">
        <v>166</v>
      </c>
      <c r="E26" s="25" t="str">
        <f t="shared" si="0"/>
        <v>mary.ferris@pushpin.com</v>
      </c>
      <c r="F26" s="41">
        <v>38548</v>
      </c>
      <c r="G26" s="42">
        <f t="shared" ca="1" si="1"/>
        <v>16.56111111111111</v>
      </c>
      <c r="H26" s="43" t="s">
        <v>55</v>
      </c>
      <c r="I26" s="44" t="s">
        <v>123</v>
      </c>
      <c r="J26" s="45" t="str">
        <f t="shared" si="2"/>
        <v>03</v>
      </c>
      <c r="K26" s="45" t="str">
        <f t="shared" si="3"/>
        <v>2392</v>
      </c>
      <c r="L26" s="41">
        <v>42598</v>
      </c>
      <c r="M26" s="41">
        <f t="shared" si="4"/>
        <v>42963</v>
      </c>
      <c r="N26" s="46">
        <v>62900</v>
      </c>
      <c r="O26" s="47">
        <f t="shared" si="5"/>
        <v>5661</v>
      </c>
      <c r="P26" s="48">
        <f>SUM('Report July 2017'!$N26:$O26)</f>
        <v>68561</v>
      </c>
    </row>
    <row r="27" spans="1:16" ht="16" x14ac:dyDescent="0.2">
      <c r="A27" s="40" t="s">
        <v>66</v>
      </c>
      <c r="B27" s="25" t="s">
        <v>29</v>
      </c>
      <c r="C27" s="2" t="s">
        <v>28</v>
      </c>
      <c r="D27" s="19" t="s">
        <v>166</v>
      </c>
      <c r="E27" s="25" t="str">
        <f t="shared" si="0"/>
        <v>tina.carlton@pushpin.com</v>
      </c>
      <c r="F27" s="41">
        <v>38798</v>
      </c>
      <c r="G27" s="42">
        <f t="shared" ca="1" si="1"/>
        <v>15.875</v>
      </c>
      <c r="H27" s="43" t="s">
        <v>55</v>
      </c>
      <c r="I27" s="44" t="s">
        <v>101</v>
      </c>
      <c r="J27" s="45" t="str">
        <f t="shared" si="2"/>
        <v>02</v>
      </c>
      <c r="K27" s="45" t="str">
        <f t="shared" si="3"/>
        <v>2699</v>
      </c>
      <c r="L27" s="41">
        <v>42825</v>
      </c>
      <c r="M27" s="41">
        <f t="shared" si="4"/>
        <v>43190</v>
      </c>
      <c r="N27" s="46">
        <v>59200</v>
      </c>
      <c r="O27" s="47">
        <f t="shared" si="5"/>
        <v>5328</v>
      </c>
      <c r="P27" s="48">
        <f>SUM('Report July 2017'!$N27:$O27)</f>
        <v>64528</v>
      </c>
    </row>
    <row r="28" spans="1:16" ht="16" x14ac:dyDescent="0.2">
      <c r="A28" s="40" t="s">
        <v>68</v>
      </c>
      <c r="B28" s="25" t="s">
        <v>49</v>
      </c>
      <c r="C28" s="2" t="s">
        <v>48</v>
      </c>
      <c r="D28" s="19" t="s">
        <v>165</v>
      </c>
      <c r="E28" s="25" t="str">
        <f t="shared" si="0"/>
        <v>stevie.bacata@pushpin.com</v>
      </c>
      <c r="F28" s="41">
        <v>39551</v>
      </c>
      <c r="G28" s="42">
        <f t="shared" ca="1" si="1"/>
        <v>13.816666666666666</v>
      </c>
      <c r="H28" s="43" t="s">
        <v>55</v>
      </c>
      <c r="I28" s="44" t="s">
        <v>96</v>
      </c>
      <c r="J28" s="45" t="str">
        <f t="shared" si="2"/>
        <v>02</v>
      </c>
      <c r="K28" s="45" t="str">
        <f t="shared" si="3"/>
        <v>2635</v>
      </c>
      <c r="L28" s="41">
        <v>42507</v>
      </c>
      <c r="M28" s="41">
        <f t="shared" si="4"/>
        <v>42872</v>
      </c>
      <c r="N28" s="46">
        <v>58200</v>
      </c>
      <c r="O28" s="47">
        <f t="shared" si="5"/>
        <v>5238</v>
      </c>
      <c r="P28" s="48">
        <f>SUM('Report July 2017'!$N28:$O28)</f>
        <v>63438</v>
      </c>
    </row>
    <row r="29" spans="1:16" ht="16" x14ac:dyDescent="0.2">
      <c r="A29" s="40" t="s">
        <v>70</v>
      </c>
      <c r="B29" s="25" t="s">
        <v>33</v>
      </c>
      <c r="C29" s="2" t="s">
        <v>32</v>
      </c>
      <c r="D29" s="19" t="s">
        <v>165</v>
      </c>
      <c r="E29" s="25" t="str">
        <f t="shared" si="0"/>
        <v>mihael.khan@pushpin.com</v>
      </c>
      <c r="F29" s="41">
        <v>40160</v>
      </c>
      <c r="G29" s="42">
        <f t="shared" ca="1" si="1"/>
        <v>12.15</v>
      </c>
      <c r="H29" s="43" t="s">
        <v>55</v>
      </c>
      <c r="I29" s="44" t="s">
        <v>127</v>
      </c>
      <c r="J29" s="45" t="str">
        <f t="shared" si="2"/>
        <v>02</v>
      </c>
      <c r="K29" s="45" t="str">
        <f t="shared" si="3"/>
        <v>2294</v>
      </c>
      <c r="L29" s="41">
        <v>42566</v>
      </c>
      <c r="M29" s="41">
        <f t="shared" si="4"/>
        <v>42931</v>
      </c>
      <c r="N29" s="46">
        <v>55500</v>
      </c>
      <c r="O29" s="47">
        <f t="shared" si="5"/>
        <v>4995</v>
      </c>
      <c r="P29" s="48">
        <f>SUM('Report July 2017'!$N29:$O29)</f>
        <v>60495</v>
      </c>
    </row>
    <row r="30" spans="1:16" ht="16" x14ac:dyDescent="0.2">
      <c r="A30" s="40" t="s">
        <v>72</v>
      </c>
      <c r="B30" s="25" t="s">
        <v>31</v>
      </c>
      <c r="C30" s="2" t="s">
        <v>30</v>
      </c>
      <c r="D30" s="19" t="s">
        <v>166</v>
      </c>
      <c r="E30" s="25" t="str">
        <f t="shared" si="0"/>
        <v>samantha.chairs@pushpin.com</v>
      </c>
      <c r="F30" s="41">
        <v>40595</v>
      </c>
      <c r="G30" s="42">
        <f t="shared" ca="1" si="1"/>
        <v>10.96111111111111</v>
      </c>
      <c r="H30" s="43" t="s">
        <v>55</v>
      </c>
      <c r="I30" s="44" t="s">
        <v>103</v>
      </c>
      <c r="J30" s="45" t="str">
        <f t="shared" si="2"/>
        <v>02</v>
      </c>
      <c r="K30" s="45" t="str">
        <f t="shared" si="3"/>
        <v>2962</v>
      </c>
      <c r="L30" s="41">
        <v>42801</v>
      </c>
      <c r="M30" s="41">
        <f t="shared" si="4"/>
        <v>43166</v>
      </c>
      <c r="N30" s="46">
        <v>59300</v>
      </c>
      <c r="O30" s="47">
        <f t="shared" si="5"/>
        <v>5337</v>
      </c>
      <c r="P30" s="48">
        <f>SUM('Report July 2017'!$N30:$O30)</f>
        <v>64637</v>
      </c>
    </row>
    <row r="31" spans="1:16" ht="16" x14ac:dyDescent="0.2">
      <c r="A31" s="40" t="s">
        <v>73</v>
      </c>
      <c r="B31" s="25" t="s">
        <v>39</v>
      </c>
      <c r="C31" s="2" t="s">
        <v>38</v>
      </c>
      <c r="D31" s="19" t="s">
        <v>166</v>
      </c>
      <c r="E31" s="25" t="str">
        <f t="shared" si="0"/>
        <v>natasha.song@pushpin.com</v>
      </c>
      <c r="F31" s="41">
        <v>40713</v>
      </c>
      <c r="G31" s="42">
        <f t="shared" ca="1" si="1"/>
        <v>10.633333333333333</v>
      </c>
      <c r="H31" s="43" t="s">
        <v>55</v>
      </c>
      <c r="I31" s="44" t="s">
        <v>129</v>
      </c>
      <c r="J31" s="45" t="str">
        <f t="shared" si="2"/>
        <v>02</v>
      </c>
      <c r="K31" s="45" t="str">
        <f t="shared" si="3"/>
        <v>2578</v>
      </c>
      <c r="L31" s="41">
        <v>42552</v>
      </c>
      <c r="M31" s="41">
        <f t="shared" si="4"/>
        <v>42917</v>
      </c>
      <c r="N31" s="46">
        <v>56000</v>
      </c>
      <c r="O31" s="47">
        <f t="shared" si="5"/>
        <v>5040</v>
      </c>
      <c r="P31" s="48">
        <f>SUM('Report July 2017'!$N31:$O31)</f>
        <v>61040</v>
      </c>
    </row>
    <row r="32" spans="1:16" ht="16" x14ac:dyDescent="0.2">
      <c r="A32" s="40" t="s">
        <v>80</v>
      </c>
      <c r="B32" s="25" t="s">
        <v>47</v>
      </c>
      <c r="C32" s="2" t="s">
        <v>46</v>
      </c>
      <c r="D32" s="19" t="s">
        <v>165</v>
      </c>
      <c r="E32" s="25" t="str">
        <f t="shared" si="0"/>
        <v>charlie.bui@pushpin.com</v>
      </c>
      <c r="F32" s="41">
        <v>41903</v>
      </c>
      <c r="G32" s="42">
        <f t="shared" ca="1" si="1"/>
        <v>7.3777777777777782</v>
      </c>
      <c r="H32" s="43" t="s">
        <v>55</v>
      </c>
      <c r="I32" s="44" t="s">
        <v>117</v>
      </c>
      <c r="J32" s="45" t="str">
        <f t="shared" si="2"/>
        <v>02</v>
      </c>
      <c r="K32" s="45" t="str">
        <f t="shared" si="3"/>
        <v>2694</v>
      </c>
      <c r="L32" s="41">
        <v>42828</v>
      </c>
      <c r="M32" s="41">
        <f t="shared" si="4"/>
        <v>43193</v>
      </c>
      <c r="N32" s="46">
        <v>54700</v>
      </c>
      <c r="O32" s="47">
        <f t="shared" si="5"/>
        <v>4923</v>
      </c>
      <c r="P32" s="48">
        <f>SUM('Report July 2017'!$N32:$O32)</f>
        <v>59623</v>
      </c>
    </row>
    <row r="33" spans="1:16" ht="16" x14ac:dyDescent="0.2">
      <c r="A33" s="40" t="s">
        <v>81</v>
      </c>
      <c r="B33" s="25" t="s">
        <v>43</v>
      </c>
      <c r="C33" s="2" t="s">
        <v>42</v>
      </c>
      <c r="D33" s="19" t="s">
        <v>165</v>
      </c>
      <c r="E33" s="25" t="str">
        <f t="shared" si="0"/>
        <v>connor.betts@pushpin.com</v>
      </c>
      <c r="F33" s="41">
        <v>41956</v>
      </c>
      <c r="G33" s="42">
        <f t="shared" ca="1" si="1"/>
        <v>7.2333333333333334</v>
      </c>
      <c r="H33" s="43" t="s">
        <v>55</v>
      </c>
      <c r="I33" s="44" t="s">
        <v>98</v>
      </c>
      <c r="J33" s="45" t="str">
        <f t="shared" si="2"/>
        <v>02</v>
      </c>
      <c r="K33" s="45" t="str">
        <f t="shared" si="3"/>
        <v>2347</v>
      </c>
      <c r="L33" s="41">
        <v>42848</v>
      </c>
      <c r="M33" s="41">
        <f t="shared" si="4"/>
        <v>43213</v>
      </c>
      <c r="N33" s="46">
        <v>52600</v>
      </c>
      <c r="O33" s="47">
        <f t="shared" si="5"/>
        <v>4734</v>
      </c>
      <c r="P33" s="48">
        <f>SUM('Report July 2017'!$N33:$O33)</f>
        <v>57334</v>
      </c>
    </row>
    <row r="34" spans="1:16" ht="16" x14ac:dyDescent="0.2">
      <c r="A34" s="40" t="s">
        <v>83</v>
      </c>
      <c r="B34" s="25" t="s">
        <v>41</v>
      </c>
      <c r="C34" s="2" t="s">
        <v>40</v>
      </c>
      <c r="D34" s="19" t="s">
        <v>166</v>
      </c>
      <c r="E34" s="25" t="str">
        <f t="shared" si="0"/>
        <v>aanya.zhang@pushpin.com</v>
      </c>
      <c r="F34" s="41">
        <v>42002</v>
      </c>
      <c r="G34" s="42">
        <f t="shared" ca="1" si="1"/>
        <v>7.1055555555555552</v>
      </c>
      <c r="H34" s="43" t="s">
        <v>55</v>
      </c>
      <c r="I34" s="44" t="s">
        <v>131</v>
      </c>
      <c r="J34" s="45" t="str">
        <f t="shared" si="2"/>
        <v>02</v>
      </c>
      <c r="K34" s="45" t="str">
        <f t="shared" si="3"/>
        <v>2793</v>
      </c>
      <c r="L34" s="41">
        <v>42540</v>
      </c>
      <c r="M34" s="41">
        <f t="shared" si="4"/>
        <v>42905</v>
      </c>
      <c r="N34" s="46">
        <v>46500</v>
      </c>
      <c r="O34" s="47">
        <f t="shared" si="5"/>
        <v>4185</v>
      </c>
      <c r="P34" s="48">
        <f>SUM('Report July 2017'!$N34:$O34)</f>
        <v>50685</v>
      </c>
    </row>
    <row r="35" spans="1:16" ht="16" x14ac:dyDescent="0.2">
      <c r="A35" s="40" t="s">
        <v>84</v>
      </c>
      <c r="B35" s="25" t="s">
        <v>37</v>
      </c>
      <c r="C35" s="2" t="s">
        <v>36</v>
      </c>
      <c r="D35" s="19" t="s">
        <v>165</v>
      </c>
      <c r="E35" s="25" t="str">
        <f t="shared" si="0"/>
        <v>leighton.forrest@pushpin.com</v>
      </c>
      <c r="F35" s="41">
        <v>42120</v>
      </c>
      <c r="G35" s="42">
        <f t="shared" ca="1" si="1"/>
        <v>6.7805555555555559</v>
      </c>
      <c r="H35" s="43" t="s">
        <v>55</v>
      </c>
      <c r="I35" s="44" t="s">
        <v>125</v>
      </c>
      <c r="J35" s="45" t="str">
        <f t="shared" si="2"/>
        <v>02</v>
      </c>
      <c r="K35" s="45" t="str">
        <f t="shared" si="3"/>
        <v>2284</v>
      </c>
      <c r="L35" s="41">
        <v>42586</v>
      </c>
      <c r="M35" s="41">
        <f t="shared" si="4"/>
        <v>42951</v>
      </c>
      <c r="N35" s="46">
        <v>56200</v>
      </c>
      <c r="O35" s="47">
        <f t="shared" si="5"/>
        <v>5058</v>
      </c>
      <c r="P35" s="48">
        <f>SUM('Report July 2017'!$N35:$O35)</f>
        <v>61258</v>
      </c>
    </row>
    <row r="36" spans="1:16" ht="16" x14ac:dyDescent="0.2">
      <c r="A36" s="40" t="s">
        <v>87</v>
      </c>
      <c r="B36" s="25" t="s">
        <v>53</v>
      </c>
      <c r="C36" s="2" t="s">
        <v>115</v>
      </c>
      <c r="D36" s="19" t="s">
        <v>165</v>
      </c>
      <c r="E36" s="25" t="str">
        <f t="shared" si="0"/>
        <v>peter.staples@pushpin.com</v>
      </c>
      <c r="F36" s="41">
        <v>42321</v>
      </c>
      <c r="G36" s="42">
        <f t="shared" ca="1" si="1"/>
        <v>6.2333333333333334</v>
      </c>
      <c r="H36" s="43" t="s">
        <v>55</v>
      </c>
      <c r="I36" s="44" t="s">
        <v>130</v>
      </c>
      <c r="J36" s="45" t="str">
        <f t="shared" si="2"/>
        <v>02</v>
      </c>
      <c r="K36" s="45" t="str">
        <f t="shared" si="3"/>
        <v>2654</v>
      </c>
      <c r="L36" s="41">
        <v>42551</v>
      </c>
      <c r="M36" s="41">
        <f t="shared" si="4"/>
        <v>42916</v>
      </c>
      <c r="N36" s="46">
        <v>49600</v>
      </c>
      <c r="O36" s="47">
        <f t="shared" si="5"/>
        <v>4464</v>
      </c>
      <c r="P36" s="48">
        <f>SUM('Report July 2017'!$N36:$O36)</f>
        <v>54064</v>
      </c>
    </row>
    <row r="37" spans="1:16" ht="16" x14ac:dyDescent="0.2">
      <c r="A37" s="40" t="s">
        <v>88</v>
      </c>
      <c r="B37" s="25" t="s">
        <v>54</v>
      </c>
      <c r="C37" s="2" t="s">
        <v>52</v>
      </c>
      <c r="D37" s="19" t="s">
        <v>166</v>
      </c>
      <c r="E37" s="25" t="str">
        <f t="shared" si="0"/>
        <v>radhya.senome@pushpin.com</v>
      </c>
      <c r="F37" s="41">
        <v>42324</v>
      </c>
      <c r="G37" s="42">
        <f t="shared" ca="1" si="1"/>
        <v>6.2249999999999996</v>
      </c>
      <c r="H37" s="43" t="s">
        <v>55</v>
      </c>
      <c r="I37" s="44" t="s">
        <v>128</v>
      </c>
      <c r="J37" s="45" t="str">
        <f t="shared" si="2"/>
        <v>02</v>
      </c>
      <c r="K37" s="45" t="str">
        <f t="shared" si="3"/>
        <v>2260</v>
      </c>
      <c r="L37" s="41">
        <v>42563</v>
      </c>
      <c r="M37" s="41">
        <f t="shared" si="4"/>
        <v>42928</v>
      </c>
      <c r="N37" s="46">
        <v>35600</v>
      </c>
      <c r="O37" s="47">
        <f t="shared" si="5"/>
        <v>3204</v>
      </c>
      <c r="P37" s="48">
        <f>SUM('Report July 2017'!$N37:$O37)</f>
        <v>38804</v>
      </c>
    </row>
    <row r="38" spans="1:16" ht="16" x14ac:dyDescent="0.2">
      <c r="A38" s="40" t="s">
        <v>90</v>
      </c>
      <c r="B38" s="25" t="s">
        <v>45</v>
      </c>
      <c r="C38" s="2" t="s">
        <v>44</v>
      </c>
      <c r="D38" s="19" t="s">
        <v>166</v>
      </c>
      <c r="E38" s="25" t="str">
        <f t="shared" si="0"/>
        <v>yvette.biti@pushpin.com</v>
      </c>
      <c r="F38" s="41">
        <v>42384</v>
      </c>
      <c r="G38" s="42">
        <f t="shared" ca="1" si="1"/>
        <v>6.0611111111111109</v>
      </c>
      <c r="H38" s="43" t="s">
        <v>55</v>
      </c>
      <c r="I38" s="44" t="s">
        <v>100</v>
      </c>
      <c r="J38" s="45" t="str">
        <f t="shared" si="2"/>
        <v>02</v>
      </c>
      <c r="K38" s="45" t="str">
        <f t="shared" si="3"/>
        <v>2589</v>
      </c>
      <c r="L38" s="41">
        <v>42839</v>
      </c>
      <c r="M38" s="41">
        <f t="shared" si="4"/>
        <v>43204</v>
      </c>
      <c r="N38" s="46">
        <v>51400</v>
      </c>
      <c r="O38" s="47">
        <f t="shared" si="5"/>
        <v>4626</v>
      </c>
      <c r="P38" s="48">
        <f>SUM('Report July 2017'!$N38:$O38)</f>
        <v>56026</v>
      </c>
    </row>
    <row r="39" spans="1:16" ht="17" thickBot="1" x14ac:dyDescent="0.25">
      <c r="A39" s="50" t="s">
        <v>92</v>
      </c>
      <c r="B39" s="26" t="s">
        <v>35</v>
      </c>
      <c r="C39" s="51" t="s">
        <v>34</v>
      </c>
      <c r="D39" s="52" t="s">
        <v>166</v>
      </c>
      <c r="E39" s="26" t="str">
        <f t="shared" si="0"/>
        <v>phoebe.gour@pushpin.com</v>
      </c>
      <c r="F39" s="53">
        <v>42721</v>
      </c>
      <c r="G39" s="54">
        <f t="shared" ca="1" si="1"/>
        <v>5.1388888888888893</v>
      </c>
      <c r="H39" s="55" t="s">
        <v>55</v>
      </c>
      <c r="I39" s="56" t="s">
        <v>126</v>
      </c>
      <c r="J39" s="57" t="str">
        <f t="shared" si="2"/>
        <v>02</v>
      </c>
      <c r="K39" s="57" t="str">
        <f t="shared" si="3"/>
        <v>2910</v>
      </c>
      <c r="L39" s="53">
        <v>42539</v>
      </c>
      <c r="M39" s="53">
        <f t="shared" si="4"/>
        <v>42904</v>
      </c>
      <c r="N39" s="58">
        <v>40500</v>
      </c>
      <c r="O39" s="59">
        <f t="shared" si="5"/>
        <v>3645</v>
      </c>
      <c r="P39" s="60">
        <f>SUM('Report July 2017'!$N39:$O39)</f>
        <v>44145</v>
      </c>
    </row>
    <row r="41" spans="1:16" ht="16" x14ac:dyDescent="0.2">
      <c r="E41" s="13"/>
    </row>
    <row r="42" spans="1:16" ht="16" x14ac:dyDescent="0.2">
      <c r="E42" s="13"/>
    </row>
    <row r="43" spans="1:16" ht="16" x14ac:dyDescent="0.2">
      <c r="E43" s="13"/>
    </row>
  </sheetData>
  <conditionalFormatting sqref="M4:M39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Staff</vt:lpstr>
      <vt:lpstr>Stats</vt:lpstr>
      <vt:lpstr>Report July 2017</vt:lpstr>
      <vt:lpstr>'Report July 2017'!Annual_Salary</vt:lpstr>
      <vt:lpstr>Annual_Salary</vt:lpstr>
      <vt:lpstr>'Report July 2017'!Date_of_Hire</vt:lpstr>
      <vt:lpstr>Date_of_Hire</vt:lpstr>
      <vt:lpstr>'Report July 2017'!Department</vt:lpstr>
      <vt:lpstr>Department</vt:lpstr>
      <vt:lpstr>'Report July 2017'!Email</vt:lpstr>
      <vt:lpstr>Email</vt:lpstr>
      <vt:lpstr>'Report July 2017'!Emp_ID</vt:lpstr>
      <vt:lpstr>Emp_ID</vt:lpstr>
      <vt:lpstr>'Report July 2017'!Extension</vt:lpstr>
      <vt:lpstr>Extension</vt:lpstr>
      <vt:lpstr>'Report July 2017'!First</vt:lpstr>
      <vt:lpstr>First</vt:lpstr>
      <vt:lpstr>'Report July 2017'!Floor</vt:lpstr>
      <vt:lpstr>Floor</vt:lpstr>
      <vt:lpstr>'Report July 2017'!Gender</vt:lpstr>
      <vt:lpstr>Gender</vt:lpstr>
      <vt:lpstr>'Report July 2017'!Last</vt:lpstr>
      <vt:lpstr>Last</vt:lpstr>
      <vt:lpstr>'Report July 2017'!Last_Review</vt:lpstr>
      <vt:lpstr>Last_Review</vt:lpstr>
      <vt:lpstr>'Report July 2017'!Location</vt:lpstr>
      <vt:lpstr>Location</vt:lpstr>
      <vt:lpstr>'Report July 2017'!Next_Review</vt:lpstr>
      <vt:lpstr>Next_Review</vt:lpstr>
      <vt:lpstr>'Report July 2017'!Pension</vt:lpstr>
      <vt:lpstr>Pension</vt:lpstr>
      <vt:lpstr>'Report July 2017'!Pension_Rate</vt:lpstr>
      <vt:lpstr>Pension_Rate</vt:lpstr>
      <vt:lpstr>'Report July 2017'!Years_Service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2022-02-07T00:57:06Z</dcterms:modified>
</cp:coreProperties>
</file>