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LTspice\Simulation\EMC\"/>
    </mc:Choice>
  </mc:AlternateContent>
  <xr:revisionPtr revIDLastSave="0" documentId="13_ncr:1_{5EE6A8A1-1DB7-40E9-821B-AD9177E2FACA}" xr6:coauthVersionLast="36" xr6:coauthVersionMax="36" xr10:uidLastSave="{00000000-0000-0000-0000-000000000000}"/>
  <bookViews>
    <workbookView xWindow="0" yWindow="0" windowWidth="22260" windowHeight="12648" activeTab="4" xr2:uid="{00000000-000D-0000-FFFF-FFFF00000000}"/>
  </bookViews>
  <sheets>
    <sheet name="Limits" sheetId="1" r:id="rId1"/>
    <sheet name="Cx-Cy-CMC Calculation" sheetId="2" r:id="rId2"/>
    <sheet name="Y-Cap Leakage Currents" sheetId="5" r:id="rId3"/>
    <sheet name="Caps Discharge Resistor" sheetId="6" r:id="rId4"/>
    <sheet name="VARISTOR" sheetId="7" r:id="rId5"/>
    <sheet name="Harmonics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0" i="7" l="1"/>
  <c r="D23" i="7"/>
  <c r="D28" i="7"/>
  <c r="D21" i="7"/>
  <c r="D60" i="6" l="1"/>
  <c r="D62" i="6"/>
  <c r="D63" i="6" s="1"/>
  <c r="D58" i="6"/>
  <c r="D48" i="6"/>
  <c r="D47" i="6"/>
  <c r="D37" i="6"/>
  <c r="D38" i="6" s="1"/>
  <c r="D39" i="6" s="1"/>
  <c r="D35" i="6"/>
  <c r="D33" i="6"/>
  <c r="D41" i="5"/>
  <c r="G41" i="5"/>
  <c r="D40" i="5"/>
  <c r="D32" i="5"/>
  <c r="D31" i="5"/>
  <c r="D30" i="5"/>
  <c r="D74" i="2" l="1"/>
  <c r="D75" i="2" s="1"/>
  <c r="D83" i="2" s="1"/>
  <c r="F83" i="2" s="1"/>
  <c r="D20" i="2" l="1"/>
  <c r="D21" i="2" s="1"/>
  <c r="D44" i="2"/>
  <c r="D45" i="2" s="1"/>
  <c r="D55" i="2" s="1"/>
  <c r="F55" i="2" s="1"/>
  <c r="D64" i="2" l="1"/>
  <c r="D65" i="2" s="1"/>
  <c r="D34" i="2"/>
  <c r="D35" i="2" s="1"/>
</calcChain>
</file>

<file path=xl/sharedStrings.xml><?xml version="1.0" encoding="utf-8"?>
<sst xmlns="http://schemas.openxmlformats.org/spreadsheetml/2006/main" count="148" uniqueCount="102">
  <si>
    <t>In a typical power system, the noise profile looks like this:</t>
  </si>
  <si>
    <t>Frequency Range</t>
  </si>
  <si>
    <t>Dominant Noise Type</t>
  </si>
  <si>
    <t>Typical Mitigation</t>
  </si>
  <si>
    <t>&lt; 150 kHz</t>
  </si>
  <si>
    <t>Differential Mode (DM)</t>
  </si>
  <si>
    <t>Large X-Caps, Inductors</t>
  </si>
  <si>
    <t>150 kHz – 10 MHz</t>
  </si>
  <si>
    <t>Mixed (DM &amp; CM)</t>
  </si>
  <si>
    <t>Common Mode Chokes</t>
  </si>
  <si>
    <t>10 MHz – 30 MHz</t>
  </si>
  <si>
    <t>Common Mode (CM)</t>
  </si>
  <si>
    <t>High-frequency chokes, Y-Caps</t>
  </si>
  <si>
    <t>&gt; 30 MHz</t>
  </si>
  <si>
    <t>Radiated CM</t>
  </si>
  <si>
    <t>Ferrite beads, Enclosures</t>
  </si>
  <si>
    <t>Conducted disturbance at mains port (150kHz to 30MHz)</t>
  </si>
  <si>
    <t>Disturbance power (30MHz-300MHz)</t>
  </si>
  <si>
    <t>Radiated disturbance (30MHz to 1000MHz)</t>
  </si>
  <si>
    <r>
      <rPr>
        <b/>
        <sz val="20"/>
        <color theme="1"/>
        <rFont val="Calibri"/>
        <family val="2"/>
        <scheme val="minor"/>
      </rPr>
      <t>F</t>
    </r>
    <r>
      <rPr>
        <b/>
        <sz val="10"/>
        <color theme="1"/>
        <rFont val="Calibri"/>
        <family val="2"/>
        <scheme val="minor"/>
      </rPr>
      <t>SW =</t>
    </r>
  </si>
  <si>
    <t>Khz</t>
  </si>
  <si>
    <r>
      <rPr>
        <b/>
        <sz val="20"/>
        <color theme="1"/>
        <rFont val="Calibri"/>
        <family val="2"/>
        <scheme val="minor"/>
      </rPr>
      <t>A</t>
    </r>
    <r>
      <rPr>
        <b/>
        <sz val="10"/>
        <color theme="1"/>
        <rFont val="Calibri"/>
        <family val="2"/>
        <scheme val="minor"/>
      </rPr>
      <t>FSW(dB) =</t>
    </r>
  </si>
  <si>
    <t>dB</t>
  </si>
  <si>
    <r>
      <rPr>
        <b/>
        <sz val="20"/>
        <color theme="1"/>
        <rFont val="Calibri"/>
        <family val="2"/>
        <scheme val="minor"/>
      </rPr>
      <t>F</t>
    </r>
    <r>
      <rPr>
        <b/>
        <sz val="10"/>
        <color theme="1"/>
        <rFont val="Calibri"/>
        <family val="2"/>
        <scheme val="minor"/>
      </rPr>
      <t>co =</t>
    </r>
  </si>
  <si>
    <t>Hz</t>
  </si>
  <si>
    <r>
      <rPr>
        <b/>
        <sz val="20"/>
        <color theme="1"/>
        <rFont val="Calibri"/>
        <family val="2"/>
        <scheme val="minor"/>
      </rPr>
      <t>C</t>
    </r>
    <r>
      <rPr>
        <b/>
        <sz val="10"/>
        <color theme="1"/>
        <rFont val="Calibri"/>
        <family val="2"/>
        <scheme val="minor"/>
      </rPr>
      <t>YT =</t>
    </r>
  </si>
  <si>
    <r>
      <rPr>
        <b/>
        <sz val="20"/>
        <color theme="1"/>
        <rFont val="Calibri"/>
        <family val="2"/>
        <scheme val="minor"/>
      </rPr>
      <t>L</t>
    </r>
    <r>
      <rPr>
        <b/>
        <sz val="10"/>
        <color theme="1"/>
        <rFont val="Calibri"/>
        <family val="2"/>
        <scheme val="minor"/>
      </rPr>
      <t>CM =</t>
    </r>
  </si>
  <si>
    <t>H</t>
  </si>
  <si>
    <t>mH</t>
  </si>
  <si>
    <r>
      <rPr>
        <b/>
        <sz val="20"/>
        <color theme="1"/>
        <rFont val="Calibri"/>
        <family val="2"/>
        <scheme val="minor"/>
      </rPr>
      <t>F</t>
    </r>
    <r>
      <rPr>
        <b/>
        <sz val="10"/>
        <color theme="1"/>
        <rFont val="Calibri"/>
        <family val="2"/>
        <scheme val="minor"/>
      </rPr>
      <t>CM =</t>
    </r>
  </si>
  <si>
    <r>
      <rPr>
        <b/>
        <sz val="20"/>
        <color theme="1"/>
        <rFont val="Calibri"/>
        <family val="2"/>
        <scheme val="minor"/>
      </rPr>
      <t>A</t>
    </r>
    <r>
      <rPr>
        <b/>
        <sz val="10"/>
        <color theme="1"/>
        <rFont val="Calibri"/>
        <family val="2"/>
        <scheme val="minor"/>
      </rPr>
      <t>FSW-CM =</t>
    </r>
  </si>
  <si>
    <r>
      <rPr>
        <b/>
        <sz val="20"/>
        <color theme="1"/>
        <rFont val="Calibri"/>
        <family val="2"/>
        <scheme val="minor"/>
      </rPr>
      <t>C</t>
    </r>
    <r>
      <rPr>
        <b/>
        <sz val="10"/>
        <color theme="1"/>
        <rFont val="Calibri"/>
        <family val="2"/>
        <scheme val="minor"/>
      </rPr>
      <t>X =</t>
    </r>
  </si>
  <si>
    <r>
      <rPr>
        <b/>
        <sz val="20"/>
        <color theme="1"/>
        <rFont val="Calibri"/>
        <family val="2"/>
        <scheme val="minor"/>
      </rPr>
      <t>L</t>
    </r>
    <r>
      <rPr>
        <b/>
        <sz val="10"/>
        <color theme="1"/>
        <rFont val="Calibri"/>
        <family val="2"/>
        <scheme val="minor"/>
      </rPr>
      <t>dm =</t>
    </r>
  </si>
  <si>
    <t>Common Mode Choke leakage Inductance</t>
  </si>
  <si>
    <t>nF</t>
  </si>
  <si>
    <t>F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</si>
  <si>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F</t>
    </r>
  </si>
  <si>
    <t>µH</t>
  </si>
  <si>
    <t xml:space="preserve"> CY1 = 10nF - CY2  = 10nF</t>
  </si>
  <si>
    <t>LCM = 36mH chosen</t>
  </si>
  <si>
    <r>
      <t>CX = 2.2</t>
    </r>
    <r>
      <rPr>
        <b/>
        <sz val="10"/>
        <color theme="1"/>
        <rFont val="Calibri"/>
        <family val="2"/>
      </rPr>
      <t>µ</t>
    </r>
    <r>
      <rPr>
        <b/>
        <sz val="10"/>
        <color theme="1"/>
        <rFont val="Calibri"/>
        <family val="2"/>
        <scheme val="minor"/>
      </rPr>
      <t>H chosen</t>
    </r>
  </si>
  <si>
    <r>
      <rPr>
        <b/>
        <sz val="20"/>
        <color theme="1"/>
        <rFont val="Calibri"/>
        <family val="2"/>
        <scheme val="minor"/>
      </rPr>
      <t>F</t>
    </r>
    <r>
      <rPr>
        <b/>
        <sz val="10"/>
        <color theme="1"/>
        <rFont val="Calibri"/>
        <family val="2"/>
        <scheme val="minor"/>
      </rPr>
      <t>dm =</t>
    </r>
  </si>
  <si>
    <t>Summary Checklist for Harmonics</t>
  </si>
  <si>
    <t>Component</t>
  </si>
  <si>
    <t>Modification</t>
  </si>
  <si>
    <t>Effect</t>
  </si>
  <si>
    <t>Bridge Rectifier</t>
  </si>
  <si>
    <t>Use "Fast" or "Soft" recovery diodes</t>
  </si>
  <si>
    <t>Reduces high-order switching harmonics</t>
  </si>
  <si>
    <t>Inductors</t>
  </si>
  <si>
    <t>Increase DM Inductance</t>
  </si>
  <si>
    <t>Widens conduction angle; lowers $THD$</t>
  </si>
  <si>
    <t>Capacitor</t>
  </si>
  <si>
    <t>Decrease Bulk Capacitance</t>
  </si>
  <si>
    <t>Reduces peak current magnitude</t>
  </si>
  <si>
    <t>Circuitry</t>
  </si>
  <si>
    <t>Add Active PFC</t>
  </si>
  <si>
    <t>Gold standard for passing IEC 61000-3-2</t>
  </si>
  <si>
    <t>1. We will use 1-stage LC Filter to achieve desired damping CM&amp;DM @ Fsw</t>
  </si>
  <si>
    <t>Desired damping CM&amp;DM @ Fsw</t>
  </si>
  <si>
    <t>2. Calculate Filter corner frequency for the filter</t>
  </si>
  <si>
    <r>
      <t xml:space="preserve">4. Calculate </t>
    </r>
    <r>
      <rPr>
        <b/>
        <sz val="12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_cm for the calculate Fc</t>
    </r>
  </si>
  <si>
    <t>5. Recalculate the a𝑐𝑡𝑢𝑎𝑙 F𝑐𝑚 with the chosen values</t>
  </si>
  <si>
    <t>6. Recalculate the a𝑐𝑡𝑢𝑎𝑙  Afsw-cm with the chosen values</t>
  </si>
  <si>
    <t>7.Choose Cx value</t>
  </si>
  <si>
    <r>
      <t xml:space="preserve">3. Choose </t>
    </r>
    <r>
      <rPr>
        <b/>
        <sz val="12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-caps values --&gt; 10nF x 2 --&gt; 20nF total </t>
    </r>
    <r>
      <rPr>
        <b/>
        <sz val="12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y</t>
    </r>
  </si>
  <si>
    <t>8.  Recalculate the a𝑐𝑡𝑢𝑎𝑙 F𝑑𝑚 with the chosen values</t>
  </si>
  <si>
    <t xml:space="preserve">9. Recalculate the a𝑐𝑡𝑢𝑎𝑙 A𝑑𝑚 with the chosen values </t>
  </si>
  <si>
    <r>
      <rPr>
        <b/>
        <sz val="20"/>
        <color theme="1"/>
        <rFont val="Calibri"/>
        <family val="2"/>
        <scheme val="minor"/>
      </rPr>
      <t>C</t>
    </r>
    <r>
      <rPr>
        <b/>
        <sz val="10"/>
        <color theme="1"/>
        <rFont val="Calibri"/>
        <family val="2"/>
        <scheme val="minor"/>
      </rPr>
      <t>X1 =</t>
    </r>
  </si>
  <si>
    <r>
      <rPr>
        <b/>
        <sz val="20"/>
        <color theme="1"/>
        <rFont val="Calibri"/>
        <family val="2"/>
        <scheme val="minor"/>
      </rPr>
      <t>C</t>
    </r>
    <r>
      <rPr>
        <b/>
        <sz val="10"/>
        <color theme="1"/>
        <rFont val="Calibri"/>
        <family val="2"/>
        <scheme val="minor"/>
      </rPr>
      <t>X2 =</t>
    </r>
  </si>
  <si>
    <r>
      <rPr>
        <sz val="11"/>
        <color theme="1"/>
        <rFont val="Calibri"/>
        <family val="2"/>
      </rPr>
      <t>n</t>
    </r>
    <r>
      <rPr>
        <sz val="11"/>
        <color theme="1"/>
        <rFont val="Calibri"/>
        <family val="2"/>
        <scheme val="minor"/>
      </rPr>
      <t>F</t>
    </r>
  </si>
  <si>
    <r>
      <rPr>
        <b/>
        <sz val="20"/>
        <color theme="1"/>
        <rFont val="Calibri"/>
        <family val="2"/>
        <scheme val="minor"/>
      </rPr>
      <t>V</t>
    </r>
    <r>
      <rPr>
        <b/>
        <sz val="10"/>
        <color theme="1"/>
        <rFont val="Calibri"/>
        <family val="2"/>
        <scheme val="minor"/>
      </rPr>
      <t>mains =</t>
    </r>
  </si>
  <si>
    <t>V</t>
  </si>
  <si>
    <r>
      <rPr>
        <b/>
        <sz val="20"/>
        <color theme="1"/>
        <rFont val="Calibri"/>
        <family val="2"/>
        <scheme val="minor"/>
      </rPr>
      <t>F</t>
    </r>
    <r>
      <rPr>
        <b/>
        <sz val="10"/>
        <color theme="1"/>
        <rFont val="Calibri"/>
        <family val="2"/>
        <scheme val="minor"/>
      </rPr>
      <t>mains =</t>
    </r>
  </si>
  <si>
    <t xml:space="preserve">Worst Case Tolerance: Grid Voltage +10%; Capacitance +20% </t>
  </si>
  <si>
    <r>
      <rPr>
        <b/>
        <sz val="20"/>
        <color theme="1"/>
        <rFont val="Calibri"/>
        <family val="2"/>
        <scheme val="minor"/>
      </rPr>
      <t>V</t>
    </r>
    <r>
      <rPr>
        <b/>
        <sz val="10"/>
        <color theme="1"/>
        <rFont val="Calibri"/>
        <family val="2"/>
        <scheme val="minor"/>
      </rPr>
      <t>mains +10% =</t>
    </r>
  </si>
  <si>
    <r>
      <rPr>
        <b/>
        <sz val="20"/>
        <color theme="1"/>
        <rFont val="Calibri"/>
        <family val="2"/>
        <scheme val="minor"/>
      </rPr>
      <t>C</t>
    </r>
    <r>
      <rPr>
        <b/>
        <sz val="10"/>
        <color theme="1"/>
        <rFont val="Calibri"/>
        <family val="2"/>
        <scheme val="minor"/>
      </rPr>
      <t>X1 +20% =</t>
    </r>
  </si>
  <si>
    <r>
      <rPr>
        <b/>
        <sz val="20"/>
        <color theme="1"/>
        <rFont val="Calibri"/>
        <family val="2"/>
        <scheme val="minor"/>
      </rPr>
      <t>C</t>
    </r>
    <r>
      <rPr>
        <b/>
        <sz val="10"/>
        <color theme="1"/>
        <rFont val="Calibri"/>
        <family val="2"/>
        <scheme val="minor"/>
      </rPr>
      <t>X2 +20% =</t>
    </r>
  </si>
  <si>
    <r>
      <rPr>
        <b/>
        <sz val="20"/>
        <color theme="1"/>
        <rFont val="Calibri"/>
        <family val="2"/>
        <scheme val="minor"/>
      </rPr>
      <t>I</t>
    </r>
    <r>
      <rPr>
        <b/>
        <sz val="10"/>
        <color theme="1"/>
        <rFont val="Calibri"/>
        <family val="2"/>
        <scheme val="minor"/>
      </rPr>
      <t>leakge =</t>
    </r>
  </si>
  <si>
    <r>
      <rPr>
        <b/>
        <sz val="20"/>
        <color theme="1"/>
        <rFont val="Calibri"/>
        <family val="2"/>
        <scheme val="minor"/>
      </rPr>
      <t>C</t>
    </r>
    <r>
      <rPr>
        <b/>
        <sz val="10"/>
        <color theme="1"/>
        <rFont val="Calibri"/>
        <family val="2"/>
        <scheme val="minor"/>
      </rPr>
      <t>YL =</t>
    </r>
  </si>
  <si>
    <r>
      <rPr>
        <b/>
        <sz val="20"/>
        <color theme="1"/>
        <rFont val="Calibri"/>
        <family val="2"/>
        <scheme val="minor"/>
      </rPr>
      <t>C</t>
    </r>
    <r>
      <rPr>
        <b/>
        <sz val="10"/>
        <color theme="1"/>
        <rFont val="Calibri"/>
        <family val="2"/>
        <scheme val="minor"/>
      </rPr>
      <t>YN =</t>
    </r>
  </si>
  <si>
    <t>A</t>
  </si>
  <si>
    <t>mA</t>
  </si>
  <si>
    <t>Max Standard Value is 50nF to match the max allowable leakage current = 3.5 mA</t>
  </si>
  <si>
    <t>Max allowable leakage current = 3.5 mA</t>
  </si>
  <si>
    <r>
      <rPr>
        <b/>
        <sz val="20"/>
        <color theme="1"/>
        <rFont val="Calibri"/>
        <family val="2"/>
        <scheme val="minor"/>
      </rPr>
      <t>C</t>
    </r>
    <r>
      <rPr>
        <b/>
        <sz val="10"/>
        <color theme="1"/>
        <rFont val="Calibri"/>
        <family val="2"/>
        <scheme val="minor"/>
      </rPr>
      <t>paraMOV =</t>
    </r>
  </si>
  <si>
    <r>
      <rPr>
        <b/>
        <sz val="20"/>
        <color theme="1"/>
        <rFont val="Calibri"/>
        <family val="2"/>
        <scheme val="minor"/>
      </rPr>
      <t>C</t>
    </r>
    <r>
      <rPr>
        <b/>
        <sz val="10"/>
        <color theme="1"/>
        <rFont val="Calibri"/>
        <family val="2"/>
        <scheme val="minor"/>
      </rPr>
      <t>Tot =</t>
    </r>
  </si>
  <si>
    <r>
      <rPr>
        <b/>
        <sz val="20"/>
        <color theme="1"/>
        <rFont val="Calibri"/>
        <family val="2"/>
        <scheme val="minor"/>
      </rPr>
      <t>V</t>
    </r>
    <r>
      <rPr>
        <b/>
        <sz val="10"/>
        <color theme="1"/>
        <rFont val="Calibri"/>
        <family val="2"/>
        <scheme val="minor"/>
      </rPr>
      <t>mains*sqrt(2) =</t>
    </r>
  </si>
  <si>
    <r>
      <rPr>
        <b/>
        <sz val="20"/>
        <color theme="1"/>
        <rFont val="Calibri"/>
        <family val="2"/>
        <scheme val="minor"/>
      </rPr>
      <t>C</t>
    </r>
    <r>
      <rPr>
        <b/>
        <sz val="10"/>
        <color theme="1"/>
        <rFont val="Calibri"/>
        <family val="2"/>
        <scheme val="minor"/>
      </rPr>
      <t>tot+20% =</t>
    </r>
  </si>
  <si>
    <r>
      <rPr>
        <b/>
        <sz val="20"/>
        <color theme="1"/>
        <rFont val="Calibri"/>
        <family val="2"/>
        <scheme val="minor"/>
      </rPr>
      <t>R</t>
    </r>
    <r>
      <rPr>
        <b/>
        <sz val="10"/>
        <color theme="1"/>
        <rFont val="Calibri"/>
        <family val="2"/>
        <scheme val="minor"/>
      </rPr>
      <t>discharge &lt;</t>
    </r>
  </si>
  <si>
    <t>Ω</t>
  </si>
  <si>
    <t>KΩ</t>
  </si>
  <si>
    <t>Chosen 220 kΩ</t>
  </si>
  <si>
    <r>
      <rPr>
        <b/>
        <sz val="20"/>
        <color theme="1"/>
        <rFont val="Calibri"/>
        <family val="2"/>
        <scheme val="minor"/>
      </rPr>
      <t>R</t>
    </r>
    <r>
      <rPr>
        <b/>
        <sz val="10"/>
        <color theme="1"/>
        <rFont val="Calibri"/>
        <family val="2"/>
        <scheme val="minor"/>
      </rPr>
      <t>discharge +10%</t>
    </r>
    <r>
      <rPr>
        <b/>
        <sz val="11"/>
        <color theme="1"/>
        <rFont val="Calibri"/>
        <family val="2"/>
        <scheme val="minor"/>
      </rPr>
      <t xml:space="preserve"> =</t>
    </r>
  </si>
  <si>
    <r>
      <rPr>
        <b/>
        <sz val="20"/>
        <color theme="1"/>
        <rFont val="Calibri"/>
        <family val="2"/>
        <scheme val="minor"/>
      </rPr>
      <t>P</t>
    </r>
    <r>
      <rPr>
        <b/>
        <sz val="10"/>
        <color theme="1"/>
        <rFont val="Calibri"/>
        <family val="2"/>
        <scheme val="minor"/>
      </rPr>
      <t>Rating</t>
    </r>
    <r>
      <rPr>
        <b/>
        <sz val="11"/>
        <color theme="1"/>
        <rFont val="Calibri"/>
        <family val="2"/>
        <scheme val="minor"/>
      </rPr>
      <t xml:space="preserve"> =</t>
    </r>
  </si>
  <si>
    <t>Watt</t>
  </si>
  <si>
    <t>mWatt</t>
  </si>
  <si>
    <t>1. Operating voltage:</t>
  </si>
  <si>
    <r>
      <rPr>
        <b/>
        <sz val="20"/>
        <color theme="1"/>
        <rFont val="Calibri"/>
        <family val="2"/>
        <scheme val="minor"/>
      </rPr>
      <t>U</t>
    </r>
    <r>
      <rPr>
        <b/>
        <sz val="10"/>
        <color theme="1"/>
        <rFont val="Calibri"/>
        <family val="2"/>
        <scheme val="minor"/>
      </rPr>
      <t>Q,eff =</t>
    </r>
  </si>
  <si>
    <r>
      <rPr>
        <b/>
        <sz val="20"/>
        <color theme="1"/>
        <rFont val="Calibri"/>
        <family val="2"/>
        <scheme val="minor"/>
      </rPr>
      <t>V</t>
    </r>
    <r>
      <rPr>
        <b/>
        <sz val="10"/>
        <color theme="1"/>
        <rFont val="Calibri"/>
        <family val="2"/>
        <scheme val="minor"/>
      </rPr>
      <t>Operating for Varistor =</t>
    </r>
  </si>
  <si>
    <t>For AC:-</t>
  </si>
  <si>
    <t>For DC:-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</si>
</sst>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3.5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Continuous" vertical="center" wrapText="1"/>
    </xf>
    <xf numFmtId="0" fontId="0" fillId="0" borderId="0" xfId="0" applyAlignment="1">
      <alignment horizontal="centerContinuous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537457</xdr:colOff>
      <xdr:row>12</xdr:row>
      <xdr:rowOff>83820</xdr:rowOff>
    </xdr:from>
    <xdr:to>
      <xdr:col>6</xdr:col>
      <xdr:colOff>131750</xdr:colOff>
      <xdr:row>32</xdr:row>
      <xdr:rowOff>82963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19AFE6-40DA-4121-AF38-7ACC117C24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47" t="1321"/>
        <a:stretch/>
      </xdr:blipFill>
      <xdr:spPr>
        <a:xfrm>
          <a:off x="1147057" y="2339340"/>
          <a:ext cx="6848533" cy="3656743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533400</xdr:colOff>
      <xdr:row>33</xdr:row>
      <xdr:rowOff>651</xdr:rowOff>
    </xdr:from>
    <xdr:to>
      <xdr:col>6</xdr:col>
      <xdr:colOff>83820</xdr:colOff>
      <xdr:row>53</xdr:row>
      <xdr:rowOff>56271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89065A-A764-496C-B173-67EA24543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0" y="6096651"/>
          <a:ext cx="6804660" cy="37132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271525</xdr:colOff>
      <xdr:row>2</xdr:row>
      <xdr:rowOff>121920</xdr:rowOff>
    </xdr:from>
    <xdr:to>
      <xdr:col>4</xdr:col>
      <xdr:colOff>750139</xdr:colOff>
      <xdr:row>13</xdr:row>
      <xdr:rowOff>28267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B040EC-F906-485B-B4CD-99A89FE68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1125" y="1036320"/>
          <a:ext cx="2680794" cy="1918027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26</xdr:row>
      <xdr:rowOff>148204</xdr:rowOff>
    </xdr:from>
    <xdr:to>
      <xdr:col>4</xdr:col>
      <xdr:colOff>384622</xdr:colOff>
      <xdr:row>30</xdr:row>
      <xdr:rowOff>112325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456D7D-C6E6-4F92-9013-61A5C36FC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3500" y="6061324"/>
          <a:ext cx="1862902" cy="695641"/>
        </a:xfrm>
        <a:prstGeom prst="rect">
          <a:avLst/>
        </a:prstGeom>
      </xdr:spPr>
    </xdr:pic>
    <xdr:clientData/>
  </xdr:twoCellAnchor>
  <xdr:twoCellAnchor editAs="oneCell">
    <xdr:from>
      <xdr:col>2</xdr:col>
      <xdr:colOff>205740</xdr:colOff>
      <xdr:row>38</xdr:row>
      <xdr:rowOff>8468</xdr:rowOff>
    </xdr:from>
    <xdr:to>
      <xdr:col>4</xdr:col>
      <xdr:colOff>476057</xdr:colOff>
      <xdr:row>42</xdr:row>
      <xdr:rowOff>70404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93BF8E-C202-4D8B-BBB3-D9F1B0B87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4940" y="8405708"/>
          <a:ext cx="1862897" cy="793456"/>
        </a:xfrm>
        <a:prstGeom prst="rect">
          <a:avLst/>
        </a:prstGeom>
      </xdr:spPr>
    </xdr:pic>
    <xdr:clientData/>
  </xdr:twoCellAnchor>
  <xdr:twoCellAnchor editAs="oneCell">
    <xdr:from>
      <xdr:col>1</xdr:col>
      <xdr:colOff>405344</xdr:colOff>
      <xdr:row>49</xdr:row>
      <xdr:rowOff>30480</xdr:rowOff>
    </xdr:from>
    <xdr:to>
      <xdr:col>4</xdr:col>
      <xdr:colOff>718035</xdr:colOff>
      <xdr:row>53</xdr:row>
      <xdr:rowOff>129540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0AC008-A7C9-4BA4-BF58-B96623AC44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53972"/>
        <a:stretch/>
      </xdr:blipFill>
      <xdr:spPr>
        <a:xfrm>
          <a:off x="1014944" y="10744200"/>
          <a:ext cx="2514871" cy="830580"/>
        </a:xfrm>
        <a:prstGeom prst="rect">
          <a:avLst/>
        </a:prstGeom>
      </xdr:spPr>
    </xdr:pic>
    <xdr:clientData/>
  </xdr:twoCellAnchor>
  <xdr:twoCellAnchor editAs="oneCell">
    <xdr:from>
      <xdr:col>1</xdr:col>
      <xdr:colOff>579120</xdr:colOff>
      <xdr:row>57</xdr:row>
      <xdr:rowOff>114300</xdr:rowOff>
    </xdr:from>
    <xdr:to>
      <xdr:col>3</xdr:col>
      <xdr:colOff>704662</xdr:colOff>
      <xdr:row>60</xdr:row>
      <xdr:rowOff>118041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753CA21-9302-4B87-82AC-8BE73745D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88720" y="12435840"/>
          <a:ext cx="1504762" cy="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556260</xdr:colOff>
      <xdr:row>68</xdr:row>
      <xdr:rowOff>167640</xdr:rowOff>
    </xdr:from>
    <xdr:to>
      <xdr:col>3</xdr:col>
      <xdr:colOff>757992</xdr:colOff>
      <xdr:row>71</xdr:row>
      <xdr:rowOff>180905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BEA56B8-9BB8-4739-9DC2-2F6CD671B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5860" y="14874240"/>
          <a:ext cx="1580952" cy="5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</xdr:colOff>
      <xdr:row>77</xdr:row>
      <xdr:rowOff>161736</xdr:rowOff>
    </xdr:from>
    <xdr:to>
      <xdr:col>4</xdr:col>
      <xdr:colOff>429986</xdr:colOff>
      <xdr:row>81</xdr:row>
      <xdr:rowOff>96084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00BE42F-196F-4040-8F8C-EFE341115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4440" y="16803816"/>
          <a:ext cx="2007326" cy="6658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1</xdr:row>
      <xdr:rowOff>18918</xdr:rowOff>
    </xdr:from>
    <xdr:to>
      <xdr:col>6</xdr:col>
      <xdr:colOff>1870992</xdr:colOff>
      <xdr:row>15</xdr:row>
      <xdr:rowOff>176325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59AD67-C2B2-4155-8F70-036434DB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" y="201798"/>
          <a:ext cx="5254272" cy="2717727"/>
        </a:xfrm>
        <a:prstGeom prst="rect">
          <a:avLst/>
        </a:prstGeom>
      </xdr:spPr>
    </xdr:pic>
    <xdr:clientData/>
  </xdr:twoCellAnchor>
  <xdr:twoCellAnchor editAs="oneCell">
    <xdr:from>
      <xdr:col>1</xdr:col>
      <xdr:colOff>403860</xdr:colOff>
      <xdr:row>32</xdr:row>
      <xdr:rowOff>133656</xdr:rowOff>
    </xdr:from>
    <xdr:to>
      <xdr:col>6</xdr:col>
      <xdr:colOff>787958</xdr:colOff>
      <xdr:row>37</xdr:row>
      <xdr:rowOff>161748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7D6204-C3FD-4371-9330-3DE1D5844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3460" y="7288836"/>
          <a:ext cx="3782618" cy="9424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24412</xdr:rowOff>
    </xdr:from>
    <xdr:to>
      <xdr:col>12</xdr:col>
      <xdr:colOff>512795</xdr:colOff>
      <xdr:row>22</xdr:row>
      <xdr:rowOff>98312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4B7D9B-E250-4DC3-BFAA-0FE8635E5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207292"/>
          <a:ext cx="8140415" cy="3914380"/>
        </a:xfrm>
        <a:prstGeom prst="rect">
          <a:avLst/>
        </a:prstGeom>
      </xdr:spPr>
    </xdr:pic>
    <xdr:clientData/>
  </xdr:twoCellAnchor>
  <xdr:twoCellAnchor editAs="oneCell">
    <xdr:from>
      <xdr:col>2</xdr:col>
      <xdr:colOff>68580</xdr:colOff>
      <xdr:row>40</xdr:row>
      <xdr:rowOff>30313</xdr:rowOff>
    </xdr:from>
    <xdr:to>
      <xdr:col>6</xdr:col>
      <xdr:colOff>58566</xdr:colOff>
      <xdr:row>45</xdr:row>
      <xdr:rowOff>97013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A0A97D-9AAB-414B-ACE5-BB9A5C4A0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7780" y="8648533"/>
          <a:ext cx="3388506" cy="981100"/>
        </a:xfrm>
        <a:prstGeom prst="rect">
          <a:avLst/>
        </a:prstGeom>
      </xdr:spPr>
    </xdr:pic>
    <xdr:clientData/>
  </xdr:twoCellAnchor>
  <xdr:twoCellAnchor editAs="oneCell">
    <xdr:from>
      <xdr:col>1</xdr:col>
      <xdr:colOff>601980</xdr:colOff>
      <xdr:row>50</xdr:row>
      <xdr:rowOff>101890</xdr:rowOff>
    </xdr:from>
    <xdr:to>
      <xdr:col>6</xdr:col>
      <xdr:colOff>399467</xdr:colOff>
      <xdr:row>54</xdr:row>
      <xdr:rowOff>22760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2450527-E47A-4FBD-B2B4-F597D17C6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1580" y="10693690"/>
          <a:ext cx="3805607" cy="65239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594361</xdr:colOff>
      <xdr:row>2</xdr:row>
      <xdr:rowOff>121608</xdr:rowOff>
    </xdr:from>
    <xdr:to>
      <xdr:col>10</xdr:col>
      <xdr:colOff>266701</xdr:colOff>
      <xdr:row>16</xdr:row>
      <xdr:rowOff>174593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D6CF39-8A95-4A94-B5FB-632F28134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1" y="487368"/>
          <a:ext cx="6675120" cy="2613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E12"/>
  <sheetViews>
    <sheetView topLeftCell="A31" workbookViewId="0">
      <selection activeCell="H44" sqref="H44"/>
    </sheetView>
  </sheetViews>
  <sheetFormatPr defaultRowHeight="14.4" x14ac:dyDescent="0.3"/>
  <cols>
    <col min="3" max="3" width="28.21875" customWidth="1"/>
    <col min="4" max="4" width="27.6640625" customWidth="1"/>
    <col min="5" max="5" width="32.109375" customWidth="1"/>
  </cols>
  <sheetData>
    <row r="3" spans="3:5" x14ac:dyDescent="0.3">
      <c r="C3" s="1" t="s">
        <v>0</v>
      </c>
    </row>
    <row r="4" spans="3:5" x14ac:dyDescent="0.3">
      <c r="C4" s="1" t="s">
        <v>16</v>
      </c>
    </row>
    <row r="5" spans="3:5" x14ac:dyDescent="0.3">
      <c r="C5" s="1" t="s">
        <v>17</v>
      </c>
    </row>
    <row r="6" spans="3:5" x14ac:dyDescent="0.3">
      <c r="C6" s="1" t="s">
        <v>18</v>
      </c>
    </row>
    <row r="7" spans="3:5" ht="15" thickBot="1" x14ac:dyDescent="0.35"/>
    <row r="8" spans="3:5" ht="16.2" thickBot="1" x14ac:dyDescent="0.35">
      <c r="C8" s="3" t="s">
        <v>1</v>
      </c>
      <c r="D8" s="3" t="s">
        <v>2</v>
      </c>
      <c r="E8" s="3" t="s">
        <v>3</v>
      </c>
    </row>
    <row r="9" spans="3:5" ht="15" thickBot="1" x14ac:dyDescent="0.35">
      <c r="C9" s="2" t="s">
        <v>4</v>
      </c>
      <c r="D9" s="2" t="s">
        <v>5</v>
      </c>
      <c r="E9" s="2" t="s">
        <v>6</v>
      </c>
    </row>
    <row r="10" spans="3:5" ht="15" thickBot="1" x14ac:dyDescent="0.35">
      <c r="C10" s="2" t="s">
        <v>7</v>
      </c>
      <c r="D10" s="2" t="s">
        <v>8</v>
      </c>
      <c r="E10" s="2" t="s">
        <v>9</v>
      </c>
    </row>
    <row r="11" spans="3:5" ht="15" thickBot="1" x14ac:dyDescent="0.35">
      <c r="C11" s="2" t="s">
        <v>10</v>
      </c>
      <c r="D11" s="2" t="s">
        <v>11</v>
      </c>
      <c r="E11" s="2" t="s">
        <v>12</v>
      </c>
    </row>
    <row r="12" spans="3:5" ht="15" thickBot="1" x14ac:dyDescent="0.35">
      <c r="C12" s="2" t="s">
        <v>13</v>
      </c>
      <c r="D12" s="2" t="s">
        <v>14</v>
      </c>
      <c r="E12" s="2" t="s">
        <v>15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AB7F-84D8-4B6F-878D-F1FAE6661672}">
  <dimension ref="B1:J83"/>
  <sheetViews>
    <sheetView topLeftCell="A16" workbookViewId="0">
      <selection activeCell="F32" sqref="F32"/>
    </sheetView>
  </sheetViews>
  <sheetFormatPr defaultRowHeight="14.4" x14ac:dyDescent="0.3"/>
  <cols>
    <col min="3" max="3" width="11.21875" bestFit="1" customWidth="1"/>
    <col min="4" max="4" width="12" bestFit="1" customWidth="1"/>
    <col min="5" max="5" width="13.33203125" customWidth="1"/>
    <col min="6" max="6" width="41.21875" bestFit="1" customWidth="1"/>
  </cols>
  <sheetData>
    <row r="1" spans="2:5" ht="21" customHeight="1" x14ac:dyDescent="0.3">
      <c r="B1" s="11" t="s">
        <v>58</v>
      </c>
    </row>
    <row r="2" spans="2:5" ht="18.600000000000001" customHeight="1" x14ac:dyDescent="0.3">
      <c r="B2" s="11" t="s">
        <v>60</v>
      </c>
    </row>
    <row r="16" spans="2:5" ht="25.8" x14ac:dyDescent="0.3">
      <c r="C16" s="4" t="s">
        <v>19</v>
      </c>
      <c r="D16" s="5">
        <v>100</v>
      </c>
      <c r="E16" s="5" t="s">
        <v>20</v>
      </c>
    </row>
    <row r="18" spans="2:10" ht="25.8" x14ac:dyDescent="0.3">
      <c r="C18" s="4" t="s">
        <v>21</v>
      </c>
      <c r="D18" s="5">
        <v>44</v>
      </c>
      <c r="E18" s="5" t="s">
        <v>22</v>
      </c>
      <c r="F18" s="5" t="s">
        <v>59</v>
      </c>
    </row>
    <row r="20" spans="2:10" ht="25.8" x14ac:dyDescent="0.3">
      <c r="C20" s="4" t="s">
        <v>23</v>
      </c>
      <c r="D20" s="6">
        <f>(D16*10^3)/(10^(D18/40))</f>
        <v>7943.2823472428099</v>
      </c>
      <c r="E20" s="5" t="s">
        <v>24</v>
      </c>
    </row>
    <row r="21" spans="2:10" ht="25.8" x14ac:dyDescent="0.3">
      <c r="C21" s="4" t="s">
        <v>23</v>
      </c>
      <c r="D21" s="6">
        <f>D20/1000</f>
        <v>7.9432823472428096</v>
      </c>
      <c r="E21" s="5" t="s">
        <v>20</v>
      </c>
    </row>
    <row r="24" spans="2:10" ht="15.6" customHeight="1" x14ac:dyDescent="0.3">
      <c r="B24" t="s">
        <v>65</v>
      </c>
      <c r="F24" s="16" t="s">
        <v>83</v>
      </c>
      <c r="G24" s="16"/>
      <c r="H24" s="16"/>
      <c r="I24" s="16"/>
      <c r="J24" s="16"/>
    </row>
    <row r="25" spans="2:10" x14ac:dyDescent="0.3">
      <c r="F25" s="15"/>
    </row>
    <row r="26" spans="2:10" ht="15.6" x14ac:dyDescent="0.3">
      <c r="B26" t="s">
        <v>61</v>
      </c>
    </row>
    <row r="32" spans="2:10" ht="25.8" x14ac:dyDescent="0.3">
      <c r="C32" s="4" t="s">
        <v>25</v>
      </c>
      <c r="D32" s="5">
        <v>20</v>
      </c>
      <c r="E32" s="5" t="s">
        <v>34</v>
      </c>
      <c r="F32" s="8" t="s">
        <v>38</v>
      </c>
    </row>
    <row r="34" spans="2:6" ht="25.8" x14ac:dyDescent="0.3">
      <c r="C34" s="4" t="s">
        <v>26</v>
      </c>
      <c r="D34" s="6">
        <f>1/(((2*PI()*D20)^2)*(D32*10^-9))</f>
        <v>2.0072906775855458E-2</v>
      </c>
      <c r="E34" t="s">
        <v>27</v>
      </c>
    </row>
    <row r="35" spans="2:6" ht="21" customHeight="1" x14ac:dyDescent="0.3">
      <c r="D35" s="6">
        <f>D34*1000</f>
        <v>20.072906775855458</v>
      </c>
      <c r="E35" t="s">
        <v>28</v>
      </c>
      <c r="F35" s="8" t="s">
        <v>39</v>
      </c>
    </row>
    <row r="37" spans="2:6" x14ac:dyDescent="0.3">
      <c r="B37" t="s">
        <v>62</v>
      </c>
    </row>
    <row r="44" spans="2:6" ht="25.8" x14ac:dyDescent="0.3">
      <c r="C44" s="4" t="s">
        <v>29</v>
      </c>
      <c r="D44" s="6">
        <f>1/(2*PI()*SQRT(36*10^-3*20*10^-9))</f>
        <v>5931.354528476475</v>
      </c>
      <c r="E44" s="5" t="s">
        <v>24</v>
      </c>
    </row>
    <row r="45" spans="2:6" ht="25.8" x14ac:dyDescent="0.3">
      <c r="C45" s="4" t="s">
        <v>29</v>
      </c>
      <c r="D45" s="6">
        <f>D44/1000</f>
        <v>5.9313545284764748</v>
      </c>
      <c r="E45" s="5" t="s">
        <v>20</v>
      </c>
    </row>
    <row r="48" spans="2:6" ht="15.6" x14ac:dyDescent="0.3">
      <c r="B48" s="7" t="s">
        <v>63</v>
      </c>
    </row>
    <row r="55" spans="2:6" ht="25.8" x14ac:dyDescent="0.3">
      <c r="C55" s="4" t="s">
        <v>30</v>
      </c>
      <c r="D55" s="6">
        <f>LOG(D16/D45)*40</f>
        <v>49.07384466294998</v>
      </c>
      <c r="E55" s="5"/>
      <c r="F55" s="5" t="str">
        <f>IF(OR(D55&gt;D18, D55=D18),"Attenuation Achieved ","Attenuation not Achieved, Recalculate Again")</f>
        <v xml:space="preserve">Attenuation Achieved </v>
      </c>
    </row>
    <row r="57" spans="2:6" x14ac:dyDescent="0.3">
      <c r="B57" t="s">
        <v>64</v>
      </c>
    </row>
    <row r="62" spans="2:6" ht="25.8" x14ac:dyDescent="0.3">
      <c r="C62" s="4" t="s">
        <v>32</v>
      </c>
      <c r="D62" s="5">
        <v>200</v>
      </c>
      <c r="E62" s="5" t="s">
        <v>37</v>
      </c>
      <c r="F62" s="5" t="s">
        <v>33</v>
      </c>
    </row>
    <row r="64" spans="2:6" ht="25.8" x14ac:dyDescent="0.3">
      <c r="C64" s="4" t="s">
        <v>31</v>
      </c>
      <c r="D64" s="5">
        <f>1/(((2*PI()*D20)^2)*(D62*10^-6))</f>
        <v>2.007290677585546E-6</v>
      </c>
      <c r="E64" s="5" t="s">
        <v>35</v>
      </c>
    </row>
    <row r="65" spans="2:6" x14ac:dyDescent="0.3">
      <c r="D65" s="6">
        <f>D64*10^6</f>
        <v>2.0072906775855461</v>
      </c>
      <c r="E65" s="5" t="s">
        <v>36</v>
      </c>
      <c r="F65" s="8" t="s">
        <v>40</v>
      </c>
    </row>
    <row r="67" spans="2:6" x14ac:dyDescent="0.3">
      <c r="B67" t="s">
        <v>66</v>
      </c>
    </row>
    <row r="74" spans="2:6" ht="25.8" x14ac:dyDescent="0.3">
      <c r="C74" s="4" t="s">
        <v>41</v>
      </c>
      <c r="D74" s="5">
        <f>1/(2*PI()*SQRT(200*10^-6*2.2*10^-6))</f>
        <v>7587.4142065816714</v>
      </c>
      <c r="E74" s="5" t="s">
        <v>24</v>
      </c>
    </row>
    <row r="75" spans="2:6" ht="25.8" x14ac:dyDescent="0.3">
      <c r="C75" s="4" t="s">
        <v>41</v>
      </c>
      <c r="D75" s="6">
        <f>D74/1000</f>
        <v>7.5874142065816716</v>
      </c>
      <c r="E75" s="5" t="s">
        <v>20</v>
      </c>
    </row>
    <row r="77" spans="2:6" x14ac:dyDescent="0.3">
      <c r="B77" t="s">
        <v>67</v>
      </c>
    </row>
    <row r="83" spans="3:6" ht="25.8" x14ac:dyDescent="0.3">
      <c r="C83" s="4" t="s">
        <v>30</v>
      </c>
      <c r="D83" s="6">
        <f>LOG(D16/D75)*40</f>
        <v>44.796248264048344</v>
      </c>
      <c r="F83" s="5" t="str">
        <f>IF(OR(D83&gt;D18, D83=D18),"Attenuation Achieved ","Attenuation not Achieved, Recalculate Again")</f>
        <v xml:space="preserve">Attenuation Achieved </v>
      </c>
    </row>
  </sheetData>
  <mergeCells count="1">
    <mergeCell ref="F24:J24"/>
  </mergeCells>
  <conditionalFormatting sqref="F83">
    <cfRule type="containsText" dxfId="5" priority="3" operator="containsText" text="Attenuation not Achieved, Recalculate Again">
      <formula>NOT(ISERROR(SEARCH("Attenuation not Achieved, Recalculate Again",F83)))</formula>
    </cfRule>
    <cfRule type="containsText" dxfId="4" priority="4" operator="containsText" text="Attenuation Achieved">
      <formula>NOT(ISERROR(SEARCH("Attenuation Achieved",F83)))</formula>
    </cfRule>
  </conditionalFormatting>
  <conditionalFormatting sqref="F55">
    <cfRule type="containsText" dxfId="3" priority="1" operator="containsText" text="Attenuation not Achieved, Recalculate Again">
      <formula>NOT(ISERROR(SEARCH("Attenuation not Achieved, Recalculate Again",F55)))</formula>
    </cfRule>
    <cfRule type="containsText" dxfId="2" priority="2" operator="containsText" text="Attenuation Achieved">
      <formula>NOT(ISERROR(SEARCH("Attenuation Achieved",F55)))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9A00B-C7FB-49B4-9128-D87A076CD280}">
  <dimension ref="B18:H42"/>
  <sheetViews>
    <sheetView topLeftCell="A25" workbookViewId="0">
      <selection activeCell="C30" sqref="C30:E30"/>
    </sheetView>
  </sheetViews>
  <sheetFormatPr defaultRowHeight="14.4" x14ac:dyDescent="0.3"/>
  <cols>
    <col min="3" max="3" width="14" bestFit="1" customWidth="1"/>
    <col min="7" max="7" width="31.33203125" customWidth="1"/>
    <col min="8" max="8" width="34.109375" bestFit="1" customWidth="1"/>
  </cols>
  <sheetData>
    <row r="18" spans="2:5" ht="25.8" x14ac:dyDescent="0.3">
      <c r="C18" s="4" t="s">
        <v>68</v>
      </c>
      <c r="D18" s="5">
        <v>1</v>
      </c>
      <c r="E18" s="5" t="s">
        <v>36</v>
      </c>
    </row>
    <row r="19" spans="2:5" ht="25.8" x14ac:dyDescent="0.3">
      <c r="C19" s="4" t="s">
        <v>69</v>
      </c>
      <c r="D19" s="5">
        <v>1</v>
      </c>
      <c r="E19" s="5" t="s">
        <v>36</v>
      </c>
    </row>
    <row r="21" spans="2:5" ht="25.8" x14ac:dyDescent="0.3">
      <c r="C21" s="4" t="s">
        <v>79</v>
      </c>
      <c r="D21" s="5">
        <v>5.6</v>
      </c>
      <c r="E21" s="5" t="s">
        <v>70</v>
      </c>
    </row>
    <row r="22" spans="2:5" ht="25.8" x14ac:dyDescent="0.3">
      <c r="C22" s="4" t="s">
        <v>80</v>
      </c>
      <c r="D22" s="5">
        <v>5.6</v>
      </c>
      <c r="E22" s="5" t="s">
        <v>70</v>
      </c>
    </row>
    <row r="24" spans="2:5" ht="25.8" x14ac:dyDescent="0.3">
      <c r="C24" s="4" t="s">
        <v>71</v>
      </c>
      <c r="D24" s="5">
        <v>230</v>
      </c>
      <c r="E24" s="5" t="s">
        <v>72</v>
      </c>
    </row>
    <row r="26" spans="2:5" ht="25.8" x14ac:dyDescent="0.3">
      <c r="C26" s="4" t="s">
        <v>73</v>
      </c>
      <c r="D26" s="5">
        <v>50</v>
      </c>
      <c r="E26" s="5" t="s">
        <v>24</v>
      </c>
    </row>
    <row r="28" spans="2:5" x14ac:dyDescent="0.3">
      <c r="B28" t="s">
        <v>74</v>
      </c>
    </row>
    <row r="30" spans="2:5" ht="25.8" x14ac:dyDescent="0.3">
      <c r="C30" s="4" t="s">
        <v>75</v>
      </c>
      <c r="D30" s="5">
        <f>1.1*D24</f>
        <v>253.00000000000003</v>
      </c>
      <c r="E30" s="5" t="s">
        <v>72</v>
      </c>
    </row>
    <row r="31" spans="2:5" ht="25.8" x14ac:dyDescent="0.3">
      <c r="C31" s="4" t="s">
        <v>76</v>
      </c>
      <c r="D31" s="5">
        <f>1.2*D18</f>
        <v>1.2</v>
      </c>
      <c r="E31" s="5" t="s">
        <v>36</v>
      </c>
    </row>
    <row r="32" spans="2:5" ht="25.8" x14ac:dyDescent="0.3">
      <c r="C32" s="4" t="s">
        <v>77</v>
      </c>
      <c r="D32" s="5">
        <f>1.2*D19</f>
        <v>1.2</v>
      </c>
      <c r="E32" s="5" t="s">
        <v>36</v>
      </c>
    </row>
    <row r="40" spans="3:8" ht="25.8" x14ac:dyDescent="0.3">
      <c r="C40" s="4" t="s">
        <v>78</v>
      </c>
      <c r="D40" s="5">
        <f>D30*2*PI()*D26*((D21*10^-9)+((((D31+D32)*10^-6)*(D22*10^-9))/(((D31+D32)*10^-6)+(D22*10^-9))))</f>
        <v>8.8916554336339738E-4</v>
      </c>
      <c r="E40" s="12" t="s">
        <v>81</v>
      </c>
    </row>
    <row r="41" spans="3:8" ht="28.8" customHeight="1" x14ac:dyDescent="0.3">
      <c r="D41" s="6">
        <f>D40*1000</f>
        <v>0.88916554336339737</v>
      </c>
      <c r="E41" s="5" t="s">
        <v>82</v>
      </c>
      <c r="F41" s="5"/>
      <c r="G41" s="14" t="str">
        <f>IF(D41&lt;3.5,"Will Pass Leakage Current Test","Will not Pass Leakage Current Test, Please choose lower Cy Value")</f>
        <v>Will Pass Leakage Current Test</v>
      </c>
      <c r="H41" s="5" t="s">
        <v>84</v>
      </c>
    </row>
    <row r="42" spans="3:8" x14ac:dyDescent="0.3">
      <c r="G42" s="15"/>
    </row>
  </sheetData>
  <conditionalFormatting sqref="G41">
    <cfRule type="containsText" dxfId="1" priority="1" operator="containsText" text="Will not Pass Leakage Current Test, Please choose lower Cy Value">
      <formula>NOT(ISERROR(SEARCH("Will not Pass Leakage Current Test, Please choose lower Cy Value",G41)))</formula>
    </cfRule>
    <cfRule type="containsText" dxfId="0" priority="2" operator="containsText" text="Will Pass Leakage Current Test">
      <formula>NOT(ISERROR(SEARCH("Will Pass Leakage Current Test",G41)))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9072B-AE50-47DD-8DAD-B5CBE02126D9}">
  <dimension ref="C25:F63"/>
  <sheetViews>
    <sheetView topLeftCell="A46" workbookViewId="0">
      <selection activeCell="C56" sqref="C56:E56"/>
    </sheetView>
  </sheetViews>
  <sheetFormatPr defaultRowHeight="14.4" x14ac:dyDescent="0.3"/>
  <cols>
    <col min="3" max="3" width="16.77734375" bestFit="1" customWidth="1"/>
    <col min="4" max="4" width="11" bestFit="1" customWidth="1"/>
    <col min="6" max="6" width="12.88671875" bestFit="1" customWidth="1"/>
  </cols>
  <sheetData>
    <row r="25" spans="3:5" ht="25.8" x14ac:dyDescent="0.3">
      <c r="C25" s="4" t="s">
        <v>68</v>
      </c>
      <c r="D25" s="5">
        <v>1</v>
      </c>
      <c r="E25" s="5" t="s">
        <v>36</v>
      </c>
    </row>
    <row r="26" spans="3:5" ht="25.8" x14ac:dyDescent="0.3">
      <c r="C26" s="4" t="s">
        <v>69</v>
      </c>
      <c r="D26" s="5">
        <v>1</v>
      </c>
      <c r="E26" s="5" t="s">
        <v>36</v>
      </c>
    </row>
    <row r="28" spans="3:5" ht="25.8" x14ac:dyDescent="0.3">
      <c r="C28" s="4" t="s">
        <v>79</v>
      </c>
      <c r="D28" s="5">
        <v>5.6</v>
      </c>
      <c r="E28" s="5" t="s">
        <v>70</v>
      </c>
    </row>
    <row r="29" spans="3:5" ht="25.8" x14ac:dyDescent="0.3">
      <c r="C29" s="4" t="s">
        <v>80</v>
      </c>
      <c r="D29" s="5">
        <v>5.6</v>
      </c>
      <c r="E29" s="5" t="s">
        <v>70</v>
      </c>
    </row>
    <row r="31" spans="3:5" ht="25.8" x14ac:dyDescent="0.3">
      <c r="C31" s="4" t="s">
        <v>85</v>
      </c>
      <c r="D31" s="5">
        <v>100</v>
      </c>
      <c r="E31" s="5" t="s">
        <v>70</v>
      </c>
    </row>
    <row r="33" spans="3:6" ht="25.8" x14ac:dyDescent="0.3">
      <c r="C33" s="4" t="s">
        <v>87</v>
      </c>
      <c r="D33" s="6">
        <f>230*SQRT(2)</f>
        <v>325.26911934581187</v>
      </c>
      <c r="E33" s="5" t="s">
        <v>72</v>
      </c>
    </row>
    <row r="35" spans="3:6" ht="25.8" x14ac:dyDescent="0.3">
      <c r="C35" s="4" t="s">
        <v>75</v>
      </c>
      <c r="D35" s="6">
        <f>1.1*D33</f>
        <v>357.79603128039309</v>
      </c>
      <c r="E35" s="5" t="s">
        <v>72</v>
      </c>
    </row>
    <row r="36" spans="3:6" x14ac:dyDescent="0.3">
      <c r="C36" s="4"/>
      <c r="D36" s="5"/>
      <c r="E36" s="5"/>
    </row>
    <row r="37" spans="3:6" ht="25.8" x14ac:dyDescent="0.3">
      <c r="C37" s="4" t="s">
        <v>86</v>
      </c>
      <c r="D37" s="5">
        <f>(D25*10^-6)+(D26*10^-6)+(D31*10^-9)+(1/((1/(D28*10^-9))+(1/(D29*10^-9))))</f>
        <v>2.1028E-6</v>
      </c>
      <c r="E37" s="5" t="s">
        <v>35</v>
      </c>
    </row>
    <row r="38" spans="3:6" x14ac:dyDescent="0.3">
      <c r="D38" s="13">
        <f>D37*10^6</f>
        <v>2.1028000000000002</v>
      </c>
      <c r="E38" s="5" t="s">
        <v>36</v>
      </c>
    </row>
    <row r="39" spans="3:6" ht="25.8" x14ac:dyDescent="0.3">
      <c r="C39" s="4" t="s">
        <v>88</v>
      </c>
      <c r="D39" s="6">
        <f>1.2*D38</f>
        <v>2.5233600000000003</v>
      </c>
      <c r="E39" s="5" t="s">
        <v>36</v>
      </c>
    </row>
    <row r="47" spans="3:6" ht="25.8" x14ac:dyDescent="0.3">
      <c r="C47" s="4" t="s">
        <v>89</v>
      </c>
      <c r="D47" s="6">
        <f>(((-LN(60/D35))/1)^-1)/(D39*10^-6)</f>
        <v>221938.22314171676</v>
      </c>
      <c r="E47" s="12" t="s">
        <v>90</v>
      </c>
    </row>
    <row r="48" spans="3:6" x14ac:dyDescent="0.3">
      <c r="D48">
        <f>D47/1000</f>
        <v>221.93822314171678</v>
      </c>
      <c r="E48" s="12" t="s">
        <v>91</v>
      </c>
      <c r="F48" s="8" t="s">
        <v>92</v>
      </c>
    </row>
    <row r="56" spans="3:5" ht="25.8" x14ac:dyDescent="0.3">
      <c r="C56" s="4" t="s">
        <v>71</v>
      </c>
      <c r="D56" s="17">
        <v>230</v>
      </c>
      <c r="E56" s="5" t="s">
        <v>72</v>
      </c>
    </row>
    <row r="58" spans="3:5" ht="25.8" x14ac:dyDescent="0.3">
      <c r="C58" s="4" t="s">
        <v>75</v>
      </c>
      <c r="D58" s="17">
        <f>1.1*D56</f>
        <v>253.00000000000003</v>
      </c>
      <c r="E58" s="5" t="s">
        <v>72</v>
      </c>
    </row>
    <row r="60" spans="3:5" ht="25.8" x14ac:dyDescent="0.3">
      <c r="C60" s="4" t="s">
        <v>93</v>
      </c>
      <c r="D60" s="5">
        <f>1.1*220</f>
        <v>242.00000000000003</v>
      </c>
      <c r="E60" s="12" t="s">
        <v>91</v>
      </c>
    </row>
    <row r="62" spans="3:5" ht="25.8" x14ac:dyDescent="0.3">
      <c r="C62" s="4" t="s">
        <v>94</v>
      </c>
      <c r="D62" s="5">
        <f>(D58)^2/(D60*10^3)</f>
        <v>0.26450000000000001</v>
      </c>
      <c r="E62" s="5" t="s">
        <v>95</v>
      </c>
    </row>
    <row r="63" spans="3:5" x14ac:dyDescent="0.3">
      <c r="C63" s="10"/>
      <c r="D63" s="10">
        <f>D62*1000</f>
        <v>264.5</v>
      </c>
      <c r="E63" s="10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C64B9-E795-47AC-8A1E-29319F235A34}">
  <dimension ref="B2:E30"/>
  <sheetViews>
    <sheetView tabSelected="1" topLeftCell="A22" workbookViewId="0">
      <selection activeCell="C30" sqref="C30"/>
    </sheetView>
  </sheetViews>
  <sheetFormatPr defaultRowHeight="14.4" x14ac:dyDescent="0.3"/>
  <cols>
    <col min="3" max="3" width="22.109375" bestFit="1" customWidth="1"/>
  </cols>
  <sheetData>
    <row r="2" spans="2:2" x14ac:dyDescent="0.3">
      <c r="B2" t="s">
        <v>97</v>
      </c>
    </row>
    <row r="18" spans="2:5" ht="15.6" x14ac:dyDescent="0.3">
      <c r="B18" s="18" t="s">
        <v>100</v>
      </c>
    </row>
    <row r="19" spans="2:5" ht="25.8" x14ac:dyDescent="0.3">
      <c r="C19" s="4" t="s">
        <v>71</v>
      </c>
      <c r="D19" s="17">
        <v>230</v>
      </c>
      <c r="E19" s="5" t="s">
        <v>72</v>
      </c>
    </row>
    <row r="21" spans="2:5" ht="25.8" x14ac:dyDescent="0.3">
      <c r="C21" s="4" t="s">
        <v>98</v>
      </c>
      <c r="D21" s="6">
        <f>D19*1.21</f>
        <v>278.3</v>
      </c>
      <c r="E21" s="5" t="s">
        <v>72</v>
      </c>
    </row>
    <row r="23" spans="2:5" ht="25.8" x14ac:dyDescent="0.3">
      <c r="C23" s="4" t="s">
        <v>99</v>
      </c>
      <c r="D23" s="17">
        <f>D21*1.078</f>
        <v>300.00740000000002</v>
      </c>
      <c r="E23" s="5" t="s">
        <v>72</v>
      </c>
    </row>
    <row r="25" spans="2:5" ht="15.6" x14ac:dyDescent="0.3">
      <c r="B25" s="18" t="s">
        <v>101</v>
      </c>
    </row>
    <row r="26" spans="2:5" ht="25.8" x14ac:dyDescent="0.3">
      <c r="C26" s="4" t="s">
        <v>71</v>
      </c>
      <c r="D26" s="17">
        <v>24</v>
      </c>
      <c r="E26" s="5" t="s">
        <v>72</v>
      </c>
    </row>
    <row r="28" spans="2:5" ht="25.8" x14ac:dyDescent="0.3">
      <c r="C28" s="4" t="s">
        <v>98</v>
      </c>
      <c r="D28" s="6">
        <f>D26*1.21</f>
        <v>29.04</v>
      </c>
      <c r="E28" s="5" t="s">
        <v>72</v>
      </c>
    </row>
    <row r="30" spans="2:5" ht="25.8" x14ac:dyDescent="0.3">
      <c r="C30" s="4" t="s">
        <v>99</v>
      </c>
      <c r="D30" s="17">
        <f>D28*1.078</f>
        <v>31.305120000000002</v>
      </c>
      <c r="E30" s="5" t="s">
        <v>72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2038F-61F4-453F-9D67-43682C57C34C}">
  <dimension ref="B3:D9"/>
  <sheetViews>
    <sheetView workbookViewId="0">
      <selection activeCell="C14" sqref="C14"/>
    </sheetView>
  </sheetViews>
  <sheetFormatPr defaultRowHeight="14.4" x14ac:dyDescent="0.3"/>
  <cols>
    <col min="2" max="2" width="43.88671875" bestFit="1" customWidth="1"/>
    <col min="3" max="3" width="36.6640625" customWidth="1"/>
    <col min="4" max="4" width="41.44140625" customWidth="1"/>
  </cols>
  <sheetData>
    <row r="3" spans="2:4" ht="17.399999999999999" x14ac:dyDescent="0.3">
      <c r="B3" s="9" t="s">
        <v>42</v>
      </c>
    </row>
    <row r="4" spans="2:4" ht="15" thickBot="1" x14ac:dyDescent="0.35"/>
    <row r="5" spans="2:4" ht="16.2" thickBot="1" x14ac:dyDescent="0.35">
      <c r="B5" s="3" t="s">
        <v>43</v>
      </c>
      <c r="C5" s="3" t="s">
        <v>44</v>
      </c>
      <c r="D5" s="3" t="s">
        <v>45</v>
      </c>
    </row>
    <row r="6" spans="2:4" ht="39.6" customHeight="1" thickBot="1" x14ac:dyDescent="0.35">
      <c r="B6" s="2" t="s">
        <v>46</v>
      </c>
      <c r="C6" s="2" t="s">
        <v>47</v>
      </c>
      <c r="D6" s="2" t="s">
        <v>48</v>
      </c>
    </row>
    <row r="7" spans="2:4" ht="38.4" customHeight="1" thickBot="1" x14ac:dyDescent="0.35">
      <c r="B7" s="2" t="s">
        <v>49</v>
      </c>
      <c r="C7" s="2" t="s">
        <v>50</v>
      </c>
      <c r="D7" s="2" t="s">
        <v>51</v>
      </c>
    </row>
    <row r="8" spans="2:4" ht="35.4" customHeight="1" thickBot="1" x14ac:dyDescent="0.35">
      <c r="B8" s="2" t="s">
        <v>52</v>
      </c>
      <c r="C8" s="2" t="s">
        <v>53</v>
      </c>
      <c r="D8" s="2" t="s">
        <v>54</v>
      </c>
    </row>
    <row r="9" spans="2:4" ht="30.6" customHeight="1" thickBot="1" x14ac:dyDescent="0.35">
      <c r="B9" s="2" t="s">
        <v>55</v>
      </c>
      <c r="C9" s="2" t="s">
        <v>56</v>
      </c>
      <c r="D9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Limits</vt:lpstr>
      <vt:lpstr>Cx-Cy-CMC Calculation</vt:lpstr>
      <vt:lpstr>Y-Cap Leakage Currents</vt:lpstr>
      <vt:lpstr>Caps Discharge Resistor</vt:lpstr>
      <vt:lpstr>VARISTOR</vt:lpstr>
      <vt:lpstr>Harmonics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Gamal Mahmoud</dc:creator>
  <cp:lastModifiedBy>Mahmoud Gamal Mahmoud</cp:lastModifiedBy>
  <dcterms:created xsi:type="dcterms:W3CDTF">2015-06-05T18:17:20Z</dcterms:created>
  <dcterms:modified xsi:type="dcterms:W3CDTF">2026-02-24T14:59:41Z</dcterms:modified>
</cp:coreProperties>
</file>