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s" sheetId="1" r:id="rId3"/>
    <sheet state="visible" name="E-commerce" sheetId="2" r:id="rId4"/>
  </sheets>
  <definedNames/>
  <calcPr/>
</workbook>
</file>

<file path=xl/sharedStrings.xml><?xml version="1.0" encoding="utf-8"?>
<sst xmlns="http://schemas.openxmlformats.org/spreadsheetml/2006/main" count="97" uniqueCount="62">
  <si>
    <t>City Lights Entertainment</t>
  </si>
  <si>
    <t xml:space="preserve">Salaries: </t>
  </si>
  <si>
    <t>Title</t>
  </si>
  <si>
    <t>Annual Salary</t>
  </si>
  <si>
    <t>Fringe benefits</t>
  </si>
  <si>
    <t>Salary + Fringe</t>
  </si>
  <si>
    <t xml:space="preserve">Date Hired </t>
  </si>
  <si>
    <t>Q1 2018</t>
  </si>
  <si>
    <t>Q2 2018</t>
  </si>
  <si>
    <t>Q3 2018</t>
  </si>
  <si>
    <t>Q4 2018</t>
  </si>
  <si>
    <t>FY 2018</t>
  </si>
  <si>
    <t>Visual Artist</t>
  </si>
  <si>
    <t>Programmer 1</t>
  </si>
  <si>
    <t>Programmer 2</t>
  </si>
  <si>
    <t>Total:</t>
  </si>
  <si>
    <t>Number of people in team</t>
  </si>
  <si>
    <t xml:space="preserve">Office: </t>
  </si>
  <si>
    <t>Annual</t>
  </si>
  <si>
    <t>Start Date</t>
  </si>
  <si>
    <t>Rent</t>
  </si>
  <si>
    <t>Other OpEx related to office</t>
  </si>
  <si>
    <t>Computers 1 per person currently 3</t>
  </si>
  <si>
    <t xml:space="preserve">Other services: </t>
  </si>
  <si>
    <t>Adobe Creative Cloud</t>
  </si>
  <si>
    <t>Microsoft Visual Studio</t>
  </si>
  <si>
    <t>Unreal Engine 4 (fee of 5% gross revenue over $3000 per product, per quarter)</t>
  </si>
  <si>
    <t>Legal services</t>
  </si>
  <si>
    <t>Custom soundtrack in addition to stock music</t>
  </si>
  <si>
    <t>Marketing:</t>
  </si>
  <si>
    <t>Spreading awareness via social media, indie game competitions, word of mouth ect.</t>
  </si>
  <si>
    <t>Increase budget after releasing a succesful game</t>
  </si>
  <si>
    <t>Total costs:</t>
  </si>
  <si>
    <t xml:space="preserve">Total costs </t>
  </si>
  <si>
    <t>No monetization</t>
  </si>
  <si>
    <t>Average Monthly Burn</t>
  </si>
  <si>
    <t>Cash Available (Capital)</t>
  </si>
  <si>
    <t>How many months you have until cash will be burned totally</t>
  </si>
  <si>
    <t>E-commerce</t>
  </si>
  <si>
    <t>Total Revenue from E-commerce model</t>
  </si>
  <si>
    <t>Capital + Revenue</t>
  </si>
  <si>
    <t>How many months you have until cash will be burned totally in Saas Model</t>
  </si>
  <si>
    <t>Your E-commerce business revenue</t>
  </si>
  <si>
    <t>Price</t>
  </si>
  <si>
    <t>% out of total orders</t>
  </si>
  <si>
    <t>Cost to produce, 60%</t>
  </si>
  <si>
    <t>Margin, 40%</t>
  </si>
  <si>
    <t>Product 1</t>
  </si>
  <si>
    <t>Product 2</t>
  </si>
  <si>
    <t>Revenue per sale, avg</t>
  </si>
  <si>
    <t>Cost to produce, avg</t>
  </si>
  <si>
    <t>Second game released</t>
  </si>
  <si>
    <t>Metric</t>
  </si>
  <si>
    <t xml:space="preserve">Number of Sales </t>
  </si>
  <si>
    <t>Sales growth MoM, %</t>
  </si>
  <si>
    <t>Revenue</t>
  </si>
  <si>
    <t>Unreal fee, 5% over $3000 quarterly</t>
  </si>
  <si>
    <t>Steam fee, 30%</t>
  </si>
  <si>
    <t>Net Margin</t>
  </si>
  <si>
    <t>Net Income</t>
  </si>
  <si>
    <t>Total revenue cumulative</t>
  </si>
  <si>
    <t>Total Net income 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</si>
</sst>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[$-409]mmmm\ d\,\ yyyy"/>
  </numFmts>
  <fonts count="7">
    <font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0.0"/>
      <color rgb="FF000000"/>
      <name val="Arial"/>
    </font>
    <font>
      <b/>
      <sz val="10.0"/>
      <color rgb="FFFFFFFF"/>
      <name val="Arial"/>
    </font>
    <font>
      <b/>
      <sz val="12.0"/>
      <color rgb="FF000000"/>
      <name val="Calibri"/>
    </font>
    <font>
      <b/>
      <sz val="16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</fills>
  <borders count="2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1" fillId="2" fontId="3" numFmtId="0" xfId="0" applyAlignment="1" applyBorder="1" applyFill="1" applyFont="1">
      <alignment shrinkToFit="0" wrapText="0"/>
    </xf>
    <xf borderId="2" fillId="2" fontId="3" numFmtId="0" xfId="0" applyAlignment="1" applyBorder="1" applyFont="1">
      <alignment shrinkToFit="0" wrapText="0"/>
    </xf>
    <xf borderId="3" fillId="2" fontId="3" numFmtId="0" xfId="0" applyAlignment="1" applyBorder="1" applyFont="1">
      <alignment shrinkToFit="0" wrapText="0"/>
    </xf>
    <xf borderId="4" fillId="0" fontId="3" numFmtId="17" xfId="0" applyAlignment="1" applyBorder="1" applyFont="1" applyNumberFormat="1">
      <alignment horizontal="center" shrinkToFit="0" wrapText="0"/>
    </xf>
    <xf borderId="2" fillId="3" fontId="4" numFmtId="17" xfId="0" applyAlignment="1" applyBorder="1" applyFill="1" applyFont="1" applyNumberFormat="1">
      <alignment horizontal="center" shrinkToFit="0" wrapText="0"/>
    </xf>
    <xf borderId="3" fillId="4" fontId="4" numFmtId="17" xfId="0" applyAlignment="1" applyBorder="1" applyFill="1" applyFont="1" applyNumberFormat="1">
      <alignment horizontal="center" shrinkToFit="0" wrapText="0"/>
    </xf>
    <xf borderId="5" fillId="0" fontId="0" numFmtId="0" xfId="0" applyAlignment="1" applyBorder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9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6" fillId="2" fontId="0" numFmtId="164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0" fillId="0" fontId="0" numFmtId="165" xfId="0" applyAlignment="1" applyFont="1" applyNumberFormat="1">
      <alignment readingOrder="0" shrinkToFit="0" wrapText="0"/>
    </xf>
    <xf borderId="8" fillId="0" fontId="5" numFmtId="0" xfId="0" applyAlignment="1" applyBorder="1" applyFont="1">
      <alignment shrinkToFit="0" wrapText="0"/>
    </xf>
    <xf borderId="4" fillId="0" fontId="0" numFmtId="164" xfId="0" applyAlignment="1" applyBorder="1" applyFont="1" applyNumberFormat="1">
      <alignment shrinkToFit="0" wrapText="0"/>
    </xf>
    <xf borderId="4" fillId="0" fontId="0" numFmtId="0" xfId="0" applyAlignment="1" applyBorder="1" applyFont="1">
      <alignment shrinkToFit="0" wrapText="0"/>
    </xf>
    <xf borderId="2" fillId="2" fontId="0" numFmtId="164" xfId="0" applyAlignment="1" applyBorder="1" applyFont="1" applyNumberFormat="1">
      <alignment shrinkToFit="0" wrapText="0"/>
    </xf>
    <xf borderId="9" fillId="0" fontId="0" numFmtId="164" xfId="0" applyAlignment="1" applyBorder="1" applyFont="1" applyNumberFormat="1">
      <alignment shrinkToFit="0" wrapText="0"/>
    </xf>
    <xf borderId="10" fillId="0" fontId="5" numFmtId="0" xfId="0" applyAlignment="1" applyBorder="1" applyFont="1">
      <alignment shrinkToFit="0" wrapText="0"/>
    </xf>
    <xf borderId="11" fillId="0" fontId="0" numFmtId="0" xfId="0" applyAlignment="1" applyBorder="1" applyFont="1">
      <alignment shrinkToFit="0" wrapText="0"/>
    </xf>
    <xf borderId="12" fillId="0" fontId="0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wrapText="0"/>
    </xf>
    <xf borderId="2" fillId="2" fontId="0" numFmtId="0" xfId="0" applyAlignment="1" applyBorder="1" applyFont="1">
      <alignment shrinkToFit="0" wrapText="0"/>
    </xf>
    <xf borderId="5" fillId="0" fontId="5" numFmtId="0" xfId="0" applyAlignment="1" applyBorder="1" applyFont="1">
      <alignment shrinkToFit="0" wrapText="0"/>
    </xf>
    <xf borderId="13" fillId="2" fontId="6" numFmtId="0" xfId="0" applyAlignment="1" applyBorder="1" applyFont="1">
      <alignment shrinkToFit="0" wrapText="0"/>
    </xf>
    <xf borderId="14" fillId="2" fontId="0" numFmtId="0" xfId="0" applyAlignment="1" applyBorder="1" applyFont="1">
      <alignment shrinkToFit="0" wrapText="0"/>
    </xf>
    <xf borderId="15" fillId="2" fontId="1" numFmtId="0" xfId="0" applyAlignment="1" applyBorder="1" applyFont="1">
      <alignment shrinkToFit="0" wrapText="0"/>
    </xf>
    <xf borderId="16" fillId="2" fontId="0" numFmtId="164" xfId="0" applyAlignment="1" applyBorder="1" applyFont="1" applyNumberFormat="1">
      <alignment shrinkToFit="0" wrapText="0"/>
    </xf>
    <xf borderId="17" fillId="2" fontId="1" numFmtId="49" xfId="0" applyAlignment="1" applyBorder="1" applyFont="1" applyNumberFormat="1">
      <alignment shrinkToFit="0" wrapText="1"/>
    </xf>
    <xf borderId="18" fillId="2" fontId="0" numFmtId="1" xfId="0" applyAlignment="1" applyBorder="1" applyFont="1" applyNumberFormat="1">
      <alignment shrinkToFit="0" wrapText="0"/>
    </xf>
    <xf borderId="15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shrinkToFit="0" wrapText="1"/>
    </xf>
    <xf borderId="0" fillId="0" fontId="0" numFmtId="0" xfId="0" applyAlignment="1" applyFont="1">
      <alignment shrinkToFit="0" wrapText="0"/>
    </xf>
    <xf borderId="0" fillId="0" fontId="0" numFmtId="9" xfId="0" applyAlignment="1" applyFont="1" applyNumberFormat="1">
      <alignment readingOrder="0" shrinkToFit="0" wrapText="0"/>
    </xf>
    <xf borderId="1" fillId="2" fontId="5" numFmtId="0" xfId="0" applyAlignment="1" applyBorder="1" applyFont="1">
      <alignment shrinkToFit="0" wrapText="0"/>
    </xf>
    <xf borderId="1" fillId="2" fontId="3" numFmtId="17" xfId="0" applyAlignment="1" applyBorder="1" applyFont="1" applyNumberFormat="1">
      <alignment horizontal="center" shrinkToFit="0" wrapText="0"/>
    </xf>
    <xf borderId="2" fillId="2" fontId="3" numFmtId="17" xfId="0" applyAlignment="1" applyBorder="1" applyFont="1" applyNumberFormat="1">
      <alignment horizontal="center" shrinkToFit="0" wrapText="0"/>
    </xf>
    <xf borderId="3" fillId="2" fontId="3" numFmtId="17" xfId="0" applyAlignment="1" applyBorder="1" applyFont="1" applyNumberFormat="1">
      <alignment horizontal="center" shrinkToFit="0" wrapText="0"/>
    </xf>
    <xf borderId="13" fillId="2" fontId="0" numFmtId="0" xfId="0" applyAlignment="1" applyBorder="1" applyFont="1">
      <alignment shrinkToFit="0" wrapText="0"/>
    </xf>
    <xf borderId="20" fillId="2" fontId="0" numFmtId="1" xfId="0" applyAlignment="1" applyBorder="1" applyFont="1" applyNumberFormat="1">
      <alignment readingOrder="0" shrinkToFit="0" wrapText="0"/>
    </xf>
    <xf borderId="20" fillId="2" fontId="0" numFmtId="1" xfId="0" applyAlignment="1" applyBorder="1" applyFont="1" applyNumberFormat="1">
      <alignment shrinkToFit="0" wrapText="0"/>
    </xf>
    <xf borderId="14" fillId="2" fontId="0" numFmtId="1" xfId="0" applyAlignment="1" applyBorder="1" applyFont="1" applyNumberFormat="1">
      <alignment shrinkToFit="0" wrapText="0"/>
    </xf>
    <xf borderId="15" fillId="2" fontId="0" numFmtId="0" xfId="0" applyAlignment="1" applyBorder="1" applyFont="1">
      <alignment shrinkToFit="0" wrapText="0"/>
    </xf>
    <xf borderId="6" fillId="2" fontId="0" numFmtId="9" xfId="0" applyAlignment="1" applyBorder="1" applyFont="1" applyNumberFormat="1">
      <alignment shrinkToFit="0" wrapText="0"/>
    </xf>
    <xf borderId="6" fillId="2" fontId="0" numFmtId="10" xfId="0" applyAlignment="1" applyBorder="1" applyFont="1" applyNumberFormat="1">
      <alignment shrinkToFit="0" wrapText="0"/>
    </xf>
    <xf borderId="5" fillId="0" fontId="0" numFmtId="0" xfId="0" applyAlignment="1" applyBorder="1" applyFont="1">
      <alignment shrinkToFit="0" wrapText="0"/>
    </xf>
    <xf borderId="7" fillId="0" fontId="0" numFmtId="9" xfId="0" applyAlignment="1" applyBorder="1" applyFont="1" applyNumberFormat="1">
      <alignment shrinkToFit="0" wrapText="0"/>
    </xf>
    <xf borderId="7" fillId="0" fontId="0" numFmtId="0" xfId="0" applyAlignment="1" applyBorder="1" applyFont="1">
      <alignment shrinkToFit="0" wrapText="0"/>
    </xf>
    <xf borderId="17" fillId="2" fontId="0" numFmtId="0" xfId="0" applyAlignment="1" applyBorder="1" applyFont="1">
      <alignment shrinkToFit="0" wrapText="0"/>
    </xf>
    <xf borderId="21" fillId="2" fontId="0" numFmtId="164" xfId="0" applyAlignment="1" applyBorder="1" applyFont="1" applyNumberFormat="1">
      <alignment shrinkToFit="0" wrapText="0"/>
    </xf>
    <xf borderId="18" fillId="2" fontId="0" numFmtId="164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'E-commerce'!$A$10</c:f>
            </c:strRef>
          </c:tx>
          <c:spPr>
            <a:ln cmpd="sng" w="19050">
              <a:solidFill>
                <a:srgbClr val="A5A5A5"/>
              </a:solidFill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strRef>
              <c:f>'E-commerce'!$B$7:$M$7</c:f>
            </c:strRef>
          </c:cat>
          <c:val>
            <c:numRef>
              <c:f>'E-commerce'!$B$10:$M$10</c:f>
            </c:numRef>
          </c:val>
          <c:smooth val="0"/>
        </c:ser>
        <c:ser>
          <c:idx val="1"/>
          <c:order val="1"/>
          <c:tx>
            <c:strRef>
              <c:f>'E-commerce'!$A$14</c:f>
            </c:strRef>
          </c:tx>
          <c:spPr>
            <a:ln cmpd="sng" w="19050">
              <a:solidFill>
                <a:srgbClr val="1B2E4E"/>
              </a:solidFill>
            </a:ln>
          </c:spPr>
          <c:marker>
            <c:symbol val="circle"/>
            <c:size val="5"/>
            <c:spPr>
              <a:solidFill>
                <a:srgbClr val="1B2E4E"/>
              </a:solidFill>
              <a:ln cmpd="sng">
                <a:solidFill>
                  <a:srgbClr val="1B2E4E"/>
                </a:solidFill>
              </a:ln>
            </c:spPr>
          </c:marker>
          <c:cat>
            <c:strRef>
              <c:f>'E-commerce'!$B$7:$M$7</c:f>
            </c:strRef>
          </c:cat>
          <c:val>
            <c:numRef>
              <c:f>'E-commerce'!$B$14:$M$14</c:f>
            </c:numRef>
          </c:val>
          <c:smooth val="0"/>
        </c:ser>
        <c:axId val="6599729"/>
        <c:axId val="1373864649"/>
      </c:lineChart>
      <c:catAx>
        <c:axId val="65997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3864649"/>
      </c:catAx>
      <c:valAx>
        <c:axId val="13738646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659972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'E-commerce'!$A$16</c:f>
            </c:strRef>
          </c:tx>
          <c:spPr>
            <a:solidFill>
              <a:srgbClr val="5B9BD5">
                <a:alpha val="80000"/>
              </a:srgbClr>
            </a:solidFill>
            <a:ln cmpd="sng" w="19050">
              <a:solidFill>
                <a:srgbClr val="5B9BD5"/>
              </a:solidFill>
            </a:ln>
          </c:spPr>
          <c:cat>
            <c:strRef>
              <c:f>'E-commerce'!$B$7:$M$7</c:f>
            </c:strRef>
          </c:cat>
          <c:val>
            <c:numRef>
              <c:f>'E-commerce'!$B$16:$M$16</c:f>
            </c:numRef>
          </c:val>
        </c:ser>
        <c:ser>
          <c:idx val="1"/>
          <c:order val="1"/>
          <c:tx>
            <c:strRef>
              <c:f>'E-commerce'!$A$17</c:f>
            </c:strRef>
          </c:tx>
          <c:spPr>
            <a:solidFill>
              <a:srgbClr val="ED7D31">
                <a:alpha val="80000"/>
              </a:srgbClr>
            </a:solidFill>
            <a:ln cmpd="sng" w="19050">
              <a:solidFill>
                <a:srgbClr val="ED7D31"/>
              </a:solidFill>
            </a:ln>
          </c:spPr>
          <c:cat>
            <c:strRef>
              <c:f>'E-commerce'!$B$7:$M$7</c:f>
            </c:strRef>
          </c:cat>
          <c:val>
            <c:numRef>
              <c:f>'E-commerce'!$B$17:$M$17</c:f>
            </c:numRef>
          </c:val>
        </c:ser>
        <c:axId val="2062112019"/>
        <c:axId val="834797851"/>
      </c:areaChart>
      <c:catAx>
        <c:axId val="20621120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34797851"/>
      </c:catAx>
      <c:valAx>
        <c:axId val="83479785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6211201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0</xdr:rowOff>
    </xdr:from>
    <xdr:ext cx="9410700" cy="520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847725</xdr:colOff>
      <xdr:row>18</xdr:row>
      <xdr:rowOff>0</xdr:rowOff>
    </xdr:from>
    <xdr:ext cx="10048875" cy="5153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2.11"/>
    <col customWidth="1" min="2" max="2" width="24.33"/>
    <col customWidth="1" min="3" max="3" width="18.67"/>
    <col customWidth="1" min="4" max="4" width="19.78"/>
    <col customWidth="1" min="5" max="5" width="13.78"/>
    <col customWidth="1" min="6" max="12" width="11.44"/>
    <col customWidth="1" min="13" max="13" width="12.67"/>
    <col customWidth="1" min="14" max="16" width="11.44"/>
    <col customWidth="1" min="17" max="17" width="13.0"/>
    <col customWidth="1" min="18" max="20" width="11.44"/>
    <col customWidth="1" min="21" max="21" width="12.67"/>
    <col customWidth="1" min="22" max="22" width="12.44"/>
    <col customWidth="1" min="23" max="26" width="10.56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8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8.75" customHeight="1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.75" customHeight="1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8">
        <v>43115.0</v>
      </c>
      <c r="G5" s="8">
        <v>43146.0</v>
      </c>
      <c r="H5" s="8">
        <v>43174.0</v>
      </c>
      <c r="I5" s="9" t="s">
        <v>7</v>
      </c>
      <c r="J5" s="8">
        <v>43205.0</v>
      </c>
      <c r="K5" s="8">
        <v>43235.0</v>
      </c>
      <c r="L5" s="8">
        <v>43266.0</v>
      </c>
      <c r="M5" s="9" t="s">
        <v>8</v>
      </c>
      <c r="N5" s="8">
        <v>43296.0</v>
      </c>
      <c r="O5" s="8">
        <v>43327.0</v>
      </c>
      <c r="P5" s="8">
        <v>43358.0</v>
      </c>
      <c r="Q5" s="9" t="s">
        <v>9</v>
      </c>
      <c r="R5" s="8">
        <v>43388.0</v>
      </c>
      <c r="S5" s="8">
        <v>43419.0</v>
      </c>
      <c r="T5" s="8">
        <v>43449.0</v>
      </c>
      <c r="U5" s="9" t="s">
        <v>10</v>
      </c>
      <c r="V5" s="10" t="s">
        <v>11</v>
      </c>
    </row>
    <row r="6" ht="15.75" customHeight="1">
      <c r="A6" s="11" t="s">
        <v>12</v>
      </c>
      <c r="B6" s="12">
        <v>50560.0</v>
      </c>
      <c r="C6" s="13">
        <v>0.09</v>
      </c>
      <c r="D6" s="14">
        <f t="shared" ref="D6:D8" si="5">B6+(B6*C6)</f>
        <v>55110.4</v>
      </c>
      <c r="E6" s="15">
        <v>43101.0</v>
      </c>
      <c r="F6" s="14">
        <f t="shared" ref="F6:H6" si="1">IF($E6&lt;=F$5, $D6/12, 0)</f>
        <v>4592.533333</v>
      </c>
      <c r="G6" s="14">
        <f t="shared" si="1"/>
        <v>4592.533333</v>
      </c>
      <c r="H6" s="14">
        <f t="shared" si="1"/>
        <v>4592.533333</v>
      </c>
      <c r="I6" s="16">
        <f t="shared" ref="I6:I8" si="7">SUM(F6:H6)</f>
        <v>13777.6</v>
      </c>
      <c r="J6" s="14">
        <f t="shared" ref="J6:L6" si="2">IF($E6&lt;=J$5, $D6/12, 0)</f>
        <v>4592.533333</v>
      </c>
      <c r="K6" s="14">
        <f t="shared" si="2"/>
        <v>4592.533333</v>
      </c>
      <c r="L6" s="14">
        <f t="shared" si="2"/>
        <v>4592.533333</v>
      </c>
      <c r="M6" s="16">
        <f t="shared" ref="M6:M8" si="9">SUM(J6:L6)</f>
        <v>13777.6</v>
      </c>
      <c r="N6" s="14">
        <f t="shared" ref="N6:P6" si="3">IF($E6&lt;=N$5, $D6/12, 0)</f>
        <v>4592.533333</v>
      </c>
      <c r="O6" s="14">
        <f t="shared" si="3"/>
        <v>4592.533333</v>
      </c>
      <c r="P6" s="14">
        <f t="shared" si="3"/>
        <v>4592.533333</v>
      </c>
      <c r="Q6" s="16">
        <f t="shared" ref="Q6:Q8" si="11">SUM(N6:P6)</f>
        <v>13777.6</v>
      </c>
      <c r="R6" s="14">
        <f t="shared" ref="R6:T6" si="4">IF($E6&lt;=R$5, $D6/12, 0)</f>
        <v>4592.533333</v>
      </c>
      <c r="S6" s="14">
        <f t="shared" si="4"/>
        <v>4592.533333</v>
      </c>
      <c r="T6" s="14">
        <f t="shared" si="4"/>
        <v>4592.533333</v>
      </c>
      <c r="U6" s="16">
        <f t="shared" ref="U6:U8" si="13">SUM(R6:T6)</f>
        <v>13777.6</v>
      </c>
      <c r="V6" s="17">
        <f t="shared" ref="V6:V8" si="14">I6+M6+Q6+U6</f>
        <v>55110.4</v>
      </c>
    </row>
    <row r="7" ht="15.75" customHeight="1">
      <c r="A7" s="11" t="s">
        <v>13</v>
      </c>
      <c r="B7" s="12">
        <v>50240.0</v>
      </c>
      <c r="C7" s="13">
        <v>0.09</v>
      </c>
      <c r="D7" s="14">
        <f t="shared" si="5"/>
        <v>54761.6</v>
      </c>
      <c r="E7" s="15">
        <v>43101.0</v>
      </c>
      <c r="F7" s="14">
        <f t="shared" ref="F7:H7" si="6">IF($E7&lt;=F$5, $D7/12, 0)</f>
        <v>4563.466667</v>
      </c>
      <c r="G7" s="14">
        <f t="shared" si="6"/>
        <v>4563.466667</v>
      </c>
      <c r="H7" s="14">
        <f t="shared" si="6"/>
        <v>4563.466667</v>
      </c>
      <c r="I7" s="16">
        <f t="shared" si="7"/>
        <v>13690.4</v>
      </c>
      <c r="J7" s="14">
        <f t="shared" ref="J7:L7" si="8">IF($E7&lt;=J$5, $D7/12, 0)</f>
        <v>4563.466667</v>
      </c>
      <c r="K7" s="14">
        <f t="shared" si="8"/>
        <v>4563.466667</v>
      </c>
      <c r="L7" s="14">
        <f t="shared" si="8"/>
        <v>4563.466667</v>
      </c>
      <c r="M7" s="16">
        <f t="shared" si="9"/>
        <v>13690.4</v>
      </c>
      <c r="N7" s="14">
        <f t="shared" ref="N7:P7" si="10">IF($E7&lt;=N$5, $D7/12, 0)</f>
        <v>4563.466667</v>
      </c>
      <c r="O7" s="14">
        <f t="shared" si="10"/>
        <v>4563.466667</v>
      </c>
      <c r="P7" s="14">
        <f t="shared" si="10"/>
        <v>4563.466667</v>
      </c>
      <c r="Q7" s="16">
        <f t="shared" si="11"/>
        <v>13690.4</v>
      </c>
      <c r="R7" s="14">
        <f t="shared" ref="R7:T7" si="12">IF($E7&lt;=R$5, $D7/12, 0)</f>
        <v>4563.466667</v>
      </c>
      <c r="S7" s="14">
        <f t="shared" si="12"/>
        <v>4563.466667</v>
      </c>
      <c r="T7" s="14">
        <f t="shared" si="12"/>
        <v>4563.466667</v>
      </c>
      <c r="U7" s="16">
        <f t="shared" si="13"/>
        <v>13690.4</v>
      </c>
      <c r="V7" s="17">
        <f t="shared" si="14"/>
        <v>54761.6</v>
      </c>
    </row>
    <row r="8" ht="15.75" customHeight="1">
      <c r="A8" s="11" t="s">
        <v>14</v>
      </c>
      <c r="B8" s="12">
        <v>50240.0</v>
      </c>
      <c r="C8" s="13">
        <v>0.09</v>
      </c>
      <c r="D8" s="14">
        <f t="shared" si="5"/>
        <v>54761.6</v>
      </c>
      <c r="E8" s="18">
        <v>43101.0</v>
      </c>
      <c r="F8" s="14">
        <f t="shared" ref="F8:H8" si="15">IF($E8&lt;=F$5, $D8/12, 0)</f>
        <v>4563.466667</v>
      </c>
      <c r="G8" s="14">
        <f t="shared" si="15"/>
        <v>4563.466667</v>
      </c>
      <c r="H8" s="14">
        <f t="shared" si="15"/>
        <v>4563.466667</v>
      </c>
      <c r="I8" s="16">
        <f t="shared" si="7"/>
        <v>13690.4</v>
      </c>
      <c r="J8" s="14">
        <f t="shared" ref="J8:L8" si="16">IF($E8&lt;=J$5, $D8/12, 0)</f>
        <v>4563.466667</v>
      </c>
      <c r="K8" s="14">
        <f t="shared" si="16"/>
        <v>4563.466667</v>
      </c>
      <c r="L8" s="14">
        <f t="shared" si="16"/>
        <v>4563.466667</v>
      </c>
      <c r="M8" s="16">
        <f t="shared" si="9"/>
        <v>13690.4</v>
      </c>
      <c r="N8" s="14">
        <f t="shared" ref="N8:P8" si="17">IF($E8&lt;=N$5, $D8/12, 0)</f>
        <v>4563.466667</v>
      </c>
      <c r="O8" s="14">
        <f t="shared" si="17"/>
        <v>4563.466667</v>
      </c>
      <c r="P8" s="14">
        <f t="shared" si="17"/>
        <v>4563.466667</v>
      </c>
      <c r="Q8" s="16">
        <f t="shared" si="11"/>
        <v>13690.4</v>
      </c>
      <c r="R8" s="14">
        <f t="shared" ref="R8:T8" si="18">IF($E8&lt;=R$5, $D8/12, 0)</f>
        <v>4563.466667</v>
      </c>
      <c r="S8" s="14">
        <f t="shared" si="18"/>
        <v>4563.466667</v>
      </c>
      <c r="T8" s="14">
        <f t="shared" si="18"/>
        <v>4563.466667</v>
      </c>
      <c r="U8" s="16">
        <f t="shared" si="13"/>
        <v>13690.4</v>
      </c>
      <c r="V8" s="17">
        <f t="shared" si="14"/>
        <v>54761.6</v>
      </c>
    </row>
    <row r="9" ht="15.75" customHeight="1">
      <c r="A9" s="19" t="s">
        <v>15</v>
      </c>
      <c r="B9" s="20">
        <f>SUM(B6:B8)</f>
        <v>151040</v>
      </c>
      <c r="C9" s="21"/>
      <c r="D9" s="21"/>
      <c r="E9" s="21"/>
      <c r="F9" s="20">
        <f t="shared" ref="F9:V9" si="19">SUM(F6:F8)</f>
        <v>13719.46667</v>
      </c>
      <c r="G9" s="20">
        <f t="shared" si="19"/>
        <v>13719.46667</v>
      </c>
      <c r="H9" s="20">
        <f t="shared" si="19"/>
        <v>13719.46667</v>
      </c>
      <c r="I9" s="22">
        <f t="shared" si="19"/>
        <v>41158.4</v>
      </c>
      <c r="J9" s="20">
        <f t="shared" si="19"/>
        <v>13719.46667</v>
      </c>
      <c r="K9" s="20">
        <f t="shared" si="19"/>
        <v>13719.46667</v>
      </c>
      <c r="L9" s="20">
        <f t="shared" si="19"/>
        <v>13719.46667</v>
      </c>
      <c r="M9" s="22">
        <f t="shared" si="19"/>
        <v>41158.4</v>
      </c>
      <c r="N9" s="20">
        <f t="shared" si="19"/>
        <v>13719.46667</v>
      </c>
      <c r="O9" s="20">
        <f t="shared" si="19"/>
        <v>13719.46667</v>
      </c>
      <c r="P9" s="20">
        <f t="shared" si="19"/>
        <v>13719.46667</v>
      </c>
      <c r="Q9" s="22">
        <f t="shared" si="19"/>
        <v>41158.4</v>
      </c>
      <c r="R9" s="20">
        <f t="shared" si="19"/>
        <v>13719.46667</v>
      </c>
      <c r="S9" s="20">
        <f t="shared" si="19"/>
        <v>13719.46667</v>
      </c>
      <c r="T9" s="20">
        <f t="shared" si="19"/>
        <v>13719.46667</v>
      </c>
      <c r="U9" s="22">
        <f t="shared" si="19"/>
        <v>41158.4</v>
      </c>
      <c r="V9" s="23">
        <f t="shared" si="19"/>
        <v>164633.6</v>
      </c>
    </row>
    <row r="10" ht="15.75" customHeight="1">
      <c r="A10" s="24" t="s">
        <v>16</v>
      </c>
      <c r="B10" s="25"/>
      <c r="C10" s="25"/>
      <c r="D10" s="25"/>
      <c r="E10" s="25"/>
      <c r="F10" s="25">
        <f t="shared" ref="F10:V10" si="20">COUNTIF(F6:F8,"&gt;0")</f>
        <v>3</v>
      </c>
      <c r="G10" s="25">
        <f t="shared" si="20"/>
        <v>3</v>
      </c>
      <c r="H10" s="25">
        <f t="shared" si="20"/>
        <v>3</v>
      </c>
      <c r="I10" s="25">
        <f t="shared" si="20"/>
        <v>3</v>
      </c>
      <c r="J10" s="25">
        <f t="shared" si="20"/>
        <v>3</v>
      </c>
      <c r="K10" s="25">
        <f t="shared" si="20"/>
        <v>3</v>
      </c>
      <c r="L10" s="25">
        <f t="shared" si="20"/>
        <v>3</v>
      </c>
      <c r="M10" s="25">
        <f t="shared" si="20"/>
        <v>3</v>
      </c>
      <c r="N10" s="25">
        <f t="shared" si="20"/>
        <v>3</v>
      </c>
      <c r="O10" s="25">
        <f t="shared" si="20"/>
        <v>3</v>
      </c>
      <c r="P10" s="25">
        <f t="shared" si="20"/>
        <v>3</v>
      </c>
      <c r="Q10" s="25">
        <f t="shared" si="20"/>
        <v>3</v>
      </c>
      <c r="R10" s="25">
        <f t="shared" si="20"/>
        <v>3</v>
      </c>
      <c r="S10" s="25">
        <f t="shared" si="20"/>
        <v>3</v>
      </c>
      <c r="T10" s="25">
        <f t="shared" si="20"/>
        <v>3</v>
      </c>
      <c r="U10" s="25">
        <f t="shared" si="20"/>
        <v>3</v>
      </c>
      <c r="V10" s="26">
        <f t="shared" si="20"/>
        <v>3</v>
      </c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75" customHeight="1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8.75" customHeight="1">
      <c r="A13" s="4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75" customHeight="1">
      <c r="A14" s="5" t="s">
        <v>2</v>
      </c>
      <c r="B14" s="6" t="s">
        <v>18</v>
      </c>
      <c r="C14" s="28"/>
      <c r="D14" s="28"/>
      <c r="E14" s="7" t="s">
        <v>19</v>
      </c>
      <c r="F14" s="8">
        <v>43115.0</v>
      </c>
      <c r="G14" s="8">
        <v>43146.0</v>
      </c>
      <c r="H14" s="8">
        <v>43174.0</v>
      </c>
      <c r="I14" s="9" t="s">
        <v>7</v>
      </c>
      <c r="J14" s="8">
        <v>43205.0</v>
      </c>
      <c r="K14" s="8">
        <v>43235.0</v>
      </c>
      <c r="L14" s="8">
        <v>43266.0</v>
      </c>
      <c r="M14" s="9" t="s">
        <v>8</v>
      </c>
      <c r="N14" s="8">
        <v>43296.0</v>
      </c>
      <c r="O14" s="8">
        <v>43327.0</v>
      </c>
      <c r="P14" s="8">
        <v>43358.0</v>
      </c>
      <c r="Q14" s="9" t="s">
        <v>9</v>
      </c>
      <c r="R14" s="8">
        <v>43388.0</v>
      </c>
      <c r="S14" s="8">
        <v>43419.0</v>
      </c>
      <c r="T14" s="8">
        <v>43449.0</v>
      </c>
      <c r="U14" s="9" t="s">
        <v>10</v>
      </c>
      <c r="V14" s="10" t="s">
        <v>11</v>
      </c>
    </row>
    <row r="15" ht="15.75" customHeight="1">
      <c r="A15" s="2" t="s">
        <v>20</v>
      </c>
      <c r="B15" s="12">
        <v>27602.0</v>
      </c>
      <c r="C15" s="2"/>
      <c r="D15" s="2"/>
      <c r="E15" s="15">
        <v>43101.0</v>
      </c>
      <c r="F15" s="14">
        <f t="shared" ref="F15:H15" si="21">IF($E15&lt;=F$14, $B15/12, 0)</f>
        <v>2300.166667</v>
      </c>
      <c r="G15" s="14">
        <f t="shared" si="21"/>
        <v>2300.166667</v>
      </c>
      <c r="H15" s="14">
        <f t="shared" si="21"/>
        <v>2300.166667</v>
      </c>
      <c r="I15" s="16">
        <f t="shared" ref="I15:I17" si="26">SUM(F15:H15)</f>
        <v>6900.5</v>
      </c>
      <c r="J15" s="14">
        <f t="shared" ref="J15:L15" si="22">IF($E15&lt;=J$14, $B15/12, 0)</f>
        <v>2300.166667</v>
      </c>
      <c r="K15" s="14">
        <f t="shared" si="22"/>
        <v>2300.166667</v>
      </c>
      <c r="L15" s="14">
        <f t="shared" si="22"/>
        <v>2300.166667</v>
      </c>
      <c r="M15" s="16">
        <f t="shared" ref="M15:M17" si="28">SUM(J15:L15)</f>
        <v>6900.5</v>
      </c>
      <c r="N15" s="14">
        <f t="shared" ref="N15:P15" si="23">IF($E15&lt;=N$14, $B15/12, 0)</f>
        <v>2300.166667</v>
      </c>
      <c r="O15" s="14">
        <f t="shared" si="23"/>
        <v>2300.166667</v>
      </c>
      <c r="P15" s="14">
        <f t="shared" si="23"/>
        <v>2300.166667</v>
      </c>
      <c r="Q15" s="16">
        <f t="shared" ref="Q15:Q17" si="30">SUM(N15:P15)</f>
        <v>6900.5</v>
      </c>
      <c r="R15" s="14">
        <f t="shared" ref="R15:T15" si="24">IF($E15&lt;=R$14, $B15/12, 0)</f>
        <v>2300.166667</v>
      </c>
      <c r="S15" s="14">
        <f t="shared" si="24"/>
        <v>2300.166667</v>
      </c>
      <c r="T15" s="14">
        <f t="shared" si="24"/>
        <v>2300.166667</v>
      </c>
      <c r="U15" s="16">
        <f t="shared" ref="U15:U17" si="32">SUM(R15:T15)</f>
        <v>6900.5</v>
      </c>
      <c r="V15" s="14">
        <f t="shared" ref="V15:V17" si="33">I15+M15+Q15+U15</f>
        <v>27602</v>
      </c>
    </row>
    <row r="16" ht="15.75" customHeight="1">
      <c r="A16" s="2" t="s">
        <v>21</v>
      </c>
      <c r="B16" s="12">
        <v>3600.0</v>
      </c>
      <c r="C16" s="2"/>
      <c r="D16" s="2"/>
      <c r="E16" s="15">
        <v>43101.0</v>
      </c>
      <c r="F16" s="14">
        <f t="shared" ref="F16:H16" si="25">IF($E16&lt;=F$14, $B16/12, 0)</f>
        <v>300</v>
      </c>
      <c r="G16" s="14">
        <f t="shared" si="25"/>
        <v>300</v>
      </c>
      <c r="H16" s="14">
        <f t="shared" si="25"/>
        <v>300</v>
      </c>
      <c r="I16" s="16">
        <f t="shared" si="26"/>
        <v>900</v>
      </c>
      <c r="J16" s="14">
        <f t="shared" ref="J16:L16" si="27">IF($E16&lt;=J$14, $B16/12, 0)</f>
        <v>300</v>
      </c>
      <c r="K16" s="14">
        <f t="shared" si="27"/>
        <v>300</v>
      </c>
      <c r="L16" s="14">
        <f t="shared" si="27"/>
        <v>300</v>
      </c>
      <c r="M16" s="16">
        <f t="shared" si="28"/>
        <v>900</v>
      </c>
      <c r="N16" s="14">
        <f t="shared" ref="N16:P16" si="29">IF($E16&lt;=N$14, $B16/12, 0)</f>
        <v>300</v>
      </c>
      <c r="O16" s="14">
        <f t="shared" si="29"/>
        <v>300</v>
      </c>
      <c r="P16" s="14">
        <f t="shared" si="29"/>
        <v>300</v>
      </c>
      <c r="Q16" s="16">
        <f t="shared" si="30"/>
        <v>900</v>
      </c>
      <c r="R16" s="14">
        <f t="shared" ref="R16:T16" si="31">IF($E16&lt;=R$14, $B16/12, 0)</f>
        <v>300</v>
      </c>
      <c r="S16" s="14">
        <f t="shared" si="31"/>
        <v>300</v>
      </c>
      <c r="T16" s="14">
        <f t="shared" si="31"/>
        <v>300</v>
      </c>
      <c r="U16" s="16">
        <f t="shared" si="32"/>
        <v>900</v>
      </c>
      <c r="V16" s="14">
        <f t="shared" si="33"/>
        <v>3600</v>
      </c>
    </row>
    <row r="17" ht="15.75" customHeight="1">
      <c r="A17" s="27" t="s">
        <v>22</v>
      </c>
      <c r="B17" s="12">
        <v>45000.0</v>
      </c>
      <c r="C17" s="2"/>
      <c r="D17" s="2"/>
      <c r="E17" s="15">
        <v>43101.0</v>
      </c>
      <c r="F17" s="14">
        <f t="shared" ref="F17:H17" si="34">IF($E17&lt;=F$14, $B17/12, 0)</f>
        <v>3750</v>
      </c>
      <c r="G17" s="14">
        <f t="shared" si="34"/>
        <v>3750</v>
      </c>
      <c r="H17" s="14">
        <f t="shared" si="34"/>
        <v>3750</v>
      </c>
      <c r="I17" s="16">
        <f t="shared" si="26"/>
        <v>11250</v>
      </c>
      <c r="J17" s="14">
        <f t="shared" ref="J17:L17" si="35">IF($E17&lt;=J$14, $B17/12, 0)</f>
        <v>3750</v>
      </c>
      <c r="K17" s="14">
        <f t="shared" si="35"/>
        <v>3750</v>
      </c>
      <c r="L17" s="14">
        <f t="shared" si="35"/>
        <v>3750</v>
      </c>
      <c r="M17" s="16">
        <f t="shared" si="28"/>
        <v>11250</v>
      </c>
      <c r="N17" s="14">
        <f t="shared" ref="N17:P17" si="36">IF($E17&lt;=N$14, $B17/12, 0)</f>
        <v>3750</v>
      </c>
      <c r="O17" s="14">
        <f t="shared" si="36"/>
        <v>3750</v>
      </c>
      <c r="P17" s="14">
        <f t="shared" si="36"/>
        <v>3750</v>
      </c>
      <c r="Q17" s="16">
        <f t="shared" si="30"/>
        <v>11250</v>
      </c>
      <c r="R17" s="14">
        <f t="shared" ref="R17:T17" si="37">IF($E17&lt;=R$14, $B17/12, 0)</f>
        <v>3750</v>
      </c>
      <c r="S17" s="14">
        <f t="shared" si="37"/>
        <v>3750</v>
      </c>
      <c r="T17" s="14">
        <f t="shared" si="37"/>
        <v>3750</v>
      </c>
      <c r="U17" s="16">
        <f t="shared" si="32"/>
        <v>11250</v>
      </c>
      <c r="V17" s="14">
        <f t="shared" si="33"/>
        <v>45000</v>
      </c>
    </row>
    <row r="18" ht="15.75" customHeight="1">
      <c r="A18" s="29" t="s">
        <v>15</v>
      </c>
      <c r="B18" s="14">
        <f>SUM(B15:B17)</f>
        <v>76202</v>
      </c>
      <c r="C18" s="2"/>
      <c r="D18" s="2"/>
      <c r="E18" s="2"/>
      <c r="F18" s="14">
        <f t="shared" ref="F18:V18" si="38">SUM(F15:F16)</f>
        <v>2600.166667</v>
      </c>
      <c r="G18" s="14">
        <f t="shared" si="38"/>
        <v>2600.166667</v>
      </c>
      <c r="H18" s="14">
        <f t="shared" si="38"/>
        <v>2600.166667</v>
      </c>
      <c r="I18" s="16">
        <f t="shared" si="38"/>
        <v>7800.5</v>
      </c>
      <c r="J18" s="14">
        <f t="shared" si="38"/>
        <v>2600.166667</v>
      </c>
      <c r="K18" s="14">
        <f t="shared" si="38"/>
        <v>2600.166667</v>
      </c>
      <c r="L18" s="14">
        <f t="shared" si="38"/>
        <v>2600.166667</v>
      </c>
      <c r="M18" s="16">
        <f t="shared" si="38"/>
        <v>7800.5</v>
      </c>
      <c r="N18" s="14">
        <f t="shared" si="38"/>
        <v>2600.166667</v>
      </c>
      <c r="O18" s="14">
        <f t="shared" si="38"/>
        <v>2600.166667</v>
      </c>
      <c r="P18" s="14">
        <f t="shared" si="38"/>
        <v>2600.166667</v>
      </c>
      <c r="Q18" s="16">
        <f t="shared" si="38"/>
        <v>7800.5</v>
      </c>
      <c r="R18" s="14">
        <f t="shared" si="38"/>
        <v>2600.166667</v>
      </c>
      <c r="S18" s="14">
        <f t="shared" si="38"/>
        <v>2600.166667</v>
      </c>
      <c r="T18" s="14">
        <f t="shared" si="38"/>
        <v>2600.166667</v>
      </c>
      <c r="U18" s="16">
        <f t="shared" si="38"/>
        <v>7800.5</v>
      </c>
      <c r="V18" s="14">
        <f t="shared" si="38"/>
        <v>31202</v>
      </c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8.75" customHeight="1">
      <c r="A21" s="1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5" t="s">
        <v>2</v>
      </c>
      <c r="B22" s="6" t="s">
        <v>18</v>
      </c>
      <c r="C22" s="28"/>
      <c r="D22" s="28"/>
      <c r="E22" s="7" t="s">
        <v>19</v>
      </c>
      <c r="F22" s="8">
        <v>43115.0</v>
      </c>
      <c r="G22" s="8">
        <v>43146.0</v>
      </c>
      <c r="H22" s="8">
        <v>43174.0</v>
      </c>
      <c r="I22" s="9" t="s">
        <v>7</v>
      </c>
      <c r="J22" s="8">
        <v>43205.0</v>
      </c>
      <c r="K22" s="8">
        <v>43235.0</v>
      </c>
      <c r="L22" s="8">
        <v>43266.0</v>
      </c>
      <c r="M22" s="9" t="s">
        <v>8</v>
      </c>
      <c r="N22" s="8">
        <v>43296.0</v>
      </c>
      <c r="O22" s="8">
        <v>43327.0</v>
      </c>
      <c r="P22" s="8">
        <v>43358.0</v>
      </c>
      <c r="Q22" s="9" t="s">
        <v>9</v>
      </c>
      <c r="R22" s="8">
        <v>43388.0</v>
      </c>
      <c r="S22" s="8">
        <v>43419.0</v>
      </c>
      <c r="T22" s="8">
        <v>43449.0</v>
      </c>
      <c r="U22" s="9" t="s">
        <v>10</v>
      </c>
      <c r="V22" s="10" t="s">
        <v>11</v>
      </c>
    </row>
    <row r="23" ht="15.75" customHeight="1">
      <c r="A23" s="27" t="s">
        <v>24</v>
      </c>
      <c r="B23" s="12">
        <v>599.88</v>
      </c>
      <c r="C23" s="2"/>
      <c r="D23" s="2"/>
      <c r="E23" s="15">
        <v>43101.0</v>
      </c>
      <c r="F23" s="14">
        <f t="shared" ref="F23:H23" si="39">IF($E23&lt;=F$22, $B23/12, 0)</f>
        <v>49.99</v>
      </c>
      <c r="G23" s="14">
        <f t="shared" si="39"/>
        <v>49.99</v>
      </c>
      <c r="H23" s="14">
        <f t="shared" si="39"/>
        <v>49.99</v>
      </c>
      <c r="I23" s="16">
        <f t="shared" ref="I23:I27" si="44">SUM(F23:H23)</f>
        <v>149.97</v>
      </c>
      <c r="J23" s="14">
        <f t="shared" ref="J23:L23" si="40">IF($E23&lt;=J$22, $B23/12, 0)</f>
        <v>49.99</v>
      </c>
      <c r="K23" s="14">
        <f t="shared" si="40"/>
        <v>49.99</v>
      </c>
      <c r="L23" s="14">
        <f t="shared" si="40"/>
        <v>49.99</v>
      </c>
      <c r="M23" s="16">
        <f t="shared" ref="M23:M27" si="46">SUM(J23:L23)</f>
        <v>149.97</v>
      </c>
      <c r="N23" s="14">
        <f t="shared" ref="N23:P23" si="41">IF($E23&lt;=N$22, $B23/12, 0)</f>
        <v>49.99</v>
      </c>
      <c r="O23" s="14">
        <f t="shared" si="41"/>
        <v>49.99</v>
      </c>
      <c r="P23" s="14">
        <f t="shared" si="41"/>
        <v>49.99</v>
      </c>
      <c r="Q23" s="16">
        <f t="shared" ref="Q23:Q27" si="48">SUM(N23:P23)</f>
        <v>149.97</v>
      </c>
      <c r="R23" s="14">
        <f t="shared" ref="R23:T23" si="42">IF($E23&lt;=R$22, $B23/12, 0)</f>
        <v>49.99</v>
      </c>
      <c r="S23" s="14">
        <f t="shared" si="42"/>
        <v>49.99</v>
      </c>
      <c r="T23" s="14">
        <f t="shared" si="42"/>
        <v>49.99</v>
      </c>
      <c r="U23" s="16">
        <f t="shared" ref="U23:U27" si="50">SUM(R23:T23)</f>
        <v>149.97</v>
      </c>
      <c r="V23" s="14">
        <f t="shared" ref="V23:V27" si="51">I23+M23+Q23+U23</f>
        <v>599.88</v>
      </c>
    </row>
    <row r="24" ht="15.75" customHeight="1">
      <c r="A24" s="27" t="s">
        <v>25</v>
      </c>
      <c r="B24" s="12">
        <v>1199.0</v>
      </c>
      <c r="C24" s="2"/>
      <c r="D24" s="2"/>
      <c r="E24" s="15">
        <v>43101.0</v>
      </c>
      <c r="F24" s="14">
        <f t="shared" ref="F24:H24" si="43">IF($E24&lt;=F$22, $B24/12, 0)</f>
        <v>99.91666667</v>
      </c>
      <c r="G24" s="14">
        <f t="shared" si="43"/>
        <v>99.91666667</v>
      </c>
      <c r="H24" s="14">
        <f t="shared" si="43"/>
        <v>99.91666667</v>
      </c>
      <c r="I24" s="16">
        <f t="shared" si="44"/>
        <v>299.75</v>
      </c>
      <c r="J24" s="14">
        <f t="shared" ref="J24:L24" si="45">IF($E24&lt;=J$22, $B24/12, 0)</f>
        <v>99.91666667</v>
      </c>
      <c r="K24" s="14">
        <f t="shared" si="45"/>
        <v>99.91666667</v>
      </c>
      <c r="L24" s="14">
        <f t="shared" si="45"/>
        <v>99.91666667</v>
      </c>
      <c r="M24" s="16">
        <f t="shared" si="46"/>
        <v>299.75</v>
      </c>
      <c r="N24" s="14">
        <f t="shared" ref="N24:P24" si="47">IF($E24&lt;=N$22, $B24/12, 0)</f>
        <v>99.91666667</v>
      </c>
      <c r="O24" s="14">
        <f t="shared" si="47"/>
        <v>99.91666667</v>
      </c>
      <c r="P24" s="14">
        <f t="shared" si="47"/>
        <v>99.91666667</v>
      </c>
      <c r="Q24" s="16">
        <f t="shared" si="48"/>
        <v>299.75</v>
      </c>
      <c r="R24" s="14">
        <f t="shared" ref="R24:T24" si="49">IF($E24&lt;=R$22, $B24/12, 0)</f>
        <v>99.91666667</v>
      </c>
      <c r="S24" s="14">
        <f t="shared" si="49"/>
        <v>99.91666667</v>
      </c>
      <c r="T24" s="14">
        <f t="shared" si="49"/>
        <v>99.91666667</v>
      </c>
      <c r="U24" s="16">
        <f t="shared" si="50"/>
        <v>299.75</v>
      </c>
      <c r="V24" s="14">
        <f t="shared" si="51"/>
        <v>1199</v>
      </c>
    </row>
    <row r="25" ht="15.75" customHeight="1">
      <c r="A25" s="27" t="s">
        <v>26</v>
      </c>
      <c r="B25" s="12">
        <v>0.0</v>
      </c>
      <c r="C25" s="2"/>
      <c r="D25" s="2"/>
      <c r="E25" s="15">
        <v>43101.0</v>
      </c>
      <c r="F25" s="14">
        <f t="shared" ref="F25:H25" si="52">IF($E25&lt;=F$14, $B25/12, 0)</f>
        <v>0</v>
      </c>
      <c r="G25" s="14">
        <f t="shared" si="52"/>
        <v>0</v>
      </c>
      <c r="H25" s="14">
        <f t="shared" si="52"/>
        <v>0</v>
      </c>
      <c r="I25" s="16">
        <f t="shared" si="44"/>
        <v>0</v>
      </c>
      <c r="J25" s="14">
        <f t="shared" ref="J25:L25" si="53">IF($E25&lt;=J$14, $B25/12, 0)</f>
        <v>0</v>
      </c>
      <c r="K25" s="14">
        <f t="shared" si="53"/>
        <v>0</v>
      </c>
      <c r="L25" s="14">
        <f t="shared" si="53"/>
        <v>0</v>
      </c>
      <c r="M25" s="16">
        <f t="shared" si="46"/>
        <v>0</v>
      </c>
      <c r="N25" s="14">
        <f t="shared" ref="N25:P25" si="54">IF($E25&lt;=N$14, $B25/12, 0)</f>
        <v>0</v>
      </c>
      <c r="O25" s="14">
        <f t="shared" si="54"/>
        <v>0</v>
      </c>
      <c r="P25" s="14">
        <f t="shared" si="54"/>
        <v>0</v>
      </c>
      <c r="Q25" s="16">
        <f t="shared" si="48"/>
        <v>0</v>
      </c>
      <c r="R25" s="14">
        <f t="shared" ref="R25:T25" si="55">IF($E25&lt;=R$14, $B25/12, 0)</f>
        <v>0</v>
      </c>
      <c r="S25" s="14">
        <f t="shared" si="55"/>
        <v>0</v>
      </c>
      <c r="T25" s="14">
        <f t="shared" si="55"/>
        <v>0</v>
      </c>
      <c r="U25" s="16">
        <f t="shared" si="50"/>
        <v>0</v>
      </c>
      <c r="V25" s="14">
        <f t="shared" si="51"/>
        <v>0</v>
      </c>
    </row>
    <row r="26" ht="15.75" customHeight="1">
      <c r="A26" s="2" t="s">
        <v>27</v>
      </c>
      <c r="B26" s="14">
        <v>2000.0</v>
      </c>
      <c r="C26" s="2"/>
      <c r="D26" s="2"/>
      <c r="E26" s="15">
        <v>43101.0</v>
      </c>
      <c r="F26" s="14">
        <f t="shared" ref="F26:H26" si="56">IF($E26&lt;=F$14, $B26/12, 0)</f>
        <v>166.6666667</v>
      </c>
      <c r="G26" s="14">
        <f t="shared" si="56"/>
        <v>166.6666667</v>
      </c>
      <c r="H26" s="14">
        <f t="shared" si="56"/>
        <v>166.6666667</v>
      </c>
      <c r="I26" s="16">
        <f t="shared" si="44"/>
        <v>500</v>
      </c>
      <c r="J26" s="14">
        <f t="shared" ref="J26:L26" si="57">IF($E26&lt;=J$14, $B26/12, 0)</f>
        <v>166.6666667</v>
      </c>
      <c r="K26" s="14">
        <f t="shared" si="57"/>
        <v>166.6666667</v>
      </c>
      <c r="L26" s="14">
        <f t="shared" si="57"/>
        <v>166.6666667</v>
      </c>
      <c r="M26" s="16">
        <f t="shared" si="46"/>
        <v>500</v>
      </c>
      <c r="N26" s="14">
        <f t="shared" ref="N26:P26" si="58">IF($E26&lt;=N$14, $B26/12, 0)</f>
        <v>166.6666667</v>
      </c>
      <c r="O26" s="14">
        <f t="shared" si="58"/>
        <v>166.6666667</v>
      </c>
      <c r="P26" s="14">
        <f t="shared" si="58"/>
        <v>166.6666667</v>
      </c>
      <c r="Q26" s="16">
        <f t="shared" si="48"/>
        <v>500</v>
      </c>
      <c r="R26" s="14">
        <f t="shared" ref="R26:T26" si="59">IF($E26&lt;=R$14, $B26/12, 0)</f>
        <v>166.6666667</v>
      </c>
      <c r="S26" s="14">
        <f t="shared" si="59"/>
        <v>166.6666667</v>
      </c>
      <c r="T26" s="14">
        <f t="shared" si="59"/>
        <v>166.6666667</v>
      </c>
      <c r="U26" s="16">
        <f t="shared" si="50"/>
        <v>500</v>
      </c>
      <c r="V26" s="14">
        <f t="shared" si="51"/>
        <v>2000</v>
      </c>
    </row>
    <row r="27" ht="15.75" customHeight="1">
      <c r="A27" s="27" t="s">
        <v>28</v>
      </c>
      <c r="B27" s="12">
        <v>2000.0</v>
      </c>
      <c r="C27" s="2"/>
      <c r="D27" s="2"/>
      <c r="E27" s="15">
        <v>43101.0</v>
      </c>
      <c r="F27" s="14">
        <f t="shared" ref="F27:H27" si="60">IF($E27&lt;=F$14, $B27/12, 0)</f>
        <v>166.6666667</v>
      </c>
      <c r="G27" s="14">
        <f t="shared" si="60"/>
        <v>166.6666667</v>
      </c>
      <c r="H27" s="14">
        <f t="shared" si="60"/>
        <v>166.6666667</v>
      </c>
      <c r="I27" s="16">
        <f t="shared" si="44"/>
        <v>500</v>
      </c>
      <c r="J27" s="14">
        <f t="shared" ref="J27:L27" si="61">IF($E27&lt;=J$14, $B27/12, 0)</f>
        <v>166.6666667</v>
      </c>
      <c r="K27" s="14">
        <f t="shared" si="61"/>
        <v>166.6666667</v>
      </c>
      <c r="L27" s="14">
        <f t="shared" si="61"/>
        <v>166.6666667</v>
      </c>
      <c r="M27" s="16">
        <f t="shared" si="46"/>
        <v>500</v>
      </c>
      <c r="N27" s="14">
        <f t="shared" ref="N27:P27" si="62">IF($E27&lt;=N$14, $B27/12, 0)</f>
        <v>166.6666667</v>
      </c>
      <c r="O27" s="14">
        <f t="shared" si="62"/>
        <v>166.6666667</v>
      </c>
      <c r="P27" s="14">
        <f t="shared" si="62"/>
        <v>166.6666667</v>
      </c>
      <c r="Q27" s="16">
        <f t="shared" si="48"/>
        <v>500</v>
      </c>
      <c r="R27" s="14">
        <f t="shared" ref="R27:T27" si="63">IF($E27&lt;=R$14, $B27/12, 0)</f>
        <v>166.6666667</v>
      </c>
      <c r="S27" s="14">
        <f t="shared" si="63"/>
        <v>166.6666667</v>
      </c>
      <c r="T27" s="14">
        <f t="shared" si="63"/>
        <v>166.6666667</v>
      </c>
      <c r="U27" s="16">
        <f t="shared" si="50"/>
        <v>500</v>
      </c>
      <c r="V27" s="14">
        <f t="shared" si="51"/>
        <v>2000</v>
      </c>
    </row>
    <row r="28" ht="15.75" customHeight="1">
      <c r="A28" s="29" t="s">
        <v>15</v>
      </c>
      <c r="B28" s="14">
        <f>SUM(B23:B27)</f>
        <v>5798.88</v>
      </c>
      <c r="C28" s="2"/>
      <c r="D28" s="2"/>
      <c r="E28" s="2"/>
      <c r="F28" s="14">
        <f t="shared" ref="F28:V28" si="64">SUM(F23:F24)</f>
        <v>149.9066667</v>
      </c>
      <c r="G28" s="14">
        <f t="shared" si="64"/>
        <v>149.9066667</v>
      </c>
      <c r="H28" s="14">
        <f t="shared" si="64"/>
        <v>149.9066667</v>
      </c>
      <c r="I28" s="16">
        <f t="shared" si="64"/>
        <v>449.72</v>
      </c>
      <c r="J28" s="14">
        <f t="shared" si="64"/>
        <v>149.9066667</v>
      </c>
      <c r="K28" s="14">
        <f t="shared" si="64"/>
        <v>149.9066667</v>
      </c>
      <c r="L28" s="14">
        <f t="shared" si="64"/>
        <v>149.9066667</v>
      </c>
      <c r="M28" s="16">
        <f t="shared" si="64"/>
        <v>449.72</v>
      </c>
      <c r="N28" s="14">
        <f t="shared" si="64"/>
        <v>149.9066667</v>
      </c>
      <c r="O28" s="14">
        <f t="shared" si="64"/>
        <v>149.9066667</v>
      </c>
      <c r="P28" s="14">
        <f t="shared" si="64"/>
        <v>149.9066667</v>
      </c>
      <c r="Q28" s="16">
        <f t="shared" si="64"/>
        <v>449.72</v>
      </c>
      <c r="R28" s="14">
        <f t="shared" si="64"/>
        <v>149.9066667</v>
      </c>
      <c r="S28" s="14">
        <f t="shared" si="64"/>
        <v>149.9066667</v>
      </c>
      <c r="T28" s="14">
        <f t="shared" si="64"/>
        <v>149.9066667</v>
      </c>
      <c r="U28" s="16">
        <f t="shared" si="64"/>
        <v>449.72</v>
      </c>
      <c r="V28" s="14">
        <f t="shared" si="64"/>
        <v>1798.88</v>
      </c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8.75" customHeight="1">
      <c r="A32" s="4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5" t="s">
        <v>2</v>
      </c>
      <c r="B33" s="6" t="s">
        <v>18</v>
      </c>
      <c r="C33" s="28"/>
      <c r="D33" s="28"/>
      <c r="E33" s="7" t="s">
        <v>19</v>
      </c>
      <c r="F33" s="8">
        <v>43115.0</v>
      </c>
      <c r="G33" s="8">
        <v>43146.0</v>
      </c>
      <c r="H33" s="8">
        <v>43174.0</v>
      </c>
      <c r="I33" s="9" t="s">
        <v>7</v>
      </c>
      <c r="J33" s="8">
        <v>43205.0</v>
      </c>
      <c r="K33" s="8">
        <v>43235.0</v>
      </c>
      <c r="L33" s="8">
        <v>43266.0</v>
      </c>
      <c r="M33" s="9" t="s">
        <v>8</v>
      </c>
      <c r="N33" s="8">
        <v>43296.0</v>
      </c>
      <c r="O33" s="8">
        <v>43327.0</v>
      </c>
      <c r="P33" s="8">
        <v>43358.0</v>
      </c>
      <c r="Q33" s="9" t="s">
        <v>9</v>
      </c>
      <c r="R33" s="8">
        <v>43388.0</v>
      </c>
      <c r="S33" s="8">
        <v>43419.0</v>
      </c>
      <c r="T33" s="8">
        <v>43449.0</v>
      </c>
      <c r="U33" s="9" t="s">
        <v>10</v>
      </c>
      <c r="V33" s="10" t="s">
        <v>11</v>
      </c>
    </row>
    <row r="34" ht="15.75" customHeight="1">
      <c r="A34" s="27" t="s">
        <v>30</v>
      </c>
      <c r="B34" s="12">
        <v>0.0</v>
      </c>
      <c r="C34" s="2"/>
      <c r="D34" s="2"/>
      <c r="E34" s="15">
        <v>43191.0</v>
      </c>
      <c r="F34" s="14">
        <f t="shared" ref="F34:H34" si="65">IF($E34&lt;=F$33, $B34/12, 0)</f>
        <v>0</v>
      </c>
      <c r="G34" s="14">
        <f t="shared" si="65"/>
        <v>0</v>
      </c>
      <c r="H34" s="14">
        <f t="shared" si="65"/>
        <v>0</v>
      </c>
      <c r="I34" s="16">
        <f t="shared" ref="I34:I36" si="70">SUM(F34:H34)</f>
        <v>0</v>
      </c>
      <c r="J34" s="14">
        <f t="shared" ref="J34:L34" si="66">IF($E34&lt;=J$33, $B34/12, 0)</f>
        <v>0</v>
      </c>
      <c r="K34" s="14">
        <f t="shared" si="66"/>
        <v>0</v>
      </c>
      <c r="L34" s="14">
        <f t="shared" si="66"/>
        <v>0</v>
      </c>
      <c r="M34" s="16">
        <f t="shared" ref="M34:M36" si="72">SUM(J34:L34)</f>
        <v>0</v>
      </c>
      <c r="N34" s="14">
        <f t="shared" ref="N34:P34" si="67">IF($E34&lt;=N$33, $B34/12, 0)</f>
        <v>0</v>
      </c>
      <c r="O34" s="14">
        <f t="shared" si="67"/>
        <v>0</v>
      </c>
      <c r="P34" s="14">
        <f t="shared" si="67"/>
        <v>0</v>
      </c>
      <c r="Q34" s="16">
        <f t="shared" ref="Q34:Q36" si="74">SUM(N34:P34)</f>
        <v>0</v>
      </c>
      <c r="R34" s="14">
        <f t="shared" ref="R34:T34" si="68">IF($E34&lt;=R$33, $B34/12, 0)</f>
        <v>0</v>
      </c>
      <c r="S34" s="14">
        <f t="shared" si="68"/>
        <v>0</v>
      </c>
      <c r="T34" s="14">
        <f t="shared" si="68"/>
        <v>0</v>
      </c>
      <c r="U34" s="16">
        <f t="shared" ref="U34:U36" si="76">SUM(R34:T34)</f>
        <v>0</v>
      </c>
      <c r="V34" s="14">
        <f t="shared" ref="V34:V36" si="77">I34+M34+Q34+U34</f>
        <v>0</v>
      </c>
    </row>
    <row r="35" ht="15.75" customHeight="1">
      <c r="A35" s="27" t="s">
        <v>31</v>
      </c>
      <c r="B35" s="12">
        <v>3000.0</v>
      </c>
      <c r="C35" s="2"/>
      <c r="D35" s="2"/>
      <c r="E35" s="18">
        <v>43313.0</v>
      </c>
      <c r="F35" s="14">
        <f t="shared" ref="F35:H35" si="69">IF($E35&lt;=F$33, $B35/12, 0)</f>
        <v>0</v>
      </c>
      <c r="G35" s="14">
        <f t="shared" si="69"/>
        <v>0</v>
      </c>
      <c r="H35" s="14">
        <f t="shared" si="69"/>
        <v>0</v>
      </c>
      <c r="I35" s="16">
        <f t="shared" si="70"/>
        <v>0</v>
      </c>
      <c r="J35" s="14">
        <f t="shared" ref="J35:L35" si="71">IF($E35&lt;=J$33, $B35/12, 0)</f>
        <v>0</v>
      </c>
      <c r="K35" s="14">
        <f t="shared" si="71"/>
        <v>0</v>
      </c>
      <c r="L35" s="14">
        <f t="shared" si="71"/>
        <v>0</v>
      </c>
      <c r="M35" s="16">
        <f t="shared" si="72"/>
        <v>0</v>
      </c>
      <c r="N35" s="14">
        <f t="shared" ref="N35:P35" si="73">IF($E35&lt;=N$33, $B35/12, 0)</f>
        <v>0</v>
      </c>
      <c r="O35" s="14">
        <f t="shared" si="73"/>
        <v>250</v>
      </c>
      <c r="P35" s="14">
        <f t="shared" si="73"/>
        <v>250</v>
      </c>
      <c r="Q35" s="16">
        <f t="shared" si="74"/>
        <v>500</v>
      </c>
      <c r="R35" s="14">
        <f t="shared" ref="R35:T35" si="75">IF($E35&lt;=R$33, $B35/12, 0)</f>
        <v>250</v>
      </c>
      <c r="S35" s="14">
        <f t="shared" si="75"/>
        <v>250</v>
      </c>
      <c r="T35" s="14">
        <f t="shared" si="75"/>
        <v>250</v>
      </c>
      <c r="U35" s="16">
        <f t="shared" si="76"/>
        <v>750</v>
      </c>
      <c r="V35" s="14">
        <f t="shared" si="77"/>
        <v>1250</v>
      </c>
    </row>
    <row r="36" ht="15.75" customHeight="1">
      <c r="A36" s="29" t="s">
        <v>15</v>
      </c>
      <c r="B36" s="14">
        <f>SUM(B34)</f>
        <v>0</v>
      </c>
      <c r="C36" s="2"/>
      <c r="D36" s="2"/>
      <c r="E36" s="2"/>
      <c r="F36" s="14">
        <f t="shared" ref="F36:H36" si="78">SUM(F34)</f>
        <v>0</v>
      </c>
      <c r="G36" s="14">
        <f t="shared" si="78"/>
        <v>0</v>
      </c>
      <c r="H36" s="14">
        <f t="shared" si="78"/>
        <v>0</v>
      </c>
      <c r="I36" s="16">
        <f t="shared" si="70"/>
        <v>0</v>
      </c>
      <c r="J36" s="14">
        <f t="shared" ref="J36:L36" si="79">SUM(J34)</f>
        <v>0</v>
      </c>
      <c r="K36" s="14">
        <f t="shared" si="79"/>
        <v>0</v>
      </c>
      <c r="L36" s="14">
        <f t="shared" si="79"/>
        <v>0</v>
      </c>
      <c r="M36" s="16">
        <f t="shared" si="72"/>
        <v>0</v>
      </c>
      <c r="N36" s="14">
        <f t="shared" ref="N36:P36" si="80">SUM(N34)</f>
        <v>0</v>
      </c>
      <c r="O36" s="14">
        <f t="shared" si="80"/>
        <v>0</v>
      </c>
      <c r="P36" s="14">
        <f t="shared" si="80"/>
        <v>0</v>
      </c>
      <c r="Q36" s="16">
        <f t="shared" si="74"/>
        <v>0</v>
      </c>
      <c r="R36" s="14">
        <f t="shared" ref="R36:T36" si="81">SUM(R34)</f>
        <v>0</v>
      </c>
      <c r="S36" s="14">
        <f t="shared" si="81"/>
        <v>0</v>
      </c>
      <c r="T36" s="14">
        <f t="shared" si="81"/>
        <v>0</v>
      </c>
      <c r="U36" s="16">
        <f t="shared" si="76"/>
        <v>0</v>
      </c>
      <c r="V36" s="14">
        <f t="shared" si="77"/>
        <v>0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8.75" customHeight="1">
      <c r="A38" s="4" t="s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5" t="s">
        <v>2</v>
      </c>
      <c r="B39" s="6" t="s">
        <v>18</v>
      </c>
      <c r="C39" s="28"/>
      <c r="D39" s="28"/>
      <c r="E39" s="7" t="s">
        <v>19</v>
      </c>
      <c r="F39" s="8">
        <v>43115.0</v>
      </c>
      <c r="G39" s="8">
        <v>43146.0</v>
      </c>
      <c r="H39" s="8">
        <v>43174.0</v>
      </c>
      <c r="I39" s="9" t="s">
        <v>7</v>
      </c>
      <c r="J39" s="8">
        <v>43205.0</v>
      </c>
      <c r="K39" s="8">
        <v>43235.0</v>
      </c>
      <c r="L39" s="8">
        <v>43266.0</v>
      </c>
      <c r="M39" s="9" t="s">
        <v>8</v>
      </c>
      <c r="N39" s="8">
        <v>43296.0</v>
      </c>
      <c r="O39" s="8">
        <v>43327.0</v>
      </c>
      <c r="P39" s="8">
        <v>43358.0</v>
      </c>
      <c r="Q39" s="9" t="s">
        <v>9</v>
      </c>
      <c r="R39" s="8">
        <v>43388.0</v>
      </c>
      <c r="S39" s="8">
        <v>43419.0</v>
      </c>
      <c r="T39" s="8">
        <v>43449.0</v>
      </c>
      <c r="U39" s="9" t="s">
        <v>10</v>
      </c>
      <c r="V39" s="10" t="s">
        <v>11</v>
      </c>
    </row>
    <row r="40" ht="15.75" customHeight="1">
      <c r="A40" s="2" t="s">
        <v>33</v>
      </c>
      <c r="B40" s="14">
        <f>B9+B18+B28+B36</f>
        <v>233040.88</v>
      </c>
      <c r="C40" s="2"/>
      <c r="D40" s="2"/>
      <c r="E40" s="2"/>
      <c r="F40" s="14">
        <f t="shared" ref="F40:H40" si="82">F9+F18+F28+F36</f>
        <v>16469.54</v>
      </c>
      <c r="G40" s="14">
        <f t="shared" si="82"/>
        <v>16469.54</v>
      </c>
      <c r="H40" s="14">
        <f t="shared" si="82"/>
        <v>16469.54</v>
      </c>
      <c r="I40" s="16">
        <f>SUM(F40:H40)</f>
        <v>49408.62</v>
      </c>
      <c r="J40" s="14">
        <f t="shared" ref="J40:L40" si="83">J9+J18+J28+J36</f>
        <v>16469.54</v>
      </c>
      <c r="K40" s="14">
        <f t="shared" si="83"/>
        <v>16469.54</v>
      </c>
      <c r="L40" s="14">
        <f t="shared" si="83"/>
        <v>16469.54</v>
      </c>
      <c r="M40" s="16">
        <f>SUM(J40:L40)</f>
        <v>49408.62</v>
      </c>
      <c r="N40" s="14">
        <f t="shared" ref="N40:P40" si="84">N9+N18+N28+N36</f>
        <v>16469.54</v>
      </c>
      <c r="O40" s="14">
        <f t="shared" si="84"/>
        <v>16469.54</v>
      </c>
      <c r="P40" s="14">
        <f t="shared" si="84"/>
        <v>16469.54</v>
      </c>
      <c r="Q40" s="16">
        <f>SUM(N40:P40)</f>
        <v>49408.62</v>
      </c>
      <c r="R40" s="14">
        <f t="shared" ref="R40:T40" si="85">R9+R18+R28+R36</f>
        <v>16469.54</v>
      </c>
      <c r="S40" s="14">
        <f t="shared" si="85"/>
        <v>16469.54</v>
      </c>
      <c r="T40" s="14">
        <f t="shared" si="85"/>
        <v>16469.54</v>
      </c>
      <c r="U40" s="16">
        <f>SUM(R40:T40)</f>
        <v>49408.62</v>
      </c>
      <c r="V40" s="14">
        <f>I40+M40+Q40+U40</f>
        <v>197634.48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21.0" customHeight="1">
      <c r="A43" s="30" t="s">
        <v>34</v>
      </c>
      <c r="B43" s="31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8.75" customHeight="1">
      <c r="A44" s="32" t="s">
        <v>35</v>
      </c>
      <c r="B44" s="33">
        <f>-(V40/12)</f>
        <v>-16469.54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8.75" customHeight="1">
      <c r="A45" s="32" t="s">
        <v>36</v>
      </c>
      <c r="B45" s="33">
        <v>300000.0</v>
      </c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37.5" customHeight="1">
      <c r="A46" s="34" t="s">
        <v>37</v>
      </c>
      <c r="B46" s="35">
        <f>-(B45/B44)</f>
        <v>18.215445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21.0" customHeight="1">
      <c r="A49" s="30" t="s">
        <v>38</v>
      </c>
      <c r="B49" s="3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8.75" customHeight="1">
      <c r="A50" s="32" t="s">
        <v>35</v>
      </c>
      <c r="B50" s="33">
        <f>-(V40/12)</f>
        <v>-16469.54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8.75" customHeight="1">
      <c r="A51" s="32" t="s">
        <v>36</v>
      </c>
      <c r="B51" s="33">
        <v>300000.0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37.5" customHeight="1">
      <c r="A52" s="36" t="s">
        <v>39</v>
      </c>
      <c r="B52" s="33">
        <f>'E-commerce'!M17</f>
        <v>35044.70863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8.75" customHeight="1">
      <c r="A53" s="32" t="s">
        <v>40</v>
      </c>
      <c r="B53" s="33">
        <f>B51+B52</f>
        <v>335044.7086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57.0" customHeight="1">
      <c r="A54" s="34" t="s">
        <v>41</v>
      </c>
      <c r="B54" s="35">
        <f>-(B53/B50)</f>
        <v>20.34329487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44"/>
    <col customWidth="1" min="2" max="2" width="11.44"/>
    <col customWidth="1" min="3" max="3" width="17.78"/>
    <col customWidth="1" min="4" max="4" width="18.44"/>
    <col customWidth="1" min="5" max="5" width="12.11"/>
    <col customWidth="1" min="6" max="6" width="11.44"/>
    <col customWidth="1" min="7" max="7" width="13.11"/>
    <col customWidth="1" min="8" max="9" width="12.11"/>
    <col customWidth="1" min="10" max="10" width="13.0"/>
    <col customWidth="1" min="11" max="12" width="12.33"/>
    <col customWidth="1" min="13" max="13" width="13.67"/>
    <col customWidth="1" min="14" max="26" width="10.56"/>
  </cols>
  <sheetData>
    <row r="1" ht="37.5" customHeight="1">
      <c r="A1" s="37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/>
      <c r="G1" s="2"/>
      <c r="H1" s="2"/>
      <c r="I1" s="2"/>
      <c r="J1" s="2"/>
      <c r="K1" s="2"/>
      <c r="L1" s="2"/>
      <c r="M1" s="2"/>
    </row>
    <row r="2" ht="15.75" customHeight="1">
      <c r="A2" s="38" t="s">
        <v>47</v>
      </c>
      <c r="B2" s="12">
        <v>15.0</v>
      </c>
      <c r="C2" s="39">
        <v>0.7</v>
      </c>
      <c r="D2" s="14">
        <f t="shared" ref="D2:D3" si="1">B2*0</f>
        <v>0</v>
      </c>
      <c r="E2" s="14">
        <f t="shared" ref="E2:E3" si="2">B2*1</f>
        <v>15</v>
      </c>
      <c r="F2" s="2"/>
      <c r="G2" s="2"/>
      <c r="H2" s="2"/>
      <c r="I2" s="2"/>
      <c r="J2" s="2"/>
      <c r="K2" s="2"/>
      <c r="L2" s="2"/>
      <c r="M2" s="2"/>
    </row>
    <row r="3" ht="15.75" customHeight="1">
      <c r="A3" s="2" t="s">
        <v>48</v>
      </c>
      <c r="B3" s="12">
        <v>20.0</v>
      </c>
      <c r="C3" s="39">
        <v>0.3</v>
      </c>
      <c r="D3" s="14">
        <f t="shared" si="1"/>
        <v>0</v>
      </c>
      <c r="E3" s="14">
        <f t="shared" si="2"/>
        <v>20</v>
      </c>
      <c r="F3" s="2"/>
      <c r="G3" s="2"/>
      <c r="H3" s="2"/>
      <c r="I3" s="2"/>
      <c r="J3" s="2"/>
      <c r="K3" s="2"/>
      <c r="L3" s="2"/>
      <c r="M3" s="2"/>
    </row>
    <row r="4" ht="15.75" customHeight="1">
      <c r="A4" s="38" t="s">
        <v>49</v>
      </c>
      <c r="B4" s="12">
        <f>((B2*0.7)+(B3*0.3))</f>
        <v>16.5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5.75" customHeight="1">
      <c r="A5" s="38" t="s">
        <v>50</v>
      </c>
      <c r="B5" s="14">
        <f>SUM(D2:D3)/5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ht="15.75" customHeight="1">
      <c r="A6" s="2"/>
      <c r="B6" s="2"/>
      <c r="C6" s="2"/>
      <c r="D6" s="2"/>
      <c r="E6" s="2"/>
      <c r="F6" s="2"/>
      <c r="G6" s="2"/>
      <c r="H6" s="2"/>
      <c r="I6" s="27" t="s">
        <v>51</v>
      </c>
      <c r="J6" s="2"/>
      <c r="K6" s="2"/>
      <c r="L6" s="2"/>
      <c r="M6" s="2"/>
    </row>
    <row r="7" ht="15.75" customHeight="1">
      <c r="A7" s="40" t="s">
        <v>52</v>
      </c>
      <c r="B7" s="41">
        <v>43115.0</v>
      </c>
      <c r="C7" s="42">
        <v>43146.0</v>
      </c>
      <c r="D7" s="42">
        <v>43174.0</v>
      </c>
      <c r="E7" s="42">
        <v>43205.0</v>
      </c>
      <c r="F7" s="42">
        <v>43235.0</v>
      </c>
      <c r="G7" s="42">
        <v>43266.0</v>
      </c>
      <c r="H7" s="42">
        <v>43296.0</v>
      </c>
      <c r="I7" s="42">
        <v>43327.0</v>
      </c>
      <c r="J7" s="42">
        <v>43358.0</v>
      </c>
      <c r="K7" s="42">
        <v>43388.0</v>
      </c>
      <c r="L7" s="42">
        <v>43419.0</v>
      </c>
      <c r="M7" s="43">
        <v>43449.0</v>
      </c>
    </row>
    <row r="8" ht="15.75" customHeight="1">
      <c r="A8" s="44" t="s">
        <v>53</v>
      </c>
      <c r="B8" s="45">
        <v>300.0</v>
      </c>
      <c r="C8" s="46">
        <f t="shared" ref="C8:H8" si="3">B8+ (B8*C9)</f>
        <v>360</v>
      </c>
      <c r="D8" s="46">
        <f t="shared" si="3"/>
        <v>378</v>
      </c>
      <c r="E8" s="46">
        <f t="shared" si="3"/>
        <v>340.2</v>
      </c>
      <c r="F8" s="46">
        <f t="shared" si="3"/>
        <v>255.15</v>
      </c>
      <c r="G8" s="46">
        <f t="shared" si="3"/>
        <v>153.09</v>
      </c>
      <c r="H8" s="46">
        <f t="shared" si="3"/>
        <v>68.8905</v>
      </c>
      <c r="I8" s="45">
        <v>400.0</v>
      </c>
      <c r="J8" s="46">
        <f t="shared" ref="J8:M8" si="4">I8+ (I8*J9)</f>
        <v>376</v>
      </c>
      <c r="K8" s="46">
        <f t="shared" si="4"/>
        <v>297.04</v>
      </c>
      <c r="L8" s="46">
        <f t="shared" si="4"/>
        <v>190.1056</v>
      </c>
      <c r="M8" s="47">
        <f t="shared" si="4"/>
        <v>93.151744</v>
      </c>
    </row>
    <row r="9" ht="15.75" customHeight="1">
      <c r="A9" s="48" t="s">
        <v>54</v>
      </c>
      <c r="B9" s="49">
        <v>0.0</v>
      </c>
      <c r="C9" s="49">
        <v>0.2</v>
      </c>
      <c r="D9" s="50">
        <f t="shared" ref="D9:H9" si="5">C9-15%</f>
        <v>0.05</v>
      </c>
      <c r="E9" s="50">
        <f t="shared" si="5"/>
        <v>-0.1</v>
      </c>
      <c r="F9" s="50">
        <f t="shared" si="5"/>
        <v>-0.25</v>
      </c>
      <c r="G9" s="50">
        <f t="shared" si="5"/>
        <v>-0.4</v>
      </c>
      <c r="H9" s="50">
        <f t="shared" si="5"/>
        <v>-0.55</v>
      </c>
      <c r="I9" s="50">
        <f>H9+579%</f>
        <v>5.24</v>
      </c>
      <c r="J9" s="50">
        <f>I9-530%</f>
        <v>-0.06</v>
      </c>
      <c r="K9" s="50">
        <f t="shared" ref="K9:M9" si="6">J9-15%</f>
        <v>-0.21</v>
      </c>
      <c r="L9" s="50">
        <f t="shared" si="6"/>
        <v>-0.36</v>
      </c>
      <c r="M9" s="50">
        <f t="shared" si="6"/>
        <v>-0.51</v>
      </c>
    </row>
    <row r="10" ht="15.75" customHeight="1">
      <c r="A10" s="48" t="s">
        <v>55</v>
      </c>
      <c r="B10" s="16">
        <f t="shared" ref="B10:M10" si="7">B8*$B4</f>
        <v>4950</v>
      </c>
      <c r="C10" s="16">
        <f t="shared" si="7"/>
        <v>5940</v>
      </c>
      <c r="D10" s="16">
        <f t="shared" si="7"/>
        <v>6237</v>
      </c>
      <c r="E10" s="16">
        <f t="shared" si="7"/>
        <v>5613.3</v>
      </c>
      <c r="F10" s="16">
        <f t="shared" si="7"/>
        <v>4209.975</v>
      </c>
      <c r="G10" s="16">
        <f t="shared" si="7"/>
        <v>2525.985</v>
      </c>
      <c r="H10" s="16">
        <f t="shared" si="7"/>
        <v>1136.69325</v>
      </c>
      <c r="I10" s="16">
        <f t="shared" si="7"/>
        <v>6600</v>
      </c>
      <c r="J10" s="16">
        <f t="shared" si="7"/>
        <v>6204</v>
      </c>
      <c r="K10" s="16">
        <f t="shared" si="7"/>
        <v>4901.16</v>
      </c>
      <c r="L10" s="16">
        <f t="shared" si="7"/>
        <v>3136.7424</v>
      </c>
      <c r="M10" s="33">
        <f t="shared" si="7"/>
        <v>1537.003776</v>
      </c>
    </row>
    <row r="11" ht="15.75" customHeight="1">
      <c r="A11" s="11" t="s">
        <v>56</v>
      </c>
      <c r="B11" s="14">
        <f>(B10-3000)*0.05</f>
        <v>97.5</v>
      </c>
      <c r="C11" s="14">
        <f t="shared" ref="C11:D11" si="8">(C10)*0.05</f>
        <v>297</v>
      </c>
      <c r="D11" s="14">
        <f t="shared" si="8"/>
        <v>311.85</v>
      </c>
      <c r="E11" s="14">
        <f>(E10-3000)*0.05</f>
        <v>130.665</v>
      </c>
      <c r="F11" s="14">
        <f t="shared" ref="F11:G11" si="9">(F10)*0.05</f>
        <v>210.49875</v>
      </c>
      <c r="G11" s="14">
        <f t="shared" si="9"/>
        <v>126.29925</v>
      </c>
      <c r="H11" s="12">
        <v>0.0</v>
      </c>
      <c r="I11" s="14">
        <f>(I10-(3000-H10))*0.05</f>
        <v>236.8346625</v>
      </c>
      <c r="J11" s="14">
        <f>(J10)*0.05</f>
        <v>310.2</v>
      </c>
      <c r="K11" s="14">
        <f>(K10-3000)*0.05</f>
        <v>95.058</v>
      </c>
      <c r="L11" s="14">
        <f t="shared" ref="L11:M11" si="10">(L10)*0.05</f>
        <v>156.83712</v>
      </c>
      <c r="M11" s="14">
        <f t="shared" si="10"/>
        <v>76.8501888</v>
      </c>
    </row>
    <row r="12" ht="15.75" customHeight="1">
      <c r="A12" s="11" t="s">
        <v>57</v>
      </c>
      <c r="B12" s="14">
        <f t="shared" ref="B12:M12" si="11">B10*30%</f>
        <v>1485</v>
      </c>
      <c r="C12" s="14">
        <f t="shared" si="11"/>
        <v>1782</v>
      </c>
      <c r="D12" s="14">
        <f t="shared" si="11"/>
        <v>1871.1</v>
      </c>
      <c r="E12" s="14">
        <f t="shared" si="11"/>
        <v>1683.99</v>
      </c>
      <c r="F12" s="14">
        <f t="shared" si="11"/>
        <v>1262.9925</v>
      </c>
      <c r="G12" s="14">
        <f t="shared" si="11"/>
        <v>757.7955</v>
      </c>
      <c r="H12" s="14">
        <f t="shared" si="11"/>
        <v>341.007975</v>
      </c>
      <c r="I12" s="14">
        <f t="shared" si="11"/>
        <v>1980</v>
      </c>
      <c r="J12" s="14">
        <f t="shared" si="11"/>
        <v>1861.2</v>
      </c>
      <c r="K12" s="14">
        <f t="shared" si="11"/>
        <v>1470.348</v>
      </c>
      <c r="L12" s="14">
        <f t="shared" si="11"/>
        <v>941.02272</v>
      </c>
      <c r="M12" s="17">
        <f t="shared" si="11"/>
        <v>461.1011328</v>
      </c>
    </row>
    <row r="13" ht="15.75" customHeight="1">
      <c r="A13" s="51" t="s">
        <v>58</v>
      </c>
      <c r="B13" s="13">
        <f t="shared" ref="B13:M13" si="12">B14/B10</f>
        <v>0.6803030303</v>
      </c>
      <c r="C13" s="13">
        <f t="shared" si="12"/>
        <v>0.65</v>
      </c>
      <c r="D13" s="13">
        <f t="shared" si="12"/>
        <v>0.65</v>
      </c>
      <c r="E13" s="13">
        <f t="shared" si="12"/>
        <v>0.6767222489</v>
      </c>
      <c r="F13" s="13">
        <f t="shared" si="12"/>
        <v>0.65</v>
      </c>
      <c r="G13" s="13">
        <f t="shared" si="12"/>
        <v>0.65</v>
      </c>
      <c r="H13" s="13">
        <f t="shared" si="12"/>
        <v>0.7</v>
      </c>
      <c r="I13" s="13">
        <f t="shared" si="12"/>
        <v>0.6641159602</v>
      </c>
      <c r="J13" s="13">
        <f t="shared" si="12"/>
        <v>0.65</v>
      </c>
      <c r="K13" s="13">
        <f t="shared" si="12"/>
        <v>0.6806049996</v>
      </c>
      <c r="L13" s="13">
        <f t="shared" si="12"/>
        <v>0.65</v>
      </c>
      <c r="M13" s="52">
        <f t="shared" si="12"/>
        <v>0.65</v>
      </c>
    </row>
    <row r="14" ht="15.75" customHeight="1">
      <c r="A14" s="48" t="s">
        <v>59</v>
      </c>
      <c r="B14" s="16">
        <f t="shared" ref="B14:M14" si="13">B10-(B12+B11)</f>
        <v>3367.5</v>
      </c>
      <c r="C14" s="16">
        <f t="shared" si="13"/>
        <v>3861</v>
      </c>
      <c r="D14" s="16">
        <f t="shared" si="13"/>
        <v>4054.05</v>
      </c>
      <c r="E14" s="16">
        <f t="shared" si="13"/>
        <v>3798.645</v>
      </c>
      <c r="F14" s="16">
        <f t="shared" si="13"/>
        <v>2736.48375</v>
      </c>
      <c r="G14" s="16">
        <f t="shared" si="13"/>
        <v>1641.89025</v>
      </c>
      <c r="H14" s="16">
        <f t="shared" si="13"/>
        <v>795.685275</v>
      </c>
      <c r="I14" s="16">
        <f t="shared" si="13"/>
        <v>4383.165338</v>
      </c>
      <c r="J14" s="16">
        <f t="shared" si="13"/>
        <v>4032.6</v>
      </c>
      <c r="K14" s="16">
        <f t="shared" si="13"/>
        <v>3335.754</v>
      </c>
      <c r="L14" s="16">
        <f t="shared" si="13"/>
        <v>2038.88256</v>
      </c>
      <c r="M14" s="16">
        <f t="shared" si="13"/>
        <v>999.0524544</v>
      </c>
    </row>
    <row r="15" ht="15.75" customHeight="1">
      <c r="A15" s="51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53"/>
    </row>
    <row r="16" ht="15.75" customHeight="1">
      <c r="A16" s="48" t="s">
        <v>60</v>
      </c>
      <c r="B16" s="16">
        <f t="shared" ref="B16:M16" si="14">SUM($B10:B10)</f>
        <v>4950</v>
      </c>
      <c r="C16" s="16">
        <f t="shared" si="14"/>
        <v>10890</v>
      </c>
      <c r="D16" s="16">
        <f t="shared" si="14"/>
        <v>17127</v>
      </c>
      <c r="E16" s="16">
        <f t="shared" si="14"/>
        <v>22740.3</v>
      </c>
      <c r="F16" s="16">
        <f t="shared" si="14"/>
        <v>26950.275</v>
      </c>
      <c r="G16" s="16">
        <f t="shared" si="14"/>
        <v>29476.26</v>
      </c>
      <c r="H16" s="16">
        <f t="shared" si="14"/>
        <v>30612.95325</v>
      </c>
      <c r="I16" s="16">
        <f t="shared" si="14"/>
        <v>37212.95325</v>
      </c>
      <c r="J16" s="16">
        <f t="shared" si="14"/>
        <v>43416.95325</v>
      </c>
      <c r="K16" s="16">
        <f t="shared" si="14"/>
        <v>48318.11325</v>
      </c>
      <c r="L16" s="16">
        <f t="shared" si="14"/>
        <v>51454.85565</v>
      </c>
      <c r="M16" s="33">
        <f t="shared" si="14"/>
        <v>52991.85943</v>
      </c>
    </row>
    <row r="17" ht="15.75" customHeight="1">
      <c r="A17" s="54" t="s">
        <v>61</v>
      </c>
      <c r="B17" s="55">
        <f t="shared" ref="B17:M17" si="15">SUM($B14:B14)</f>
        <v>3367.5</v>
      </c>
      <c r="C17" s="55">
        <f t="shared" si="15"/>
        <v>7228.5</v>
      </c>
      <c r="D17" s="55">
        <f t="shared" si="15"/>
        <v>11282.55</v>
      </c>
      <c r="E17" s="55">
        <f t="shared" si="15"/>
        <v>15081.195</v>
      </c>
      <c r="F17" s="55">
        <f t="shared" si="15"/>
        <v>17817.67875</v>
      </c>
      <c r="G17" s="55">
        <f t="shared" si="15"/>
        <v>19459.569</v>
      </c>
      <c r="H17" s="55">
        <f t="shared" si="15"/>
        <v>20255.25428</v>
      </c>
      <c r="I17" s="55">
        <f t="shared" si="15"/>
        <v>24638.41961</v>
      </c>
      <c r="J17" s="55">
        <f t="shared" si="15"/>
        <v>28671.01961</v>
      </c>
      <c r="K17" s="55">
        <f t="shared" si="15"/>
        <v>32006.77361</v>
      </c>
      <c r="L17" s="55">
        <f t="shared" si="15"/>
        <v>34045.65617</v>
      </c>
      <c r="M17" s="56">
        <f t="shared" si="15"/>
        <v>35044.70863</v>
      </c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</sheetData>
  <drawing r:id="rId1"/>
</worksheet>
</file>