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th_Asian_dataset.csv" sheetId="1" r:id="rId4"/>
    <sheet state="visible" name="Copy of South_Asian_dataset.csv" sheetId="2" r:id="rId5"/>
    <sheet state="visible" name="South Asian Data Dashboard" sheetId="3" r:id="rId6"/>
    <sheet state="visible" name="Query Practice_Dashboard" sheetId="4" r:id="rId7"/>
    <sheet state="visible" name="Pivot Table 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<sst xmlns="http://schemas.openxmlformats.org/spreadsheetml/2006/main" count="1613" uniqueCount="380">
  <si>
    <t>Country</t>
  </si>
  <si>
    <t>Year</t>
  </si>
  <si>
    <t>GDP (current US$)</t>
  </si>
  <si>
    <t>GDP growth (annual %)</t>
  </si>
  <si>
    <t>GDP per capita (current US$)</t>
  </si>
  <si>
    <t>Unemployment, total (% of total labor force) (modeled ILO estimate)</t>
  </si>
  <si>
    <t>Inflation, consumer prices (annual %)</t>
  </si>
  <si>
    <t>Foreign direct investment, net inflows (% of GDP)</t>
  </si>
  <si>
    <t>Trade (% of GDP)</t>
  </si>
  <si>
    <t>Gini index</t>
  </si>
  <si>
    <t>Population, total</t>
  </si>
  <si>
    <t>Population growth (annual %)</t>
  </si>
  <si>
    <t>Poverty headcount ratio at $2.15 a day (2017 PPP) (% of population)</t>
  </si>
  <si>
    <t>Life expectancy at birth, total (years)</t>
  </si>
  <si>
    <t>Mortality rate, infant (per 1,000 live births)</t>
  </si>
  <si>
    <t>Literacy rate, adult total (% of people ages 15 and above)</t>
  </si>
  <si>
    <t>School enrollment, primary (% gross)</t>
  </si>
  <si>
    <t>Urban population (% of total population)</t>
  </si>
  <si>
    <t>Access to electricity (% of population)</t>
  </si>
  <si>
    <t>People using at least basic drinking water services (% of population)</t>
  </si>
  <si>
    <t>People using at least basic sanitation services (% of population)</t>
  </si>
  <si>
    <t>Carbon dioxide (CO2) emissions excluding LULUCF per capita (t CO2e/capita)</t>
  </si>
  <si>
    <t>PM2.5 air pollution, mean annual exposure (micrograms per cubic meter)</t>
  </si>
  <si>
    <t>Renewable energy consumption (% of total final energy consumption)</t>
  </si>
  <si>
    <t>Forest area (% of land area)</t>
  </si>
  <si>
    <t>Control of Corruption: Percentile Rank</t>
  </si>
  <si>
    <t>Political Stability and Absence of Violence/Terrorism: Estimate</t>
  </si>
  <si>
    <t>Regulatory Quality: Estimate</t>
  </si>
  <si>
    <t>Rule of Law: Estimate</t>
  </si>
  <si>
    <t>Voice and Accountability: Estimate</t>
  </si>
  <si>
    <t>Individuals using the Internet (% of population)</t>
  </si>
  <si>
    <t>Research and development expenditure (% of GDP)</t>
  </si>
  <si>
    <t>High-technology exports (% of manufactured exports)</t>
  </si>
  <si>
    <t>Afghanistan</t>
  </si>
  <si>
    <t>..</t>
  </si>
  <si>
    <t>Bhutan</t>
  </si>
  <si>
    <t>Bangladesh</t>
  </si>
  <si>
    <t>India</t>
  </si>
  <si>
    <t>Maldives</t>
  </si>
  <si>
    <t>Sri Lanka</t>
  </si>
  <si>
    <t>Nepal</t>
  </si>
  <si>
    <t>Pakistan</t>
  </si>
  <si>
    <t>AVERAGE of Population growth (annual %)</t>
  </si>
  <si>
    <t>Grand Total</t>
  </si>
  <si>
    <t>-0.65 Total</t>
  </si>
  <si>
    <t>-0.53 Total</t>
  </si>
  <si>
    <t>0.11 Total</t>
  </si>
  <si>
    <t>0.19 Total</t>
  </si>
  <si>
    <t>0.24 Total</t>
  </si>
  <si>
    <t>0.29 Total</t>
  </si>
  <si>
    <t>0.38 Total</t>
  </si>
  <si>
    <t>0.39 Total</t>
  </si>
  <si>
    <t>0.42 Total</t>
  </si>
  <si>
    <t>0.45 Total</t>
  </si>
  <si>
    <t>0.46 Total</t>
  </si>
  <si>
    <t>0.5 Total</t>
  </si>
  <si>
    <t>0.51 Total</t>
  </si>
  <si>
    <t>0.53 Total</t>
  </si>
  <si>
    <t>0.54 Total</t>
  </si>
  <si>
    <t>0.57 Total</t>
  </si>
  <si>
    <t>0.61 Total</t>
  </si>
  <si>
    <t>0.63 Total</t>
  </si>
  <si>
    <t>0.64 Total</t>
  </si>
  <si>
    <t>0.66 Total</t>
  </si>
  <si>
    <t>0.68 Total</t>
  </si>
  <si>
    <t>0.7 Total</t>
  </si>
  <si>
    <t>0.73 Total</t>
  </si>
  <si>
    <t>0.74 Total</t>
  </si>
  <si>
    <t>0.75 Total</t>
  </si>
  <si>
    <t>0.76 Total</t>
  </si>
  <si>
    <t>0.79 Total</t>
  </si>
  <si>
    <t>0.8 Total</t>
  </si>
  <si>
    <t>0.81 Total</t>
  </si>
  <si>
    <t>0.84 Total</t>
  </si>
  <si>
    <t>0.87 Total</t>
  </si>
  <si>
    <t>0.88 Total</t>
  </si>
  <si>
    <t>0.89 Total</t>
  </si>
  <si>
    <t>0.9 Total</t>
  </si>
  <si>
    <t>0.92 Total</t>
  </si>
  <si>
    <t>0.93 Total</t>
  </si>
  <si>
    <t>0.94 Total</t>
  </si>
  <si>
    <t>0.96 Total</t>
  </si>
  <si>
    <t>0.97 Total</t>
  </si>
  <si>
    <t>1 Total</t>
  </si>
  <si>
    <t>1.02 Total</t>
  </si>
  <si>
    <t>1.03 Total</t>
  </si>
  <si>
    <t>1.04 Total</t>
  </si>
  <si>
    <t>1.05 Total</t>
  </si>
  <si>
    <t>1.07 Total</t>
  </si>
  <si>
    <t>1.08 Total</t>
  </si>
  <si>
    <t>1.09 Total</t>
  </si>
  <si>
    <t>1.1 Total</t>
  </si>
  <si>
    <t>1.11 Total</t>
  </si>
  <si>
    <t>1.12 Total</t>
  </si>
  <si>
    <t>1.14 Total</t>
  </si>
  <si>
    <t>1.15 Total</t>
  </si>
  <si>
    <t>1.16 Total</t>
  </si>
  <si>
    <t>1.18 Total</t>
  </si>
  <si>
    <t>1.19 Total</t>
  </si>
  <si>
    <t>1.2 Total</t>
  </si>
  <si>
    <t>1.21 Total</t>
  </si>
  <si>
    <t>1.22 Total</t>
  </si>
  <si>
    <t>1.23 Total</t>
  </si>
  <si>
    <t>1.24 Total</t>
  </si>
  <si>
    <t>1.25 Total</t>
  </si>
  <si>
    <t>1.27 Total</t>
  </si>
  <si>
    <t>1.3 Total</t>
  </si>
  <si>
    <t>1.33 Total</t>
  </si>
  <si>
    <t>1.36 Total</t>
  </si>
  <si>
    <t>1.38 Total</t>
  </si>
  <si>
    <t>1.39 Total</t>
  </si>
  <si>
    <t>1.41 Total</t>
  </si>
  <si>
    <t>1.42 Total</t>
  </si>
  <si>
    <t>1.44 Total</t>
  </si>
  <si>
    <t>1.47 Total</t>
  </si>
  <si>
    <t>1.49 Total</t>
  </si>
  <si>
    <t>1.5 Total</t>
  </si>
  <si>
    <t>1.52 Total</t>
  </si>
  <si>
    <t>1.54 Total</t>
  </si>
  <si>
    <t>1.57 Total</t>
  </si>
  <si>
    <t>1.6 Total</t>
  </si>
  <si>
    <t>1.61 Total</t>
  </si>
  <si>
    <t>1.64 Total</t>
  </si>
  <si>
    <t>1.66 Total</t>
  </si>
  <si>
    <t>1.67 Total</t>
  </si>
  <si>
    <t>1.68 Total</t>
  </si>
  <si>
    <t>1.69 Total</t>
  </si>
  <si>
    <t>1.71 Total</t>
  </si>
  <si>
    <t>1.72 Total</t>
  </si>
  <si>
    <t>1.73 Total</t>
  </si>
  <si>
    <t>1.75 Total</t>
  </si>
  <si>
    <t>1.77 Total</t>
  </si>
  <si>
    <t>1.78 Total</t>
  </si>
  <si>
    <t>1.79 Total</t>
  </si>
  <si>
    <t>1.8 Total</t>
  </si>
  <si>
    <t>1.81 Total</t>
  </si>
  <si>
    <t>1.82 Total</t>
  </si>
  <si>
    <t>1.83 Total</t>
  </si>
  <si>
    <t>1.86 Total</t>
  </si>
  <si>
    <t>1.89 Total</t>
  </si>
  <si>
    <t>1.9 Total</t>
  </si>
  <si>
    <t>1.91 Total</t>
  </si>
  <si>
    <t>1.95 Total</t>
  </si>
  <si>
    <t>1.96 Total</t>
  </si>
  <si>
    <t>2 Total</t>
  </si>
  <si>
    <t>2.03 Total</t>
  </si>
  <si>
    <t>2.1 Total</t>
  </si>
  <si>
    <t>2.11 Total</t>
  </si>
  <si>
    <t>2.14 Total</t>
  </si>
  <si>
    <t>2.16 Total</t>
  </si>
  <si>
    <t>2.18 Total</t>
  </si>
  <si>
    <t>2.19 Total</t>
  </si>
  <si>
    <t>2.23 Total</t>
  </si>
  <si>
    <t>2.24 Total</t>
  </si>
  <si>
    <t>2.25 Total</t>
  </si>
  <si>
    <t>2.31 Total</t>
  </si>
  <si>
    <t>2.38 Total</t>
  </si>
  <si>
    <t>2.39 Total</t>
  </si>
  <si>
    <t>2.49 Total</t>
  </si>
  <si>
    <t>2.51 Total</t>
  </si>
  <si>
    <t>2.53 Total</t>
  </si>
  <si>
    <t>2.58 Total</t>
  </si>
  <si>
    <t>2.59 Total</t>
  </si>
  <si>
    <t>2.67 Total</t>
  </si>
  <si>
    <t>2.69 Total</t>
  </si>
  <si>
    <t>2.8 Total</t>
  </si>
  <si>
    <t>2.85 Total</t>
  </si>
  <si>
    <t>2.87 Total</t>
  </si>
  <si>
    <t>2.89 Total</t>
  </si>
  <si>
    <t>2.91 Total</t>
  </si>
  <si>
    <t>2.97 Total</t>
  </si>
  <si>
    <t>3.08 Total</t>
  </si>
  <si>
    <t>3.09 Total</t>
  </si>
  <si>
    <t>3.12 Total</t>
  </si>
  <si>
    <t>3.13 Total</t>
  </si>
  <si>
    <t>3.35 Total</t>
  </si>
  <si>
    <t>3.44 Total</t>
  </si>
  <si>
    <t>3.47 Total</t>
  </si>
  <si>
    <t>3.5 Total</t>
  </si>
  <si>
    <t>3.53 Total</t>
  </si>
  <si>
    <t>3.54 Total</t>
  </si>
  <si>
    <t>3.55 Total</t>
  </si>
  <si>
    <t>3.56 Total</t>
  </si>
  <si>
    <t>3.58 Total</t>
  </si>
  <si>
    <t>3.6 Total</t>
  </si>
  <si>
    <t>3.66 Total</t>
  </si>
  <si>
    <t>3.69 Total</t>
  </si>
  <si>
    <t>3.92 Total</t>
  </si>
  <si>
    <t>3.93 Total</t>
  </si>
  <si>
    <t>4.08 Total</t>
  </si>
  <si>
    <t>4.14 Total</t>
  </si>
  <si>
    <t>4.2 Total</t>
  </si>
  <si>
    <t>4.42 Total</t>
  </si>
  <si>
    <t>6.45 Total</t>
  </si>
  <si>
    <t>7.54 Total</t>
  </si>
  <si>
    <t>Values</t>
  </si>
  <si>
    <t>AVERAGE of Life expectancy at birth, total (years)</t>
  </si>
  <si>
    <t>AVERAGE of Mortality rate, infant (per 1,000 live births)</t>
  </si>
  <si>
    <t>55.3 Total</t>
  </si>
  <si>
    <t>55.8 Total</t>
  </si>
  <si>
    <t>56.45 Total</t>
  </si>
  <si>
    <t>57.34 Total</t>
  </si>
  <si>
    <t>57.94 Total</t>
  </si>
  <si>
    <t>58.36 Total</t>
  </si>
  <si>
    <t>58.68 Total</t>
  </si>
  <si>
    <t>59.11 Total</t>
  </si>
  <si>
    <t>59.85 Total</t>
  </si>
  <si>
    <t>60.36 Total</t>
  </si>
  <si>
    <t>60.85 Total</t>
  </si>
  <si>
    <t>61.42 Total</t>
  </si>
  <si>
    <t>61.92 Total</t>
  </si>
  <si>
    <t>61.98 Total</t>
  </si>
  <si>
    <t>62.01 Total</t>
  </si>
  <si>
    <t>62.1 Total</t>
  </si>
  <si>
    <t>62.42 Total</t>
  </si>
  <si>
    <t>62.47 Total</t>
  </si>
  <si>
    <t>62.55 Total</t>
  </si>
  <si>
    <t>62.58 Total</t>
  </si>
  <si>
    <t>62.61 Total</t>
  </si>
  <si>
    <t>62.63 Total</t>
  </si>
  <si>
    <t>62.66 Total</t>
  </si>
  <si>
    <t>62.67 Total</t>
  </si>
  <si>
    <t>62.84 Total</t>
  </si>
  <si>
    <t>62.88 Total</t>
  </si>
  <si>
    <t>63.02 Total</t>
  </si>
  <si>
    <t>63.05 Total</t>
  </si>
  <si>
    <t>63.08 Total</t>
  </si>
  <si>
    <t>63.09 Total</t>
  </si>
  <si>
    <t>63.14 Total</t>
  </si>
  <si>
    <t>63.26 Total</t>
  </si>
  <si>
    <t>63.34 Total</t>
  </si>
  <si>
    <t>63.44 Total</t>
  </si>
  <si>
    <t>63.57 Total</t>
  </si>
  <si>
    <t>63.62 Total</t>
  </si>
  <si>
    <t>63.73 Total</t>
  </si>
  <si>
    <t>63.85 Total</t>
  </si>
  <si>
    <t>64.04 Total</t>
  </si>
  <si>
    <t>64.08 Total</t>
  </si>
  <si>
    <t>64.09 Total</t>
  </si>
  <si>
    <t>64.14 Total</t>
  </si>
  <si>
    <t>64.2 Total</t>
  </si>
  <si>
    <t>64.44 Total</t>
  </si>
  <si>
    <t>64.52 Total</t>
  </si>
  <si>
    <t>64.65 Total</t>
  </si>
  <si>
    <t>64.7 Total</t>
  </si>
  <si>
    <t>64.78 Total</t>
  </si>
  <si>
    <t>64.82 Total</t>
  </si>
  <si>
    <t>65 Total</t>
  </si>
  <si>
    <t>65.15 Total</t>
  </si>
  <si>
    <t>65.27 Total</t>
  </si>
  <si>
    <t>65.28 Total</t>
  </si>
  <si>
    <t>65.41 Total</t>
  </si>
  <si>
    <t>65.46 Total</t>
  </si>
  <si>
    <t>65.53 Total</t>
  </si>
  <si>
    <t>65.7 Total</t>
  </si>
  <si>
    <t>65.78 Total</t>
  </si>
  <si>
    <t>65.79 Total</t>
  </si>
  <si>
    <t>65.81 Total</t>
  </si>
  <si>
    <t>65.87 Total</t>
  </si>
  <si>
    <t>65.88 Total</t>
  </si>
  <si>
    <t>66.1 Total</t>
  </si>
  <si>
    <t>66.14 Total</t>
  </si>
  <si>
    <t>66.15 Total</t>
  </si>
  <si>
    <t>66.27 Total</t>
  </si>
  <si>
    <t>66.3 Total</t>
  </si>
  <si>
    <t>66.33 Total</t>
  </si>
  <si>
    <t>66.36 Total</t>
  </si>
  <si>
    <t>66.42 Total</t>
  </si>
  <si>
    <t>66.43 Total</t>
  </si>
  <si>
    <t>66.48 Total</t>
  </si>
  <si>
    <t>66.51 Total</t>
  </si>
  <si>
    <t>66.61 Total</t>
  </si>
  <si>
    <t>66.71 Total</t>
  </si>
  <si>
    <t>66.76 Total</t>
  </si>
  <si>
    <t>66.81 Total</t>
  </si>
  <si>
    <t>66.82 Total</t>
  </si>
  <si>
    <t>66.91 Total</t>
  </si>
  <si>
    <t>66.95 Total</t>
  </si>
  <si>
    <t>67.05 Total</t>
  </si>
  <si>
    <t>67.09 Total</t>
  </si>
  <si>
    <t>67.19 Total</t>
  </si>
  <si>
    <t>67.24 Total</t>
  </si>
  <si>
    <t>67.3 Total</t>
  </si>
  <si>
    <t>67.31 Total</t>
  </si>
  <si>
    <t>67.36 Total</t>
  </si>
  <si>
    <t>67.4 Total</t>
  </si>
  <si>
    <t>67.46 Total</t>
  </si>
  <si>
    <t>67.47 Total</t>
  </si>
  <si>
    <t>67.5 Total</t>
  </si>
  <si>
    <t>67.62 Total</t>
  </si>
  <si>
    <t>67.74 Total</t>
  </si>
  <si>
    <t>67.89 Total</t>
  </si>
  <si>
    <t>67.9 Total</t>
  </si>
  <si>
    <t>67.97 Total</t>
  </si>
  <si>
    <t>68.09 Total</t>
  </si>
  <si>
    <t>68.43 Total</t>
  </si>
  <si>
    <t>68.45 Total</t>
  </si>
  <si>
    <t>68.46 Total</t>
  </si>
  <si>
    <t>68.64 Total</t>
  </si>
  <si>
    <t>68.78 Total</t>
  </si>
  <si>
    <t>68.81 Total</t>
  </si>
  <si>
    <t>68.88 Total</t>
  </si>
  <si>
    <t>68.91 Total</t>
  </si>
  <si>
    <t>68.98 Total</t>
  </si>
  <si>
    <t>69.07 Total</t>
  </si>
  <si>
    <t>69.19 Total</t>
  </si>
  <si>
    <t>69.25 Total</t>
  </si>
  <si>
    <t>69.33 Total</t>
  </si>
  <si>
    <t>69.55 Total</t>
  </si>
  <si>
    <t>69.56 Total</t>
  </si>
  <si>
    <t>69.57 Total</t>
  </si>
  <si>
    <t>69.64 Total</t>
  </si>
  <si>
    <t>69.71 Total</t>
  </si>
  <si>
    <t>69.99 Total</t>
  </si>
  <si>
    <t>70.05 Total</t>
  </si>
  <si>
    <t>70.12 Total</t>
  </si>
  <si>
    <t>70.15 Total</t>
  </si>
  <si>
    <t>70.34 Total</t>
  </si>
  <si>
    <t>70.36 Total</t>
  </si>
  <si>
    <t>70.47 Total</t>
  </si>
  <si>
    <t>70.48 Total</t>
  </si>
  <si>
    <t>70.49 Total</t>
  </si>
  <si>
    <t>70.6 Total</t>
  </si>
  <si>
    <t>70.71 Total</t>
  </si>
  <si>
    <t>70.79 Total</t>
  </si>
  <si>
    <t>70.85 Total</t>
  </si>
  <si>
    <t>70.88 Total</t>
  </si>
  <si>
    <t>70.91 Total</t>
  </si>
  <si>
    <t>71.09 Total</t>
  </si>
  <si>
    <t>71.12 Total</t>
  </si>
  <si>
    <t>71.13 Total</t>
  </si>
  <si>
    <t>71.37 Total</t>
  </si>
  <si>
    <t>71.39 Total</t>
  </si>
  <si>
    <t>71.61 Total</t>
  </si>
  <si>
    <t>71.73 Total</t>
  </si>
  <si>
    <t>71.79 Total</t>
  </si>
  <si>
    <t>71.82 Total</t>
  </si>
  <si>
    <t>71.97 Total</t>
  </si>
  <si>
    <t>72.05 Total</t>
  </si>
  <si>
    <t>72.12 Total</t>
  </si>
  <si>
    <t>72.18 Total</t>
  </si>
  <si>
    <t>72.23 Total</t>
  </si>
  <si>
    <t>72.38 Total</t>
  </si>
  <si>
    <t>72.57 Total</t>
  </si>
  <si>
    <t>72.81 Total</t>
  </si>
  <si>
    <t>73.22 Total</t>
  </si>
  <si>
    <t>73.29 Total</t>
  </si>
  <si>
    <t>73.38 Total</t>
  </si>
  <si>
    <t>73.54 Total</t>
  </si>
  <si>
    <t>73.7 Total</t>
  </si>
  <si>
    <t>73.91 Total</t>
  </si>
  <si>
    <t>74.06 Total</t>
  </si>
  <si>
    <t>74.24 Total</t>
  </si>
  <si>
    <t>74.65 Total</t>
  </si>
  <si>
    <t>74.75 Total</t>
  </si>
  <si>
    <t>74.93 Total</t>
  </si>
  <si>
    <t>75.13 Total</t>
  </si>
  <si>
    <t>75.33 Total</t>
  </si>
  <si>
    <t>75.4 Total</t>
  </si>
  <si>
    <t>75.69 Total</t>
  </si>
  <si>
    <t>75.75 Total</t>
  </si>
  <si>
    <t>76.01 Total</t>
  </si>
  <si>
    <t>76.39 Total</t>
  </si>
  <si>
    <t>76.4 Total</t>
  </si>
  <si>
    <t>76.54 Total</t>
  </si>
  <si>
    <t>76.61 Total</t>
  </si>
  <si>
    <t>77.07 Total</t>
  </si>
  <si>
    <t>77.66 Total</t>
  </si>
  <si>
    <t>78.12 Total</t>
  </si>
  <si>
    <t>78.68 Total</t>
  </si>
  <si>
    <t>79.06 Total</t>
  </si>
  <si>
    <t>79.42 Total</t>
  </si>
  <si>
    <t>79.7 Total</t>
  </si>
  <si>
    <t>79.87 Total</t>
  </si>
  <si>
    <t>79.88 Total</t>
  </si>
  <si>
    <t>79.92 Total</t>
  </si>
  <si>
    <t>79.94 Total</t>
  </si>
  <si>
    <t>80.01 Total</t>
  </si>
  <si>
    <t>80.12 Total</t>
  </si>
  <si>
    <t>80.84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</si>
</sst>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color rgb="FFFFFFFF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999999"/>
        <bgColor rgb="FF999999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0" fillId="2" fontId="5" numFmtId="0" xfId="0" applyFill="1" applyFont="1"/>
    <xf borderId="0" fillId="3" fontId="6" numFmtId="0" xfId="0" applyAlignment="1" applyFill="1" applyFont="1">
      <alignment horizontal="center"/>
    </xf>
    <xf borderId="0" fillId="4" fontId="7" numFmtId="0" xfId="0" applyAlignment="1" applyFill="1" applyFont="1">
      <alignment horizontal="center"/>
    </xf>
    <xf borderId="0" fillId="3" fontId="6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3" fontId="4" numFmtId="0" xfId="0" applyFont="1"/>
    <xf borderId="0" fillId="0" fontId="7" numFmtId="0" xfId="0" applyAlignment="1" applyFont="1">
      <alignment horizontal="center"/>
    </xf>
    <xf borderId="0" fillId="0" fontId="7" numFmtId="1" xfId="0" applyAlignment="1" applyFont="1" applyNumberFormat="1">
      <alignment horizontal="center"/>
    </xf>
    <xf borderId="0" fillId="4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4" xfId="0" applyAlignment="1" applyFont="1" applyNumberFormat="1">
      <alignment horizontal="center"/>
    </xf>
    <xf borderId="0" fillId="4" fontId="7" numFmtId="0" xfId="0" applyAlignment="1" applyFont="1">
      <alignment horizontal="center"/>
    </xf>
    <xf borderId="0" fillId="4" fontId="7" numFmtId="1" xfId="0" applyAlignment="1" applyFont="1" applyNumberFormat="1">
      <alignment horizontal="center"/>
    </xf>
    <xf borderId="0" fillId="4" fontId="4" numFmtId="4" xfId="0" applyAlignment="1" applyFont="1" applyNumberFormat="1">
      <alignment horizontal="center"/>
    </xf>
    <xf borderId="0" fillId="4" fontId="4" numFmtId="0" xfId="0" applyFont="1"/>
    <xf borderId="0" fillId="5" fontId="8" numFmtId="0" xfId="0" applyFill="1" applyFont="1"/>
    <xf borderId="0" fillId="5" fontId="8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0" fontId="4" numFmtId="0" xfId="0" applyFont="1"/>
    <xf borderId="0" fillId="4" fontId="4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193" sheet="Copy of South_Asian_dataset.csv"/>
  </cacheSource>
  <cacheFields>
    <cacheField name="Country" numFmtId="0">
      <sharedItems>
        <s v="Afghanistan"/>
        <s v="Bhutan"/>
        <s v="Bangladesh"/>
        <s v="India"/>
        <s v="Maldives"/>
        <s v="Sri Lanka"/>
        <s v="Nepal"/>
        <s v="Pakistan"/>
      </sharedItems>
    </cacheField>
    <cacheField name="Year" numFmtId="0">
      <sharedItems containsSemiMixedTypes="0" containsString="0" containsNumber="1" containsInteger="1"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GDP (current US$)" numFmtId="0">
      <sharedItems containsSemiMixedTypes="0" containsString="0" containsNumber="1">
        <n v="2.90969535102E11"/>
        <n v="2.813571754E9"/>
        <n v="3.825701439E9"/>
        <n v="4.520946819E9"/>
        <n v="5.224896719E9"/>
        <n v="6.203256539E9"/>
        <n v="6.971758282E9"/>
        <n v="9.747886187E9"/>
        <n v="1.0109297048E10"/>
        <n v="1.2416152732E10"/>
        <n v="1.5856668556E10"/>
        <n v="1.7805098206E10"/>
        <n v="1.9907329778E10"/>
        <n v="2.0146416758E10"/>
        <n v="2.0497128556E10"/>
        <n v="1.9134221645E10"/>
        <n v="1.8116572395E10"/>
        <n v="1.8753456498E10"/>
        <n v="1.8053222687E10"/>
        <n v="1.879944449E10"/>
        <n v="1.9955929052E10"/>
        <n v="1.426649943E10"/>
        <n v="1.4502158192E10"/>
        <n v="4.607334184E8"/>
        <n v="4.961102257E8"/>
        <n v="5.593452637E8"/>
        <n v="6.519354303E8"/>
        <n v="7.353484904E8"/>
        <n v="8.603910002E8"/>
        <n v="9.428798785E8"/>
        <n v="1.255767964E9"/>
        <n v="1.317517835E9"/>
        <n v="1.331343798E9"/>
        <n v="1.673464261E9"/>
        <n v="1.938441289E9"/>
        <n v="1.939730676E9"/>
        <n v="1.913162477E9"/>
        <n v="2.057330873E9"/>
        <n v="2.154921011E9"/>
        <n v="2.322730512E9"/>
        <n v="2.591358115E9"/>
        <n v="2.583335723E9"/>
        <n v="2.735683409E9"/>
        <n v="2.457604042E9"/>
        <n v="2.768802803E9"/>
        <n v="2.898227713E9"/>
        <n v="5.3369787319E10"/>
        <n v="5.3991289844E10"/>
        <n v="5.4724081491E10"/>
        <n v="6.0158929188E10"/>
        <n v="6.510854425E10"/>
        <n v="6.947600143E10"/>
        <n v="7.1795735672E10"/>
        <n v="7.9611644984E10"/>
        <n v="9.1636997445E10"/>
        <n v="1.02E11"/>
        <n v="1.15E11"/>
        <n v="1.29E11"/>
        <n v="1.33E11"/>
        <n v="1.5E11"/>
        <n v="1.73E11"/>
        <n v="1.95E11"/>
        <n v="2.65E11"/>
        <n v="2.94E11"/>
        <n v="3.21E11"/>
        <n v="3.51E11"/>
        <n v="3.74E11"/>
        <n v="4.16E11"/>
        <n v="4.6E11"/>
        <n v="4.37E11"/>
        <n v="4.68E11"/>
        <n v="4.85E11"/>
        <n v="5.15E11"/>
        <n v="6.08E11"/>
        <n v="7.09E11"/>
        <n v="8.2E11"/>
        <n v="9.4E11"/>
        <n v="1.22E12"/>
        <n v="1.2E12"/>
        <n v="1.34E12"/>
        <n v="1.68E12"/>
        <n v="1.82E12"/>
        <n v="1.83E12"/>
        <n v="1.86E12"/>
        <n v="2.04E12"/>
        <n v="2.1E12"/>
        <n v="2.29E12"/>
        <n v="2.65E12"/>
        <n v="2.7E12"/>
        <n v="2.84E12"/>
        <n v="2.67E12"/>
        <n v="3.17E12"/>
        <n v="3.35E12"/>
        <n v="3.55E12"/>
        <n v="6.243371453E8"/>
        <n v="8.700316768E8"/>
        <n v="8.9703125E8"/>
        <n v="1.052121055E9"/>
        <n v="1.226829563E9"/>
        <n v="1.163362438E9"/>
        <n v="1.575200391E9"/>
        <n v="1.868383461E9"/>
        <n v="2.271646188E9"/>
        <n v="2.345294875E9"/>
        <n v="2.588176055E9"/>
        <n v="2.77435024E9"/>
        <n v="2.886163997E9"/>
        <n v="3.295009238E9"/>
        <n v="3.697353039E9"/>
        <n v="4.129505319E9"/>
        <n v="4.409942624E9"/>
        <n v="4.816426257E9"/>
        <n v="5.404344163E9"/>
        <n v="5.726094799E9"/>
        <n v="3.712604583E9"/>
        <n v="5.254366312E9"/>
        <n v="6.170638746E9"/>
        <n v="6.6E9"/>
        <n v="1.633081418E10"/>
        <n v="1.5749753805E10"/>
        <n v="1.6536535647E10"/>
        <n v="1.8881765437E10"/>
        <n v="2.0662525941E10"/>
        <n v="2.4405791045E10"/>
        <n v="2.8279802406E10"/>
        <n v="3.235023876E10"/>
        <n v="4.0713826215E10"/>
        <n v="4.2066224093E10"/>
        <n v="5.8636161082E10"/>
        <n v="6.7753284044E10"/>
        <n v="7.0447216891E10"/>
        <n v="7.7000578167E10"/>
        <n v="8.2528535714E10"/>
        <n v="8.5140955389E10"/>
        <n v="8.8012282206E10"/>
        <n v="9.4376237797E10"/>
        <n v="9.4493871201E10"/>
        <n v="8.9014978344E10"/>
        <n v="8.4304298771E10"/>
        <n v="8.8609332762E10"/>
        <n v="7.4144875098E10"/>
        <n v="8.4356860421E10"/>
        <n v="5.494252208E9"/>
        <n v="6.007055042E9"/>
        <n v="6.050875807E9"/>
        <n v="6.330473097E9"/>
        <n v="7.273938315E9"/>
        <n v="8.130258378E9"/>
        <n v="9.043715356E9"/>
        <n v="1.0325618017E10"/>
        <n v="1.2545438605E10"/>
        <n v="1.2854985464E10"/>
        <n v="1.6002656434E10"/>
        <n v="2.1573872421E10"/>
        <n v="2.1703100877E10"/>
        <n v="2.2162204925E10"/>
        <n v="2.2731612922E10"/>
        <n v="2.4360801287E10"/>
        <n v="2.4524109484E10"/>
        <n v="2.897158894E10"/>
        <n v="3.3111525237E10"/>
        <n v="3.4186180699E10"/>
        <n v="3.3433659301E10"/>
        <n v="3.6924841394E10"/>
        <n v="4.1182939601E10"/>
        <n v="4.0908073367E10"/>
        <n v="9.9484802345E10"/>
        <n v="9.714561848E10"/>
        <n v="9.7923302809E10"/>
        <n v="1.12E11"/>
        <n v="1.32E11"/>
        <n v="1.45E11"/>
        <n v="1.62E11"/>
        <n v="1.84E11"/>
        <n v="2.02E11"/>
        <n v="1.87E11"/>
        <n v="1.97E11"/>
        <n v="2.31E11"/>
        <n v="2.5E11"/>
        <n v="2.59E11"/>
        <n v="2.71E11"/>
        <n v="3.0E11"/>
        <n v="3.14E11"/>
        <n v="3.39E11"/>
        <n v="3.56E11"/>
        <n v="3.49E11"/>
        <n v="3.75E11"/>
        <n v="3.38E11"/>
      </sharedItems>
    </cacheField>
    <cacheField name="GDP growth (annual %)" numFmtId="0">
      <sharedItems containsSemiMixedTypes="0" containsString="0" containsNumber="1">
        <n v="5.07"/>
        <n v="-9.43"/>
        <n v="28.6"/>
        <n v="8.83"/>
        <n v="1.41"/>
        <n v="11.23"/>
        <n v="5.36"/>
        <n v="13.83"/>
        <n v="3.92"/>
        <n v="21.39"/>
        <n v="14.36"/>
        <n v="0.43"/>
        <n v="12.75"/>
        <n v="5.6"/>
        <n v="2.72"/>
        <n v="1.45"/>
        <n v="2.26"/>
        <n v="2.65"/>
        <n v="1.19"/>
        <n v="3.91"/>
        <n v="-2.35"/>
        <n v="-20.74"/>
        <n v="-6.24"/>
        <n v="3.36"/>
        <n v="7.33"/>
        <n v="10.44"/>
        <n v="7.79"/>
        <n v="5.16"/>
        <n v="6.94"/>
        <n v="5.64"/>
        <n v="16.1"/>
        <n v="4.53"/>
        <n v="7.67"/>
        <n v="11.93"/>
        <n v="8.31"/>
        <n v="5.1"/>
        <n v="1.66"/>
        <n v="5.72"/>
        <n v="6.57"/>
        <n v="8.4"/>
        <n v="3.51"/>
        <n v="3.5"/>
        <n v="5.76"/>
        <n v="-10.22"/>
        <n v="4.42"/>
        <n v="5.21"/>
        <n v="5.29"/>
        <n v="5.08"/>
        <n v="3.83"/>
        <n v="4.74"/>
        <n v="5.24"/>
        <n v="6.54"/>
        <n v="6.67"/>
        <n v="7.06"/>
        <n v="6.01"/>
        <n v="5.05"/>
        <n v="5.57"/>
        <n v="6.46"/>
        <n v="6.52"/>
        <n v="6.06"/>
        <n v="6.55"/>
        <n v="7.11"/>
        <n v="6.59"/>
        <n v="7.32"/>
        <n v="7.88"/>
        <n v="3.45"/>
        <n v="7.1"/>
        <n v="5.78"/>
        <n v="3.84"/>
        <n v="4.82"/>
        <n v="3.8"/>
        <n v="7.86"/>
        <n v="7.92"/>
        <n v="8.06"/>
        <n v="7.66"/>
        <n v="3.09"/>
        <n v="8.5"/>
        <n v="5.46"/>
        <n v="6.39"/>
        <n v="7.41"/>
        <n v="8.0"/>
        <n v="8.26"/>
        <n v="6.8"/>
        <n v="6.45"/>
        <n v="3.87"/>
        <n v="-5.78"/>
        <n v="9.69"/>
        <n v="6.99"/>
        <n v="7.58"/>
        <n v="3.85"/>
        <n v="-3.94"/>
        <n v="7.27"/>
        <n v="13.75"/>
        <n v="5.82"/>
        <n v="-11.22"/>
        <n v="23.61"/>
        <n v="7.12"/>
        <n v="8.98"/>
        <n v="-8.16"/>
        <n v="6.84"/>
        <n v="8.57"/>
        <n v="2.36"/>
        <n v="6.96"/>
        <n v="7.8"/>
        <n v="3.97"/>
        <n v="7.05"/>
        <n v="8.67"/>
        <n v="7.3"/>
        <n v="-32.91"/>
        <n v="37.69"/>
        <n v="13.91"/>
        <n v="6.0"/>
        <n v="-1.55"/>
        <n v="3.96"/>
        <n v="5.94"/>
        <n v="5.45"/>
        <n v="6.24"/>
        <n v="5.95"/>
        <n v="3.54"/>
        <n v="8.02"/>
        <n v="8.63"/>
        <n v="4.05"/>
        <n v="6.38"/>
        <n v="4.21"/>
        <n v="2.31"/>
        <n v="-0.22"/>
        <n v="-4.62"/>
        <n v="-7.35"/>
        <n v="-2.3"/>
        <n v="6.2"/>
        <n v="4.8"/>
        <n v="0.12"/>
        <n v="3.95"/>
        <n v="4.68"/>
        <n v="3.48"/>
        <n v="3.41"/>
        <n v="6.1"/>
        <n v="3.42"/>
        <n v="4.67"/>
        <n v="3.53"/>
        <n v="3.98"/>
        <n v="7.62"/>
        <n v="6.66"/>
        <n v="-2.37"/>
        <n v="4.84"/>
        <n v="5.63"/>
        <n v="1.95"/>
        <n v="4.26"/>
        <n v="3.65"/>
        <n v="2.59"/>
        <n v="5.4"/>
        <n v="7.83"/>
        <n v="7.28"/>
        <n v="6.05"/>
        <n v="4.44"/>
        <n v="2.12"/>
        <n v="3.47"/>
        <n v="1.5"/>
        <n v="2.68"/>
        <n v="3.03"/>
        <n v="4.37"/>
        <n v="4.12"/>
        <n v="4.22"/>
        <n v="4.43"/>
        <n v="6.15"/>
        <n v="2.5"/>
        <n v="-1.27"/>
        <n v="6.51"/>
        <n v="4.77"/>
        <n v="5.091675392670157"/>
      </sharedItems>
    </cacheField>
    <cacheField name="GDP per capita (current US$)" numFmtId="0">
      <sharedItems containsSemiMixedTypes="0" containsString="0" containsNumber="1">
        <n v="180.19"/>
        <n v="142.9"/>
        <n v="182.17"/>
        <n v="199.64"/>
        <n v="221.83"/>
        <n v="254.12"/>
        <n v="274.02"/>
        <n v="376.32"/>
        <n v="382.53"/>
        <n v="453.39"/>
        <n v="562.5"/>
        <n v="608.74"/>
        <n v="653.42"/>
        <n v="638.73"/>
        <n v="626.51"/>
        <n v="566.88"/>
        <n v="523.05"/>
        <n v="526.14"/>
        <n v="492.09"/>
        <n v="497.74"/>
        <n v="512.06"/>
        <n v="355.78"/>
        <n v="352.6"/>
        <n v="2161.42"/>
        <n v="784.62"/>
        <n v="822.42"/>
        <n v="903.56"/>
        <n v="1027.27"/>
        <n v="1131.32"/>
        <n v="1297.09"/>
        <n v="1400.47"/>
        <n v="1842.34"/>
        <n v="1910.17"/>
        <n v="1908.25"/>
        <n v="2371.97"/>
        <n v="2717.45"/>
        <n v="2689.79"/>
        <n v="2624.77"/>
        <n v="2793.93"/>
        <n v="2899.23"/>
        <n v="3097.96"/>
        <n v="3427.17"/>
        <n v="3389.78"/>
        <n v="3564.6"/>
        <n v="3181.34"/>
        <n v="3561.23"/>
        <n v="3704.02"/>
        <n v="413.1"/>
        <n v="410.05"/>
        <n v="407.96"/>
        <n v="440.71"/>
        <n v="469.12"/>
        <n v="493.04"/>
        <n v="503.37"/>
        <n v="552.34"/>
        <n v="630.15"/>
        <n v="698.5"/>
        <n v="776.84"/>
        <n v="856.18"/>
        <n v="876.52"/>
        <n v="973.83"/>
        <n v="1108.52"/>
        <n v="1236.44"/>
        <n v="1659.89"/>
        <n v="1815.47"/>
        <n v="1963.31"/>
        <n v="2122.04"/>
        <n v="2233.77"/>
        <n v="2457.96"/>
        <n v="2687.9"/>
        <n v="2529.08"/>
        <n v="442.04"/>
        <n v="449.91"/>
        <n v="468.85"/>
        <n v="543.85"/>
        <n v="624.11"/>
        <n v="710.51"/>
        <n v="802.01"/>
        <n v="1022.73"/>
        <n v="993.5"/>
        <n v="1096.64"/>
        <n v="1350.63"/>
        <n v="1449.6"/>
        <n v="1434.02"/>
        <n v="1438.06"/>
        <n v="1559.86"/>
        <n v="1590.17"/>
        <n v="1714.28"/>
        <n v="1957.97"/>
        <n v="1974.38"/>
        <n v="2050.16"/>
        <n v="1915.55"/>
        <n v="2250.18"/>
        <n v="2366.31"/>
        <n v="2484.85"/>
        <n v="2209.99"/>
        <n v="3028.05"/>
        <n v="3069.04"/>
        <n v="3539.8"/>
        <n v="4060.53"/>
        <n v="3789.23"/>
        <n v="5010.16"/>
        <n v="5746.64"/>
        <n v="6743.13"/>
        <n v="6719.33"/>
        <n v="7158.06"/>
        <n v="7409.33"/>
        <n v="7447.42"/>
        <n v="8222.56"/>
        <n v="8872.13"/>
        <n v="9480.43"/>
        <n v="9708.14"/>
        <n v="10194.75"/>
        <n v="11034.72"/>
        <n v="11349.86"/>
        <n v="7216.82"/>
        <n v="10076.32"/>
        <n v="11780.82"/>
        <n v="12667.44"/>
        <n v="869.75"/>
        <n v="832.43"/>
        <n v="865.3"/>
        <n v="978.17"/>
        <n v="1060.14"/>
        <n v="1240.52"/>
        <n v="1423.19"/>
        <n v="1611.18"/>
        <n v="2007.03"/>
        <n v="2053.77"/>
        <n v="2836.97"/>
        <n v="3248.04"/>
        <n v="3351.89"/>
        <n v="3643.83"/>
        <n v="3885.62"/>
        <n v="3990.35"/>
        <n v="4107.83"/>
        <n v="4388.2"/>
        <n v="4360.58"/>
        <n v="4082.69"/>
        <n v="3846.17"/>
        <n v="3999.34"/>
        <n v="3342.72"/>
        <n v="3827.96"/>
        <n v="223.71"/>
        <n v="240.71"/>
        <n v="238.86"/>
        <n v="246.49"/>
        <n v="279.72"/>
        <n v="309.31"/>
        <n v="341.03"/>
        <n v="386.53"/>
        <n v="466.69"/>
        <n v="475.64"/>
        <n v="589.17"/>
        <n v="791.23"/>
        <n v="794.09"/>
        <n v="809.38"/>
        <n v="827.74"/>
        <n v="882.31"/>
        <n v="880.22"/>
        <n v="1027.97"/>
        <n v="1161.53"/>
        <n v="1185.68"/>
        <n v="1139.19"/>
        <n v="1229.39"/>
        <n v="1348.16"/>
        <n v="1324.03"/>
        <n v="644.46"/>
        <n v="610.14"/>
        <n v="599.79"/>
        <n v="673.38"/>
        <n v="774.79"/>
        <n v="832.75"/>
        <n v="909.03"/>
        <n v="1012.18"/>
        <n v="1087.51"/>
        <n v="985.35"/>
        <n v="1011.6"/>
        <n v="1161.04"/>
        <n v="1236.89"/>
        <n v="1259.67"/>
        <n v="1303.19"/>
        <n v="1421.84"/>
        <n v="1468.82"/>
        <n v="1567.64"/>
        <n v="1620.74"/>
        <n v="1437.17"/>
        <n v="1322.31"/>
        <n v="1506.11"/>
        <n v="1589.26"/>
        <n v="1407.02"/>
      </sharedItems>
    </cacheField>
    <cacheField name="Unemployment, total (% of total labor force) (modeled ILO estimate)" numFmtId="0">
      <sharedItems containsSemiMixedTypes="0" containsString="0" containsNumber="1">
        <n v="7.96"/>
        <n v="7.94"/>
        <n v="7.92"/>
        <n v="7.91"/>
        <n v="9.01"/>
        <n v="10.1"/>
        <n v="11.18"/>
        <n v="11.21"/>
        <n v="11.22"/>
        <n v="11.71"/>
        <n v="11.93"/>
        <n v="14.1"/>
        <n v="14.39"/>
        <n v="1.65"/>
        <n v="1.9"/>
        <n v="1.85"/>
        <n v="1.8"/>
        <n v="2.49"/>
        <n v="3.1"/>
        <n v="3.13"/>
        <n v="3.7"/>
        <n v="3.83"/>
        <n v="3.96"/>
        <n v="3.32"/>
        <n v="3.23"/>
        <n v="2.05"/>
        <n v="2.87"/>
        <n v="2.63"/>
        <n v="2.45"/>
        <n v="2.74"/>
        <n v="3.04"/>
        <n v="3.35"/>
        <n v="2.72"/>
        <n v="5.03"/>
        <n v="4.8"/>
        <n v="5.95"/>
        <n v="5.65"/>
        <n v="3.27"/>
        <n v="3.61"/>
        <n v="3.97"/>
        <n v="4.32"/>
        <n v="4.29"/>
        <n v="4.25"/>
        <n v="3.59"/>
        <n v="4.05"/>
        <n v="4.52"/>
        <n v="5.0"/>
        <n v="3.38"/>
        <n v="3.73"/>
        <n v="4.08"/>
        <n v="4.43"/>
        <n v="4.41"/>
        <n v="4.38"/>
        <n v="4.35"/>
        <n v="4.37"/>
        <n v="4.53"/>
        <n v="4.69"/>
        <n v="5.83"/>
        <n v="5.82"/>
        <n v="5.25"/>
        <n v="5.06"/>
        <n v="7.86"/>
        <n v="8.04"/>
        <n v="8.25"/>
        <n v="8.4"/>
        <n v="8.55"/>
        <n v="8.7"/>
        <n v="8.61"/>
        <n v="8.53"/>
        <n v="8.49"/>
        <n v="8.41"/>
        <n v="8.32"/>
        <n v="8.22"/>
        <n v="8.16"/>
        <n v="8.09"/>
        <n v="7.99"/>
        <n v="7.89"/>
        <n v="7.8"/>
        <n v="7.72"/>
        <n v="7.65"/>
        <n v="6.51"/>
        <n v="6.38"/>
        <n v="4.82"/>
        <n v="4.17"/>
        <n v="1.97"/>
        <n v="3.06"/>
        <n v="4.14"/>
        <n v="5.2"/>
        <n v="6.26"/>
        <n v="7.39"/>
        <n v="8.48"/>
        <n v="9.54"/>
        <n v="10.52"/>
        <n v="11.7"/>
        <n v="10.85"/>
        <n v="10.01"/>
        <n v="9.14"/>
        <n v="8.3"/>
        <n v="7.46"/>
        <n v="6.61"/>
        <n v="5.77"/>
        <n v="5.38"/>
        <n v="4.96"/>
        <n v="4.56"/>
        <n v="5.4"/>
        <n v="5.02"/>
        <n v="4.42"/>
        <n v="4.13"/>
        <n v="7.74"/>
        <n v="7.9"/>
        <n v="8.76"/>
        <n v="8.38"/>
        <n v="7.67"/>
        <n v="6.5"/>
        <n v="5.97"/>
        <n v="5.22"/>
        <n v="5.85"/>
        <n v="4.78"/>
        <n v="4.12"/>
        <n v="3.88"/>
        <n v="4.19"/>
        <n v="4.16"/>
        <n v="4.24"/>
        <n v="4.67"/>
        <n v="5.37"/>
        <n v="5.26"/>
        <n v="6.33"/>
        <n v="6.36"/>
        <n v="10.62"/>
        <n v="10.66"/>
        <n v="10.68"/>
        <n v="10.65"/>
        <n v="10.67"/>
        <n v="10.64"/>
        <n v="10.63"/>
        <n v="10.58"/>
        <n v="13.16"/>
        <n v="12.32"/>
        <n v="10.92"/>
        <n v="10.69"/>
        <n v="0.6"/>
        <n v="0.59"/>
        <n v="0.58"/>
        <n v="0.4"/>
        <n v="0.42"/>
        <n v="0.54"/>
        <n v="0.65"/>
        <n v="0.8"/>
        <n v="3.67"/>
        <n v="2.95"/>
        <n v="1.83"/>
        <n v="3.57"/>
        <n v="2.29"/>
        <n v="3.19"/>
        <n v="4.83"/>
        <n v="6.16"/>
        <n v="6.34"/>
        <n v="5.55"/>
        <n v="5.5"/>
      </sharedItems>
    </cacheField>
    <cacheField name="Inflation, consumer prices (annual %)" numFmtId="0">
      <sharedItems containsSemiMixedTypes="0" containsString="0" containsNumber="1">
        <n v="6.31"/>
        <n v="12.69"/>
        <n v="6.78"/>
        <n v="8.68"/>
        <n v="26.42"/>
        <n v="-6.81"/>
        <n v="2.18"/>
        <n v="11.8"/>
        <n v="6.44"/>
        <n v="7.39"/>
        <n v="4.67"/>
        <n v="-0.66"/>
        <n v="4.38"/>
        <n v="4.98"/>
        <n v="0.63"/>
        <n v="2.3"/>
        <n v="4.01"/>
        <n v="3.41"/>
        <n v="2.46"/>
        <n v="2.57"/>
        <n v="4.11"/>
        <n v="5.31"/>
        <n v="5.0"/>
        <n v="5.16"/>
        <n v="8.33"/>
        <n v="4.36"/>
        <n v="7.04"/>
        <n v="8.85"/>
        <n v="10.92"/>
        <n v="8.78"/>
        <n v="8.27"/>
        <n v="4.55"/>
        <n v="3.22"/>
        <n v="4.96"/>
        <n v="2.72"/>
        <n v="2.73"/>
        <n v="5.63"/>
        <n v="7.35"/>
        <n v="5.64"/>
        <n v="4.23"/>
        <n v="2.21"/>
        <n v="2.01"/>
        <n v="3.33"/>
        <n v="5.67"/>
        <n v="7.59"/>
        <n v="7.05"/>
        <n v="6.77"/>
        <n v="9.11"/>
        <n v="8.9"/>
        <n v="5.42"/>
        <n v="8.13"/>
        <n v="11.4"/>
        <n v="6.22"/>
        <n v="7.53"/>
        <n v="6.99"/>
        <n v="6.19"/>
        <n v="5.51"/>
        <n v="5.7"/>
        <n v="5.54"/>
        <n v="5.59"/>
        <n v="5.69"/>
        <n v="5.55"/>
        <n v="7.7"/>
        <n v="9.88"/>
        <n v="3.78"/>
        <n v="4.3"/>
        <n v="3.81"/>
        <n v="3.77"/>
        <n v="4.25"/>
        <n v="5.8"/>
        <n v="6.37"/>
        <n v="8.35"/>
        <n v="10.88"/>
        <n v="11.99"/>
        <n v="8.91"/>
        <n v="9.48"/>
        <n v="10.02"/>
        <n v="6.67"/>
        <n v="4.91"/>
        <n v="4.95"/>
        <n v="3.94"/>
        <n v="3.73"/>
        <n v="6.62"/>
        <n v="5.13"/>
        <n v="6.7"/>
        <n v="5.65"/>
        <n v="-1.17"/>
        <n v="0.67"/>
        <n v="4.18"/>
        <n v="-1.26"/>
        <n v="-1.69"/>
        <n v="1.3"/>
        <n v="2.74"/>
        <n v="6.79"/>
        <n v="12.04"/>
        <n v="4.53"/>
        <n v="6.15"/>
        <n v="11.27"/>
        <n v="2.12"/>
        <n v="0.95"/>
        <n v="0.5"/>
        <n v="2.82"/>
        <n v="-0.13"/>
        <n v="0.22"/>
        <n v="-1.37"/>
        <n v="0.54"/>
        <n v="2.33"/>
        <n v="2.93"/>
        <n v="6.18"/>
        <n v="14.16"/>
        <n v="9.55"/>
        <n v="7.58"/>
        <n v="11.64"/>
        <n v="15.84"/>
        <n v="22.56"/>
        <n v="3.46"/>
        <n v="6.72"/>
        <n v="7.54"/>
        <n v="6.91"/>
        <n v="3.18"/>
        <n v="3.96"/>
        <n v="2.14"/>
        <n v="3.53"/>
        <n v="7.01"/>
        <n v="49.72"/>
        <n v="16.54"/>
        <n v="2.48"/>
        <n v="2.69"/>
        <n v="3.03"/>
        <n v="5.71"/>
        <n v="2.84"/>
        <n v="6.84"/>
        <n v="6.92"/>
        <n v="2.27"/>
        <n v="9.91"/>
        <n v="11.09"/>
        <n v="9.33"/>
        <n v="9.23"/>
        <n v="9.46"/>
        <n v="9.04"/>
        <n v="8.36"/>
        <n v="7.87"/>
        <n v="8.79"/>
        <n v="3.63"/>
        <n v="4.06"/>
        <n v="5.57"/>
        <n v="5.05"/>
        <n v="4.15"/>
        <n v="7.65"/>
        <n v="7.11"/>
        <n v="4.37"/>
        <n v="3.15"/>
        <n v="3.29"/>
        <n v="2.91"/>
        <n v="7.44"/>
        <n v="9.06"/>
        <n v="7.92"/>
        <n v="7.6"/>
        <n v="20.29"/>
        <n v="13.65"/>
        <n v="12.94"/>
        <n v="11.92"/>
        <n v="9.68"/>
        <n v="7.69"/>
        <n v="7.19"/>
        <n v="2.53"/>
        <n v="4.09"/>
        <n v="5.08"/>
        <n v="10.58"/>
        <n v="9.74"/>
        <n v="9.5"/>
        <n v="19.87"/>
        <n v="30.77"/>
      </sharedItems>
    </cacheField>
    <cacheField name="Foreign direct investment, net inflows (% of GDP)" numFmtId="0">
      <sharedItems containsSemiMixedTypes="0" containsString="0" containsNumber="1">
        <n v="1.86"/>
        <n v="0.02"/>
        <n v="1.31"/>
        <n v="1.28"/>
        <n v="3.58"/>
        <n v="4.37"/>
        <n v="3.41"/>
        <n v="1.94"/>
        <n v="0.46"/>
        <n v="0.45"/>
        <n v="1.2"/>
        <n v="0.29"/>
        <n v="0.24"/>
        <n v="0.21"/>
        <n v="0.88"/>
        <n v="0.52"/>
        <n v="0.27"/>
        <n v="0.66"/>
        <n v="0.12"/>
        <n v="0.06"/>
        <n v="0.14"/>
        <n v="0.43"/>
        <n v="0.72"/>
        <n v="0.65"/>
        <n v="5.88"/>
        <n v="1.37"/>
        <n v="4.5"/>
        <n v="1.61"/>
        <n v="1.26"/>
        <n v="1.07"/>
        <n v="1.14"/>
        <n v="0.3"/>
        <n v="0.51"/>
        <n v="-0.64"/>
        <n v="0.1"/>
        <n v="0.48"/>
        <n v="-0.11"/>
        <n v="0.53"/>
        <n v="0.15"/>
        <n v="0.69"/>
        <n v="1.17"/>
        <n v="0.64"/>
        <n v="0.82"/>
        <n v="1.45"/>
        <n v="0.98"/>
        <n v="1.19"/>
        <n v="1.74"/>
        <n v="1.47"/>
        <n v="0.62"/>
        <n v="0.75"/>
        <n v="0.54"/>
        <n v="0.41"/>
        <n v="0.36"/>
        <n v="0.32"/>
        <n v="0.77"/>
        <n v="1.06"/>
        <n v="1.01"/>
        <n v="0.61"/>
        <n v="0.89"/>
        <n v="2.13"/>
        <n v="2.07"/>
        <n v="3.62"/>
        <n v="2.65"/>
        <n v="1.64"/>
        <n v="2.0"/>
        <n v="1.52"/>
        <n v="1.7"/>
        <n v="2.09"/>
        <n v="1.51"/>
        <n v="1.56"/>
        <n v="1.78"/>
        <n v="2.41"/>
        <n v="1.41"/>
        <n v="1.49"/>
        <n v="0.79"/>
        <n v="3.57"/>
        <n v="2.36"/>
        <n v="2.76"/>
        <n v="3.02"/>
        <n v="4.31"/>
        <n v="4.55"/>
        <n v="4.05"/>
        <n v="7.09"/>
        <n v="7.98"/>
        <n v="6.74"/>
        <n v="8.36"/>
        <n v="15.27"/>
        <n v="7.9"/>
        <n v="10.95"/>
        <n v="9.02"/>
        <n v="7.22"/>
        <n v="10.35"/>
        <n v="9.51"/>
        <n v="10.65"/>
        <n v="16.78"/>
        <n v="11.87"/>
        <n v="12.23"/>
        <n v="11.54"/>
        <n v="1.09"/>
        <n v="1.21"/>
        <n v="1.13"/>
        <n v="1.12"/>
        <n v="1.85"/>
        <n v="0.96"/>
        <n v="0.81"/>
        <n v="1.34"/>
        <n v="1.08"/>
        <n v="0.8"/>
        <n v="1.02"/>
        <n v="1.71"/>
        <n v="0.84"/>
        <n v="0.67"/>
        <n v="-0.01"/>
        <n v="0.35"/>
        <n v="-0.1"/>
        <n v="0.23"/>
        <n v="0.03"/>
        <n v="-0.07"/>
        <n v="0.01"/>
        <n v="0.55"/>
        <n v="0.44"/>
        <n v="0.42"/>
        <n v="0.33"/>
        <n v="0.13"/>
        <n v="0.68"/>
        <n v="0.38"/>
        <n v="0.16"/>
        <n v="0.18"/>
        <n v="0.31"/>
        <n v="0.39"/>
        <n v="0.85"/>
        <n v="2.64"/>
        <n v="3.04"/>
        <n v="2.69"/>
        <n v="1.25"/>
        <n v="1.03"/>
        <n v="0.58"/>
        <n v="0.34"/>
        <n v="0.7"/>
        <n v="0.56"/>
        <n v="0.74"/>
        <n v="0.49"/>
      </sharedItems>
    </cacheField>
    <cacheField name="Trade (% of GDP)" numFmtId="0">
      <sharedItems containsSemiMixedTypes="0" containsString="0" containsNumber="1">
        <n v="36.37"/>
        <n v="46.71"/>
        <n v="51.41"/>
        <n v="72.89"/>
        <n v="74.03"/>
        <n v="71.09"/>
        <n v="70.28"/>
        <n v="72.85"/>
        <n v="89.06"/>
        <n v="97.74"/>
        <n v="108.16"/>
        <n v="106.93"/>
        <n v="101.95"/>
        <n v="101.56"/>
        <n v="107.23"/>
        <n v="104.88"/>
        <n v="95.68"/>
        <n v="96.57"/>
        <n v="89.29"/>
        <n v="91.01"/>
        <n v="77.53"/>
        <n v="76.79"/>
        <n v="79.74"/>
        <n v="76.12"/>
        <n v="71.83"/>
        <n v="77.58"/>
        <n v="85.93"/>
        <n v="29.32"/>
        <n v="32.1"/>
        <n v="28.97"/>
        <n v="27.66"/>
        <n v="26.86"/>
        <n v="34.4"/>
        <n v="38.11"/>
        <n v="39.94"/>
        <n v="42.62"/>
        <n v="40.09"/>
        <n v="37.8"/>
        <n v="47.42"/>
        <n v="48.11"/>
        <n v="46.3"/>
        <n v="44.51"/>
        <n v="42.09"/>
        <n v="31.33"/>
        <n v="30.0"/>
        <n v="32.51"/>
        <n v="31.58"/>
        <n v="26.27"/>
        <n v="27.72"/>
        <n v="33.78"/>
        <n v="30.98"/>
        <n v="26.9"/>
        <n v="25.99"/>
        <n v="29.51"/>
        <n v="30.59"/>
        <n v="37.5"/>
        <n v="42.0"/>
        <n v="45.72"/>
        <n v="45.69"/>
        <n v="53.37"/>
        <n v="46.27"/>
        <n v="49.26"/>
        <n v="55.62"/>
        <n v="55.79"/>
        <n v="53.84"/>
        <n v="48.92"/>
        <n v="41.92"/>
        <n v="40.08"/>
        <n v="40.74"/>
        <n v="43.62"/>
        <n v="39.91"/>
        <n v="37.76"/>
        <n v="45.42"/>
        <n v="49.97"/>
        <n v="45.85"/>
        <n v="88.64"/>
        <n v="80.9"/>
        <n v="76.34"/>
        <n v="75.34"/>
        <n v="79.48"/>
        <n v="73.6"/>
        <n v="71.26"/>
        <n v="68.61"/>
        <n v="63.37"/>
        <n v="49.15"/>
        <n v="46.92"/>
        <n v="46.47"/>
        <n v="47.14"/>
        <n v="49.81"/>
        <n v="49.43"/>
        <n v="37.09"/>
        <n v="41.23"/>
        <n v="46.68"/>
        <n v="42.28"/>
        <n v="55.71"/>
        <n v="55.8"/>
        <n v="46.23"/>
        <n v="44.25"/>
        <n v="46.15"/>
        <n v="44.06"/>
        <n v="44.76"/>
        <n v="44.58"/>
        <n v="46.04"/>
        <n v="47.08"/>
        <n v="45.98"/>
        <n v="36.3"/>
        <n v="37.92"/>
        <n v="41.87"/>
        <n v="46.67"/>
        <n v="42.12"/>
        <n v="44.64"/>
        <n v="48.45"/>
        <n v="49.25"/>
        <n v="40.92"/>
        <n v="43.05"/>
        <n v="48.97"/>
        <n v="41.64"/>
        <n v="21.46"/>
        <n v="23.58"/>
        <n v="23.13"/>
        <n v="24.65"/>
        <n v="24.81"/>
        <n v="29.88"/>
        <n v="33.05"/>
        <n v="30.79"/>
        <n v="34.35"/>
        <n v="33.33"/>
        <n v="31.99"/>
        <n v="32.36"/>
        <n v="31.32"/>
        <n v="30.89"/>
        <n v="29.47"/>
        <n v="26.69"/>
        <n v="24.7"/>
        <n v="25.47"/>
        <n v="27.63"/>
        <n v="28.91"/>
        <n v="26.72"/>
        <n v="27.03"/>
        <n v="33.04"/>
        <n v="28.1"/>
      </sharedItems>
    </cacheField>
    <cacheField name="Gini index" numFmtId="0">
      <sharedItems containsSemiMixedTypes="0" containsString="0" containsNumber="1">
        <n v="33.71"/>
        <n v="40.9"/>
        <n v="38.1"/>
        <n v="38.8"/>
        <n v="37.4"/>
        <n v="28.5"/>
        <n v="33.4"/>
        <n v="33.2"/>
        <n v="32.1"/>
        <n v="32.4"/>
        <n v="34.0"/>
        <n v="34.9"/>
        <n v="35.4"/>
        <n v="34.7"/>
        <n v="35.9"/>
        <n v="34.5"/>
        <n v="33.8"/>
        <n v="32.8"/>
        <n v="41.3"/>
        <n v="38.4"/>
        <n v="31.3"/>
        <n v="29.3"/>
        <n v="40.2"/>
        <n v="39.7"/>
        <n v="36.1"/>
        <n v="38.7"/>
        <n v="39.3"/>
        <n v="37.7"/>
        <n v="43.8"/>
        <n v="30.0"/>
        <n v="28.7"/>
        <n v="30.9"/>
        <n v="29.7"/>
        <n v="28.8"/>
        <n v="29.5"/>
        <n v="29.6"/>
        <n v="28.91"/>
        <n v="26.72"/>
        <n v="27.03"/>
        <n v="33.04"/>
        <n v="28.1"/>
      </sharedItems>
    </cacheField>
    <cacheField name="Population, total" numFmtId="0">
      <sharedItems containsSemiMixedTypes="0" containsString="0" containsNumber="1" containsInteger="1">
        <n v="1.9542982E7"/>
        <n v="1.9688632E7"/>
        <n v="2.1000256E7"/>
        <n v="2.264513E7"/>
        <n v="2.3553551E7"/>
        <n v="2.4411191E7"/>
        <n v="2.5442944E7"/>
        <n v="2.5903301E7"/>
        <n v="2.6427199E7"/>
        <n v="2.7385307E7"/>
        <n v="2.8189672E7"/>
        <n v="2.9249157E7"/>
        <n v="3.0466479E7"/>
        <n v="3.1541209E7"/>
        <n v="3.271621E7"/>
        <n v="3.3753499E7"/>
        <n v="3.4636207E7"/>
        <n v="3.5643418E7"/>
        <n v="3.6686784E7"/>
        <n v="3.7769499E7"/>
        <n v="3.897223E7"/>
        <n v="4.0099462E7"/>
        <n v="4.1128771E7"/>
        <n v="4.2239854E7"/>
        <n v="587207.0"/>
        <n v="603234.0"/>
        <n v="619048.0"/>
        <n v="634627.0"/>
        <n v="649991.0"/>
        <n v="663323.0"/>
        <n v="673260.0"/>
        <n v="681614.0"/>
        <n v="689737.0"/>
        <n v="697678.0"/>
        <n v="705516.0"/>
        <n v="713331.0"/>
        <n v="721145.0"/>
        <n v="728889.0"/>
        <n v="736357.0"/>
        <n v="743274.0"/>
        <n v="749761.0"/>
        <n v="756121.0"/>
        <n v="762096.0"/>
        <n v="767459.0"/>
        <n v="772506.0"/>
        <n v="777486.0"/>
        <n v="782455.0"/>
        <n v="787424.0"/>
        <n v="1.29193327E8"/>
        <n v="1.31670484E8"/>
        <n v="1.34139826E8"/>
        <n v="1.36503206E8"/>
        <n v="1.38789725E8"/>
        <n v="1.4091259E8"/>
        <n v="1.42628831E8"/>
        <n v="1.44135934E8"/>
        <n v="1.45421318E8"/>
        <n v="1.4670681E8"/>
        <n v="1.48391139E8"/>
        <n v="1.50211005E8"/>
        <n v="1.52090649E8"/>
        <n v="1.54030139E8"/>
        <n v="1.55961299E8"/>
        <n v="1.5783E8"/>
        <n v="1.59784568E8"/>
        <n v="1.61793964E8"/>
        <n v="1.63683958E8"/>
        <n v="1.65516222E8"/>
        <n v="1.67420951E8"/>
        <n v="1.69356251E8"/>
        <n v="1.71186372E8"/>
        <n v="1.72954319E8"/>
        <n v="1.059633675E9"/>
        <n v="1.078970907E9"/>
        <n v="1.098313039E9"/>
        <n v="1.117415123E9"/>
        <n v="1.136264583E9"/>
        <n v="1.154638713E9"/>
        <n v="1.172373788E9"/>
        <n v="1.189691809E9"/>
        <n v="1.206734806E9"/>
        <n v="1.22364016E9"/>
        <n v="1.24061362E9"/>
        <n v="1.257621191E9"/>
        <n v="1.274487215E9"/>
        <n v="1.291132063E9"/>
        <n v="1.307246509E9"/>
        <n v="1.322866505E9"/>
        <n v="1.33863634E9"/>
        <n v="1.35419568E9"/>
        <n v="1.369003306E9"/>
        <n v="1.38311205E9"/>
        <n v="1.396387127E9"/>
        <n v="1.407563842E9"/>
        <n v="1.417173173E9"/>
        <n v="1.428627663E9"/>
        <n v="282507.0"/>
        <n v="287324.0"/>
        <n v="292284.0"/>
        <n v="297226.0"/>
        <n v="302135.0"/>
        <n v="307018.0"/>
        <n v="314401.0"/>
        <n v="325126.0"/>
        <n v="336883.0"/>
        <n v="349037.0"/>
        <n v="361575.0"/>
        <n v="374440.0"/>
        <n v="387539.0"/>
        <n v="400728.0"/>
        <n v="416738.0"/>
        <n v="435582.0"/>
        <n v="454252.0"/>
        <n v="472442.0"/>
        <n v="489758.0"/>
        <n v="504508.0"/>
        <n v="514438.0"/>
        <n v="521457.0"/>
        <n v="523787.0"/>
        <n v="521021.0"/>
        <n v="1.8776371E7"/>
        <n v="1.8920275E7"/>
        <n v="1.9110707E7"/>
        <n v="1.930318E7"/>
        <n v="1.9490431E7"/>
        <n v="1.9673866E7"/>
        <n v="1.9870706E7"/>
        <n v="2.0078655E7"/>
        <n v="2.0285643E7"/>
        <n v="2.0482477E7"/>
        <n v="2.0668557E7"/>
        <n v="2.0859743E7"/>
        <n v="2.1017147E7"/>
        <n v="2.1131756E7"/>
        <n v="2.1239457E7"/>
        <n v="2.1336697E7"/>
        <n v="2.1425494E7"/>
        <n v="2.1506813E7"/>
        <n v="2.167E7"/>
        <n v="2.1803E7"/>
        <n v="2.1919E7"/>
        <n v="2.2156E7"/>
        <n v="2.2181E7"/>
        <n v="2.2037E7"/>
        <n v="2.45595E7"/>
        <n v="2.4956071E7"/>
        <n v="2.5332178E7"/>
        <n v="2.5682908E7"/>
        <n v="2.6003965E7"/>
        <n v="2.628511E7"/>
        <n v="2.6518971E7"/>
        <n v="2.6713655E7"/>
        <n v="2.6881544E7"/>
        <n v="2.7026941E7"/>
        <n v="2.7161567E7"/>
        <n v="2.7266399E7"/>
        <n v="2.7330694E7"/>
        <n v="2.7381555E7"/>
        <n v="2.7462106E7"/>
        <n v="2.7610325E7"/>
        <n v="2.7861186E7"/>
        <n v="2.8183426E7"/>
        <n v="2.8506712E7"/>
        <n v="2.8832496E7"/>
        <n v="2.9348627E7"/>
        <n v="3.0034989E7"/>
        <n v="3.054758E7"/>
        <n v="3.089659E7"/>
        <n v="1.54369924E8"/>
        <n v="1.59217727E8"/>
        <n v="1.63262807E8"/>
        <n v="1.6687668E8"/>
        <n v="1.7064862E8"/>
        <n v="1.74372098E8"/>
        <n v="1.78069984E8"/>
        <n v="1.81924521E8"/>
        <n v="1.85931955E8"/>
        <n v="1.90123222E8"/>
        <n v="1.94454498E8"/>
        <n v="1.98602738E8"/>
        <n v="2.02205861E8"/>
        <n v="2.05337562E8"/>
        <n v="2.08251628E8"/>
        <n v="2.10969298E8"/>
        <n v="2.1352484E8"/>
        <n v="2.16379655E8"/>
        <n v="2.19731479E8"/>
        <n v="2.2329328E8"/>
        <n v="2.27196741E8"/>
        <n v="2.31402117E8"/>
        <n v="2.35824862E8"/>
        <n v="2.40485658E8"/>
      </sharedItems>
    </cacheField>
    <cacheField name="Population growth (annual %)" numFmtId="0">
      <sharedItems containsSemiMixedTypes="0" containsString="0" containsNumber="1">
        <n v="1.44"/>
        <n v="0.74"/>
        <n v="6.45"/>
        <n v="7.54"/>
        <n v="3.93"/>
        <n v="3.58"/>
        <n v="4.14"/>
        <n v="1.79"/>
        <n v="2.0"/>
        <n v="3.56"/>
        <n v="2.89"/>
        <n v="3.69"/>
        <n v="4.08"/>
        <n v="3.47"/>
        <n v="3.66"/>
        <n v="3.12"/>
        <n v="2.58"/>
        <n v="2.87"/>
        <n v="2.91"/>
        <n v="3.13"/>
        <n v="2.85"/>
        <n v="2.53"/>
        <n v="2.67"/>
        <n v="2.8"/>
        <n v="2.69"/>
        <n v="2.59"/>
        <n v="2.49"/>
        <n v="2.39"/>
        <n v="2.03"/>
        <n v="1.49"/>
        <n v="1.23"/>
        <n v="1.18"/>
        <n v="1.14"/>
        <n v="1.12"/>
        <n v="1.1"/>
        <n v="1.09"/>
        <n v="1.07"/>
        <n v="1.02"/>
        <n v="0.93"/>
        <n v="0.87"/>
        <n v="0.84"/>
        <n v="0.79"/>
        <n v="0.7"/>
        <n v="0.66"/>
        <n v="0.64"/>
        <n v="0.63"/>
        <n v="1.91"/>
        <n v="1.9"/>
        <n v="1.86"/>
        <n v="1.75"/>
        <n v="1.66"/>
        <n v="1.52"/>
        <n v="1.21"/>
        <n v="1.05"/>
        <n v="0.89"/>
        <n v="0.88"/>
        <n v="1.22"/>
        <n v="1.24"/>
        <n v="1.27"/>
        <n v="1.25"/>
        <n v="1.19"/>
        <n v="1.16"/>
        <n v="1.11"/>
        <n v="1.15"/>
        <n v="1.03"/>
        <n v="1.82"/>
        <n v="1.81"/>
        <n v="1.78"/>
        <n v="1.72"/>
        <n v="1.67"/>
        <n v="1.6"/>
        <n v="1.47"/>
        <n v="1.42"/>
        <n v="1.39"/>
        <n v="1.38"/>
        <n v="1.36"/>
        <n v="1.33"/>
        <n v="1.3"/>
        <n v="0.96"/>
        <n v="0.8"/>
        <n v="0.68"/>
        <n v="0.81"/>
        <n v="1.57"/>
        <n v="1.69"/>
        <n v="1.71"/>
        <n v="1.68"/>
        <n v="1.64"/>
        <n v="2.38"/>
        <n v="3.35"/>
        <n v="3.55"/>
        <n v="3.54"/>
        <n v="3.53"/>
        <n v="3.5"/>
        <n v="3.44"/>
        <n v="3.92"/>
        <n v="4.42"/>
        <n v="4.2"/>
        <n v="3.6"/>
        <n v="2.97"/>
        <n v="1.95"/>
        <n v="0.45"/>
        <n v="-0.53"/>
        <n v="0.57"/>
        <n v="0.76"/>
        <n v="1.0"/>
        <n v="0.97"/>
        <n v="0.94"/>
        <n v="1.04"/>
        <n v="0.9"/>
        <n v="0.92"/>
        <n v="0.75"/>
        <n v="0.54"/>
        <n v="0.51"/>
        <n v="0.46"/>
        <n v="0.42"/>
        <n v="0.38"/>
        <n v="0.61"/>
        <n v="0.53"/>
        <n v="1.08"/>
        <n v="0.11"/>
        <n v="-0.65"/>
        <n v="1.5"/>
        <n v="0.73"/>
        <n v="0.5"/>
        <n v="0.39"/>
        <n v="0.24"/>
        <n v="0.19"/>
        <n v="0.29"/>
        <n v="1.77"/>
        <n v="2.31"/>
        <n v="3.08"/>
        <n v="3.09"/>
        <n v="2.51"/>
        <n v="2.19"/>
        <n v="2.24"/>
        <n v="2.16"/>
        <n v="2.1"/>
        <n v="2.14"/>
        <n v="2.18"/>
        <n v="2.23"/>
        <n v="2.25"/>
        <n v="2.11"/>
        <n v="1.8"/>
        <n v="1.54"/>
        <n v="1.41"/>
        <n v="1.2"/>
        <n v="1.61"/>
        <n v="1.73"/>
        <n v="1.83"/>
        <n v="1.89"/>
        <n v="1.96"/>
      </sharedItems>
    </cacheField>
    <cacheField name="Poverty headcount ratio at $2.15 a day (2017 PPP) (% of population)" numFmtId="0">
      <sharedItems containsSemiMixedTypes="0" containsString="0" containsNumber="1">
        <n v="2.7"/>
        <n v="13.4"/>
        <n v="5.9"/>
        <n v="1.7"/>
        <n v="0.9"/>
        <n v="33.3"/>
        <n v="24.0"/>
        <n v="18.2"/>
        <n v="13.5"/>
        <n v="5.0"/>
        <n v="40.6"/>
        <n v="33.5"/>
        <n v="22.9"/>
        <n v="18.8"/>
        <n v="18.1"/>
        <n v="11.1"/>
        <n v="13.2"/>
        <n v="15.5"/>
        <n v="12.9"/>
        <n v="6.6"/>
        <n v="3.8"/>
        <n v="11.0"/>
        <n v="5.6"/>
        <n v="3.5"/>
        <n v="2.6"/>
        <n v="1.3"/>
        <n v="1.0"/>
        <n v="40.3"/>
        <n v="8.2"/>
        <n v="0.4"/>
        <n v="20.2"/>
        <n v="20.3"/>
        <n v="14.9"/>
        <n v="9.4"/>
        <n v="9.6"/>
        <n v="7.4"/>
        <n v="5.1"/>
        <n v="4.9"/>
      </sharedItems>
    </cacheField>
    <cacheField name="Life expectancy at birth, total (years)" numFmtId="0">
      <sharedItems containsSemiMixedTypes="0" containsString="0" containsNumber="1">
        <n v="55.3"/>
        <n v="55.8"/>
        <n v="56.45"/>
        <n v="57.34"/>
        <n v="57.94"/>
        <n v="58.36"/>
        <n v="58.68"/>
        <n v="59.11"/>
        <n v="59.85"/>
        <n v="60.36"/>
        <n v="60.85"/>
        <n v="61.42"/>
        <n v="61.92"/>
        <n v="62.42"/>
        <n v="62.55"/>
        <n v="62.66"/>
        <n v="63.14"/>
        <n v="63.02"/>
        <n v="63.08"/>
        <n v="63.57"/>
        <n v="62.58"/>
        <n v="61.98"/>
        <n v="62.88"/>
        <n v="65.53"/>
        <n v="62.01"/>
        <n v="63.44"/>
        <n v="64.08"/>
        <n v="64.7"/>
        <n v="65.27"/>
        <n v="65.81"/>
        <n v="66.36"/>
        <n v="66.95"/>
        <n v="67.5"/>
        <n v="67.9"/>
        <n v="68.43"/>
        <n v="68.88"/>
        <n v="69.33"/>
        <n v="69.71"/>
        <n v="70.05"/>
        <n v="70.34"/>
        <n v="70.6"/>
        <n v="70.85"/>
        <n v="71.13"/>
        <n v="71.39"/>
        <n v="71.61"/>
        <n v="71.82"/>
        <n v="72.23"/>
        <n v="65.78"/>
        <n v="66.14"/>
        <n v="66.61"/>
        <n v="66.82"/>
        <n v="67.19"/>
        <n v="67.3"/>
        <n v="67.24"/>
        <n v="66.71"/>
        <n v="67.05"/>
        <n v="67.4"/>
        <n v="68.64"/>
        <n v="68.81"/>
        <n v="69.55"/>
        <n v="69.57"/>
        <n v="69.99"/>
        <n v="70.49"/>
        <n v="71.09"/>
        <n v="71.79"/>
        <n v="72.57"/>
        <n v="72.81"/>
        <n v="71.97"/>
        <n v="72.38"/>
        <n v="73.7"/>
        <n v="67.62"/>
        <n v="62.67"/>
        <n v="63.09"/>
        <n v="63.62"/>
        <n v="64.09"/>
        <n v="64.52"/>
        <n v="65.0"/>
        <n v="65.41"/>
        <n v="65.79"/>
        <n v="66.15"/>
        <n v="66.51"/>
        <n v="66.91"/>
        <n v="67.36"/>
        <n v="67.89"/>
        <n v="68.46"/>
        <n v="69.07"/>
        <n v="69.64"/>
        <n v="70.12"/>
        <n v="70.47"/>
        <n v="70.71"/>
        <n v="70.91"/>
        <n v="70.15"/>
        <n v="67.74"/>
        <n v="70.88"/>
        <n v="72.18"/>
        <n v="73.29"/>
        <n v="74.06"/>
        <n v="73.54"/>
        <n v="74.75"/>
        <n v="75.13"/>
        <n v="75.69"/>
        <n v="76.54"/>
        <n v="77.07"/>
        <n v="77.66"/>
        <n v="78.12"/>
        <n v="78.68"/>
        <n v="79.06"/>
        <n v="79.42"/>
        <n v="79.7"/>
        <n v="79.87"/>
        <n v="79.94"/>
        <n v="80.01"/>
        <n v="80.12"/>
        <n v="79.88"/>
        <n v="79.92"/>
        <n v="80.84"/>
        <n v="70.36"/>
        <n v="70.79"/>
        <n v="71.12"/>
        <n v="71.37"/>
        <n v="67.09"/>
        <n v="72.12"/>
        <n v="72.05"/>
        <n v="71.73"/>
        <n v="69.19"/>
        <n v="73.22"/>
        <n v="73.38"/>
        <n v="73.91"/>
        <n v="74.24"/>
        <n v="74.65"/>
        <n v="74.93"/>
        <n v="75.33"/>
        <n v="75.4"/>
        <n v="75.75"/>
        <n v="76.01"/>
        <n v="76.39"/>
        <n v="76.4"/>
        <n v="76.61"/>
        <n v="62.61"/>
        <n v="63.34"/>
        <n v="63.26"/>
        <n v="64.2"/>
        <n v="64.82"/>
        <n v="65.46"/>
        <n v="65.87"/>
        <n v="66.33"/>
        <n v="66.42"/>
        <n v="66.76"/>
        <n v="66.81"/>
        <n v="67.31"/>
        <n v="67.47"/>
        <n v="67.97"/>
        <n v="68.09"/>
        <n v="67.46"/>
        <n v="68.78"/>
        <n v="68.91"/>
        <n v="68.98"/>
        <n v="69.56"/>
        <n v="69.25"/>
        <n v="68.45"/>
        <n v="70.48"/>
        <n v="62.1"/>
        <n v="62.63"/>
        <n v="62.84"/>
        <n v="63.05"/>
        <n v="62.47"/>
        <n v="63.73"/>
        <n v="63.85"/>
        <n v="64.04"/>
        <n v="64.14"/>
        <n v="64.44"/>
        <n v="64.65"/>
        <n v="64.78"/>
        <n v="65.15"/>
        <n v="65.28"/>
        <n v="65.7"/>
        <n v="65.88"/>
        <n v="66.3"/>
        <n v="66.48"/>
        <n v="66.27"/>
        <n v="66.1"/>
        <n v="66.43"/>
      </sharedItems>
    </cacheField>
    <cacheField name="Mortality rate, infant (per 1,000 live births)" numFmtId="0">
      <sharedItems containsSemiMixedTypes="0" containsString="0" containsNumber="1">
        <n v="92.0"/>
        <n v="89.3"/>
        <n v="86.6"/>
        <n v="83.7"/>
        <n v="80.9"/>
        <n v="78.0"/>
        <n v="75.1"/>
        <n v="72.3"/>
        <n v="69.6"/>
        <n v="67.0"/>
        <n v="64.6"/>
        <n v="62.3"/>
        <n v="60.1"/>
        <n v="58.1"/>
        <n v="56.2"/>
        <n v="54.6"/>
        <n v="53.0"/>
        <n v="51.5"/>
        <n v="50.1"/>
        <n v="48.8"/>
        <n v="47.4"/>
        <n v="46.1"/>
        <n v="44.8"/>
        <n v="37.5"/>
        <n v="58.4"/>
        <n v="55.6"/>
        <n v="52.7"/>
        <n v="49.9"/>
        <n v="47.1"/>
        <n v="44.4"/>
        <n v="41.7"/>
        <n v="39.3"/>
        <n v="36.9"/>
        <n v="34.6"/>
        <n v="32.6"/>
        <n v="30.7"/>
        <n v="29.1"/>
        <n v="27.8"/>
        <n v="26.6"/>
        <n v="25.5"/>
        <n v="24.6"/>
        <n v="23.6"/>
        <n v="22.9"/>
        <n v="22.1"/>
        <n v="21.4"/>
        <n v="20.7"/>
        <n v="20.1"/>
        <n v="63.0"/>
        <n v="59.9"/>
        <n v="57.0"/>
        <n v="54.3"/>
        <n v="51.7"/>
        <n v="49.3"/>
        <n v="47.0"/>
        <n v="42.7"/>
        <n v="40.7"/>
        <n v="38.9"/>
        <n v="37.2"/>
        <n v="35.6"/>
        <n v="34.1"/>
        <n v="32.7"/>
        <n v="31.4"/>
        <n v="30.1"/>
        <n v="28.9"/>
        <n v="26.7"/>
        <n v="25.7"/>
        <n v="24.9"/>
        <n v="24.1"/>
        <n v="66.4"/>
        <n v="64.5"/>
        <n v="62.6"/>
        <n v="60.6"/>
        <n v="58.7"/>
        <n v="56.8"/>
        <n v="54.8"/>
        <n v="52.8"/>
        <n v="50.8"/>
        <n v="48.7"/>
        <n v="46.7"/>
        <n v="44.6"/>
        <n v="42.5"/>
        <n v="40.5"/>
        <n v="38.5"/>
        <n v="36.5"/>
        <n v="34.7"/>
        <n v="32.9"/>
        <n v="31.3"/>
        <n v="29.7"/>
        <n v="28.1"/>
        <n v="26.8"/>
        <n v="31.8"/>
        <n v="28.7"/>
        <n v="25.6"/>
        <n v="21.5"/>
        <n v="18.4"/>
        <n v="16.6"/>
        <n v="15.1"/>
        <n v="13.9"/>
        <n v="12.8"/>
        <n v="11.9"/>
        <n v="11.2"/>
        <n v="10.4"/>
        <n v="9.7"/>
        <n v="9.0"/>
        <n v="8.4"/>
        <n v="7.7"/>
        <n v="7.1"/>
        <n v="6.5"/>
        <n v="6.0"/>
        <n v="5.5"/>
        <n v="5.1"/>
        <n v="4.8"/>
        <n v="14.4"/>
        <n v="13.8"/>
        <n v="13.4"/>
        <n v="13.0"/>
        <n v="17.6"/>
        <n v="12.1"/>
        <n v="11.5"/>
        <n v="10.8"/>
        <n v="10.3"/>
        <n v="13.6"/>
        <n v="9.6"/>
        <n v="9.3"/>
        <n v="8.9"/>
        <n v="8.0"/>
        <n v="7.5"/>
        <n v="6.8"/>
        <n v="6.2"/>
        <n v="5.7"/>
        <n v="5.6"/>
        <n v="58.5"/>
        <n v="55.7"/>
        <n v="53.1"/>
        <n v="50.7"/>
        <n v="48.5"/>
        <n v="46.5"/>
        <n v="42.9"/>
        <n v="41.2"/>
        <n v="39.7"/>
        <n v="38.2"/>
        <n v="36.7"/>
        <n v="35.2"/>
        <n v="33.8"/>
        <n v="32.4"/>
        <n v="31.0"/>
        <n v="28.4"/>
        <n v="27.2"/>
        <n v="26.0"/>
        <n v="23.9"/>
        <n v="23.0"/>
        <n v="84.8"/>
        <n v="82.9"/>
        <n v="81.1"/>
        <n v="79.5"/>
        <n v="78.1"/>
        <n v="76.8"/>
        <n v="75.5"/>
        <n v="74.3"/>
        <n v="73.0"/>
        <n v="71.6"/>
        <n v="70.2"/>
        <n v="68.7"/>
        <n v="67.1"/>
        <n v="65.5"/>
        <n v="63.8"/>
        <n v="62.2"/>
        <n v="60.5"/>
        <n v="58.9"/>
        <n v="57.3"/>
        <n v="54.1"/>
        <n v="52.5"/>
        <n v="51.0"/>
      </sharedItems>
    </cacheField>
    <cacheField name="Literacy rate, adult total (% of people ages 15 and above)" numFmtId="0">
      <sharedItems containsSemiMixedTypes="0" containsString="0" containsNumber="1" containsInteger="1">
        <n v="22.0"/>
        <n v="31.0"/>
        <n v="34.0"/>
        <n v="37.0"/>
        <n v="53.0"/>
        <n v="55.0"/>
        <n v="67.0"/>
        <n v="72.0"/>
        <n v="47.0"/>
        <n v="59.0"/>
        <n v="58.0"/>
        <n v="61.0"/>
        <n v="65.0"/>
        <n v="73.0"/>
        <n v="74.0"/>
        <n v="75.0"/>
        <n v="76.0"/>
        <n v="63.0"/>
        <n v="69.0"/>
        <n v="77.0"/>
        <n v="96.0"/>
        <n v="98.0"/>
        <n v="99.0"/>
        <n v="95.0"/>
        <n v="91.0"/>
        <n v="92.0"/>
        <n v="49.0"/>
        <n v="60.0"/>
        <n v="66.0"/>
        <n v="71.0"/>
        <n v="50.0"/>
        <n v="54.0"/>
        <n v="52.0"/>
        <n v="56.0"/>
        <n v="57.0"/>
      </sharedItems>
    </cacheField>
    <cacheField name="School enrollment, primary (% gross)" numFmtId="0">
      <sharedItems containsSemiMixedTypes="0" containsString="0" containsNumber="1">
        <n v="22.16"/>
        <n v="22.91"/>
        <n v="75.96"/>
        <n v="96.55"/>
        <n v="106.25"/>
        <n v="100.23"/>
        <n v="103.93"/>
        <n v="101.09"/>
        <n v="103.41"/>
        <n v="99.37"/>
        <n v="102.9"/>
        <n v="100.29"/>
        <n v="106.28"/>
        <n v="107.7"/>
        <n v="109.12"/>
        <n v="106.18"/>
        <n v="106.15"/>
        <n v="106.13"/>
        <n v="107.78"/>
        <n v="110.01"/>
        <n v="88.12"/>
        <n v="80.79"/>
        <n v="82.15"/>
        <n v="83.75"/>
        <n v="86.25"/>
        <n v="89.68"/>
        <n v="92.76"/>
        <n v="97.15"/>
        <n v="101.17"/>
        <n v="104.59"/>
        <n v="109.03"/>
        <n v="111.82"/>
        <n v="113.17"/>
        <n v="112.42"/>
        <n v="106.14"/>
        <n v="104.01"/>
        <n v="102.48"/>
        <n v="100.94"/>
        <n v="99.74"/>
        <n v="99.29"/>
        <n v="97.96"/>
        <n v="103.8"/>
        <n v="103.03"/>
        <n v="106.08"/>
        <n v="99.95"/>
        <n v="99.98"/>
        <n v="98.19"/>
        <n v="95.11"/>
        <n v="97.63"/>
        <n v="109.13"/>
        <n v="112.43"/>
        <n v="118.43"/>
        <n v="115.45"/>
        <n v="117.66"/>
        <n v="111.6"/>
        <n v="94.0"/>
        <n v="99.0"/>
        <n v="98.07"/>
        <n v="106.22"/>
        <n v="114.11"/>
        <n v="114.63"/>
        <n v="113.05"/>
        <n v="112.53"/>
        <n v="109.71"/>
        <n v="111.78"/>
        <n v="113.42"/>
        <n v="111.58"/>
        <n v="112.94"/>
        <n v="119.51"/>
        <n v="117.87"/>
        <n v="101.1"/>
        <n v="99.5"/>
        <n v="101.29"/>
        <n v="102.32"/>
        <n v="111.08"/>
        <n v="112.03"/>
        <n v="127.29"/>
        <n v="124.85"/>
        <n v="122.17"/>
        <n v="121.53"/>
        <n v="120.15"/>
        <n v="114.22"/>
        <n v="112.66"/>
        <n v="107.77"/>
        <n v="105.49"/>
        <n v="104.69"/>
        <n v="102.21"/>
        <n v="100.48"/>
        <n v="97.56"/>
        <n v="95.75"/>
        <n v="96.8"/>
        <n v="99.01"/>
        <n v="98.1"/>
        <n v="96.94"/>
        <n v="96.59"/>
        <n v="97.13"/>
        <n v="97.83"/>
        <n v="95.37"/>
        <n v="97.54"/>
        <n v="104.36"/>
        <n v="102.99"/>
        <n v="100.47"/>
        <n v="96.02"/>
        <n v="96.77"/>
        <n v="95.74"/>
        <n v="93.38"/>
        <n v="97.78"/>
        <n v="97.4"/>
        <n v="97.18"/>
        <n v="97.27"/>
        <n v="97.43"/>
        <n v="97.53"/>
        <n v="97.65"/>
        <n v="97.28"/>
        <n v="97.48"/>
        <n v="96.87"/>
        <n v="95.92"/>
        <n v="107.47"/>
        <n v="112.23"/>
        <n v="112.04"/>
        <n v="114.89"/>
        <n v="115.49"/>
        <n v="129.82"/>
        <n v="131.22"/>
        <n v="129.52"/>
        <n v="141.47"/>
        <n v="146.54"/>
        <n v="150.35"/>
        <n v="147.89"/>
        <n v="144.31"/>
        <n v="141.94"/>
        <n v="142.99"/>
        <n v="143.41"/>
        <n v="140.82"/>
        <n v="136.67"/>
        <n v="121.19"/>
        <n v="118.34"/>
        <n v="118.8"/>
        <n v="122.98"/>
        <n v="63.47"/>
        <n v="63.84"/>
        <n v="65.77"/>
        <n v="69.65"/>
        <n v="73.18"/>
        <n v="69.86"/>
        <n v="74.22"/>
        <n v="73.91"/>
        <n v="74.17"/>
        <n v="74.52"/>
        <n v="71.03"/>
        <n v="70.79"/>
        <n v="70.24"/>
        <n v="74.32"/>
        <n v="74.85"/>
        <n v="79.84"/>
        <n v="78.84"/>
        <n v="82.03"/>
        <n v="83.18"/>
        <n v="84.37"/>
        <n v="82.68"/>
      </sharedItems>
    </cacheField>
    <cacheField name="Urban population (% of total population)" numFmtId="0">
      <sharedItems containsString="0" containsBlank="1" containsNumber="1">
        <n v="22.08"/>
        <n v="22.17"/>
        <n v="22.26"/>
        <n v="22.35"/>
        <n v="22.5"/>
        <n v="22.7"/>
        <n v="22.91"/>
        <n v="23.11"/>
        <n v="23.32"/>
        <n v="23.53"/>
        <n v="23.74"/>
        <n v="23.95"/>
        <n v="24.16"/>
        <n v="24.37"/>
        <n v="24.59"/>
        <n v="24.8"/>
        <n v="25.02"/>
        <n v="25.25"/>
        <n v="25.5"/>
        <n v="25.75"/>
        <n v="26.03"/>
        <n v="26.31"/>
        <n v="26.62"/>
        <n v="26.93"/>
        <n v="25.42"/>
        <n v="26.48"/>
        <n v="27.57"/>
        <n v="28.69"/>
        <n v="29.84"/>
        <n v="30.97"/>
        <n v="31.71"/>
        <n v="32.47"/>
        <n v="33.24"/>
        <n v="34.01"/>
        <n v="34.79"/>
        <n v="35.59"/>
        <n v="36.37"/>
        <n v="37.15"/>
        <n v="37.92"/>
        <n v="38.68"/>
        <n v="39.43"/>
        <n v="40.17"/>
        <n v="40.9"/>
        <n v="41.61"/>
        <n v="42.32"/>
        <n v="43.01"/>
        <n v="43.69"/>
        <n v="44.35"/>
        <n v="23.59"/>
        <n v="24.1"/>
        <n v="24.76"/>
        <n v="25.43"/>
        <n v="26.11"/>
        <n v="26.81"/>
        <n v="27.52"/>
        <n v="28.24"/>
        <n v="28.97"/>
        <n v="29.71"/>
        <n v="30.46"/>
        <n v="31.23"/>
        <n v="31.99"/>
        <n v="32.76"/>
        <n v="33.54"/>
        <n v="34.31"/>
        <n v="35.08"/>
        <n v="35.86"/>
        <n v="36.63"/>
        <n v="37.41"/>
        <n v="38.18"/>
        <n v="38.95"/>
        <n v="39.71"/>
        <n v="40.47"/>
        <n v="27.67"/>
        <n v="27.92"/>
        <n v="28.57"/>
        <n v="28.9"/>
        <n v="29.24"/>
        <n v="29.57"/>
        <n v="29.91"/>
        <n v="30.25"/>
        <n v="30.59"/>
        <n v="30.93"/>
        <n v="31.28"/>
        <n v="31.63"/>
        <n v="32.0"/>
        <n v="32.38"/>
        <n v="32.78"/>
        <n v="33.18"/>
        <n v="33.6"/>
        <n v="34.03"/>
        <n v="34.47"/>
        <n v="34.93"/>
        <n v="35.39"/>
        <n v="35.87"/>
        <n v="36.36"/>
        <n v="27.71"/>
        <n v="28.86"/>
        <n v="30.04"/>
        <n v="31.25"/>
        <n v="32.49"/>
        <n v="33.75"/>
        <n v="35.2"/>
        <n v="35.61"/>
        <n v="36.02"/>
        <n v="36.43"/>
        <n v="36.85"/>
        <n v="37.27"/>
        <n v="37.69"/>
        <n v="38.11"/>
        <n v="38.53"/>
        <n v="39.38"/>
        <n v="39.81"/>
        <n v="40.24"/>
        <n v="40.67"/>
        <n v="41.1"/>
        <n v="41.54"/>
        <n v="41.97"/>
        <n v="18.38"/>
        <n v="18.37"/>
        <n v="18.35"/>
        <n v="18.33"/>
        <n v="18.32"/>
        <n v="18.3"/>
        <n v="18.29"/>
        <n v="18.27"/>
        <n v="18.26"/>
        <n v="18.24"/>
        <n v="18.23"/>
        <n v="18.21"/>
        <n v="18.2"/>
        <n v="18.22"/>
        <n v="18.31"/>
        <n v="18.48"/>
        <n v="18.59"/>
        <n v="18.71"/>
        <n v="18.86"/>
        <n v="19.03"/>
        <n v="19.21"/>
        <n v="13.4"/>
        <n v="13.95"/>
        <n v="14.24"/>
        <n v="14.54"/>
        <n v="14.84"/>
        <n v="15.15"/>
        <n v="15.46"/>
        <n v="15.78"/>
        <n v="16.11"/>
        <n v="16.43"/>
        <n v="16.77"/>
        <n v="17.11"/>
        <n v="17.46"/>
        <n v="17.82"/>
        <n v="18.18"/>
        <n v="18.56"/>
        <n v="18.94"/>
        <n v="19.34"/>
        <n v="19.74"/>
        <n v="20.15"/>
        <n v="20.58"/>
        <n v="21.01"/>
        <m/>
        <n v="21.9"/>
        <n v="32.98"/>
        <n v="33.38"/>
        <n v="33.58"/>
        <n v="33.78"/>
        <n v="33.98"/>
        <n v="34.18"/>
        <n v="34.39"/>
        <n v="34.59"/>
        <n v="35.0"/>
        <n v="35.41"/>
        <n v="35.82"/>
        <n v="36.03"/>
        <n v="36.23"/>
        <n v="36.44"/>
        <n v="36.67"/>
        <n v="36.91"/>
        <n v="37.17"/>
        <n v="37.44"/>
        <n v="37.73"/>
        <n v="38.04"/>
      </sharedItems>
    </cacheField>
    <cacheField name="Access to electricity (% of population)" numFmtId="0">
      <sharedItems containsSemiMixedTypes="0" containsString="0" containsNumber="1">
        <n v="4.4"/>
        <n v="9.3"/>
        <n v="14.1"/>
        <n v="19.0"/>
        <n v="23.8"/>
        <n v="28.7"/>
        <n v="33.5"/>
        <n v="38.4"/>
        <n v="42.4"/>
        <n v="48.3"/>
        <n v="42.7"/>
        <n v="43.2"/>
        <n v="69.1"/>
        <n v="68.0"/>
        <n v="89.5"/>
        <n v="71.5"/>
        <n v="97.7"/>
        <n v="93.4"/>
        <n v="85.3"/>
        <n v="73.2"/>
        <n v="31.2"/>
        <n v="40.2"/>
        <n v="44.1"/>
        <n v="41.1"/>
        <n v="51.9"/>
        <n v="59.8"/>
        <n v="59.7"/>
        <n v="71.8"/>
        <n v="67.6"/>
        <n v="73.3"/>
        <n v="81.8"/>
        <n v="91.5"/>
        <n v="87.4"/>
        <n v="91.4"/>
        <n v="95.4"/>
        <n v="99.3"/>
        <n v="100.0"/>
        <n v="32.0"/>
        <n v="35.0"/>
        <n v="37.8"/>
        <n v="40.5"/>
        <n v="40.6"/>
        <n v="44.2"/>
        <n v="50.5"/>
        <n v="46.5"/>
        <n v="54.3"/>
        <n v="57.1"/>
        <n v="55.3"/>
        <n v="59.6"/>
        <n v="65.5"/>
        <n v="61.5"/>
        <n v="62.4"/>
        <n v="74.0"/>
        <n v="75.9"/>
        <n v="88.0"/>
        <n v="86.9"/>
        <n v="92.2"/>
        <n v="96.2"/>
        <n v="99.0"/>
        <n v="99.4"/>
        <n v="60.3"/>
        <n v="62.0"/>
        <n v="62.3"/>
        <n v="65.4"/>
        <n v="64.4"/>
        <n v="68.8"/>
        <n v="67.9"/>
        <n v="72.3"/>
        <n v="74.1"/>
        <n v="75.0"/>
        <n v="76.3"/>
        <n v="79.5"/>
        <n v="79.9"/>
        <n v="83.1"/>
        <n v="85.1"/>
        <n v="89.6"/>
        <n v="91.8"/>
        <n v="95.7"/>
        <n v="95.9"/>
        <n v="96.5"/>
        <n v="99.6"/>
        <n v="99.2"/>
        <n v="83.8"/>
        <n v="87.5"/>
        <n v="88.3"/>
        <n v="89.1"/>
        <n v="90.0"/>
        <n v="90.9"/>
        <n v="91.7"/>
        <n v="92.6"/>
        <n v="93.6"/>
        <n v="99.9"/>
        <n v="99.1"/>
        <n v="99.8"/>
        <n v="70.3"/>
        <n v="63.6"/>
        <n v="80.7"/>
        <n v="76.5"/>
        <n v="78.1"/>
        <n v="82.1"/>
        <n v="80.0"/>
        <n v="82.9"/>
        <n v="87.1"/>
        <n v="87.8"/>
        <n v="87.0"/>
        <n v="90.2"/>
        <n v="92.7"/>
        <n v="94.3"/>
        <n v="97.5"/>
        <n v="29.9"/>
        <n v="24.6"/>
        <n v="36.4"/>
        <n v="39.6"/>
        <n v="37.2"/>
        <n v="46.1"/>
        <n v="51.2"/>
        <n v="52.6"/>
        <n v="56.0"/>
        <n v="59.3"/>
        <n v="68.6"/>
        <n v="67.3"/>
        <n v="75.2"/>
        <n v="77.4"/>
        <n v="84.9"/>
        <n v="82.0"/>
        <n v="90.7"/>
        <n v="86.6"/>
        <n v="93.9"/>
        <n v="89.9"/>
        <n v="91.3"/>
        <n v="72.8"/>
        <n v="73.9"/>
        <n v="74.9"/>
        <n v="76.0"/>
        <n v="77.0"/>
        <n v="79.1"/>
        <n v="80.2"/>
        <n v="81.4"/>
        <n v="82.5"/>
        <n v="88.6"/>
        <n v="89.3"/>
        <n v="90.1"/>
        <n v="91.0"/>
        <n v="94.5"/>
        <n v="94.9"/>
        <n v="95.0"/>
      </sharedItems>
    </cacheField>
    <cacheField name="People using at least basic drinking water services (% of population)" numFmtId="0">
      <sharedItems containsSemiMixedTypes="0" containsString="0" containsNumber="1">
        <n v="27.44"/>
        <n v="27.47"/>
        <n v="29.67"/>
        <n v="31.88"/>
        <n v="34.09"/>
        <n v="36.33"/>
        <n v="38.57"/>
        <n v="41.08"/>
        <n v="43.63"/>
        <n v="46.21"/>
        <n v="48.83"/>
        <n v="51.47"/>
        <n v="54.15"/>
        <n v="56.86"/>
        <n v="59.6"/>
        <n v="62.37"/>
        <n v="65.17"/>
        <n v="68.01"/>
        <n v="70.88"/>
        <n v="73.78"/>
        <n v="76.72"/>
        <n v="79.69"/>
        <n v="82.18"/>
        <n v="82.3"/>
        <n v="82.36"/>
        <n v="83.47"/>
        <n v="84.62"/>
        <n v="85.75"/>
        <n v="86.87"/>
        <n v="87.96"/>
        <n v="88.98"/>
        <n v="89.99"/>
        <n v="90.98"/>
        <n v="91.96"/>
        <n v="92.92"/>
        <n v="93.87"/>
        <n v="94.8"/>
        <n v="95.71"/>
        <n v="96.61"/>
        <n v="97.49"/>
        <n v="98.19"/>
        <n v="98.66"/>
        <n v="98.76"/>
        <n v="98.87"/>
        <n v="98.98"/>
        <n v="99.13"/>
        <n v="94.82"/>
        <n v="94.99"/>
        <n v="95.17"/>
        <n v="95.35"/>
        <n v="95.53"/>
        <n v="95.88"/>
        <n v="96.06"/>
        <n v="96.23"/>
        <n v="96.39"/>
        <n v="96.55"/>
        <n v="96.71"/>
        <n v="96.86"/>
        <n v="97.01"/>
        <n v="97.16"/>
        <n v="97.3"/>
        <n v="97.44"/>
        <n v="97.57"/>
        <n v="97.7"/>
        <n v="97.83"/>
        <n v="97.95"/>
        <n v="98.03"/>
        <n v="98.1"/>
        <n v="79.88"/>
        <n v="80.49"/>
        <n v="81.13"/>
        <n v="81.77"/>
        <n v="82.4"/>
        <n v="83.04"/>
        <n v="83.67"/>
        <n v="84.29"/>
        <n v="84.91"/>
        <n v="85.53"/>
        <n v="86.15"/>
        <n v="86.76"/>
        <n v="87.37"/>
        <n v="87.98"/>
        <n v="88.59"/>
        <n v="89.19"/>
        <n v="89.79"/>
        <n v="90.38"/>
        <n v="90.97"/>
        <n v="91.56"/>
        <n v="92.15"/>
        <n v="92.72"/>
        <n v="93.3"/>
        <n v="93.82"/>
        <n v="94.2"/>
        <n v="94.58"/>
        <n v="94.95"/>
        <n v="95.31"/>
        <n v="95.66"/>
        <n v="95.99"/>
        <n v="96.3"/>
        <n v="96.63"/>
        <n v="96.95"/>
        <n v="97.27"/>
        <n v="97.58"/>
        <n v="97.9"/>
        <n v="98.21"/>
        <n v="98.51"/>
        <n v="98.81"/>
        <n v="99.11"/>
        <n v="99.41"/>
        <n v="99.5"/>
        <n v="99.53"/>
        <n v="99.54"/>
        <n v="99.56"/>
        <n v="82.85"/>
        <n v="83.13"/>
        <n v="83.42"/>
        <n v="83.71"/>
        <n v="84.0"/>
        <n v="84.58"/>
        <n v="84.87"/>
        <n v="85.15"/>
        <n v="85.44"/>
        <n v="85.73"/>
        <n v="86.02"/>
        <n v="86.31"/>
        <n v="86.6"/>
        <n v="86.9"/>
        <n v="87.19"/>
        <n v="87.49"/>
        <n v="87.79"/>
        <n v="88.09"/>
        <n v="88.39"/>
        <n v="88.7"/>
        <n v="89.0"/>
        <n v="89.31"/>
        <n v="79.67"/>
        <n v="80.33"/>
        <n v="80.94"/>
        <n v="81.54"/>
        <n v="82.14"/>
        <n v="82.73"/>
        <n v="83.32"/>
        <n v="83.9"/>
        <n v="84.47"/>
        <n v="85.03"/>
        <n v="85.59"/>
        <n v="86.14"/>
        <n v="86.69"/>
        <n v="87.22"/>
        <n v="87.75"/>
        <n v="88.28"/>
        <n v="88.79"/>
        <n v="89.3"/>
        <n v="89.8"/>
        <n v="90.29"/>
        <n v="90.77"/>
        <n v="91.24"/>
        <n v="87.36"/>
        <n v="87.6"/>
        <n v="87.84"/>
        <n v="88.07"/>
        <n v="88.31"/>
        <n v="87.99"/>
        <n v="88.14"/>
        <n v="88.48"/>
        <n v="88.64"/>
        <n v="88.8"/>
        <n v="88.97"/>
        <n v="89.12"/>
        <n v="89.28"/>
        <n v="89.44"/>
        <n v="89.59"/>
        <n v="89.74"/>
        <n v="89.89"/>
        <n v="90.04"/>
        <n v="90.19"/>
        <n v="90.34"/>
        <n v="90.48"/>
        <n v="90.63"/>
      </sharedItems>
    </cacheField>
    <cacheField name="People using at least basic sanitation services (% of population)" numFmtId="0">
      <sharedItems containsSemiMixedTypes="0" containsString="0" containsNumber="1">
        <n v="20.97"/>
        <n v="20.98"/>
        <n v="22.54"/>
        <n v="24.1"/>
        <n v="25.67"/>
        <n v="27.24"/>
        <n v="28.81"/>
        <n v="30.47"/>
        <n v="32.13"/>
        <n v="33.8"/>
        <n v="35.48"/>
        <n v="37.16"/>
        <n v="38.86"/>
        <n v="40.56"/>
        <n v="42.28"/>
        <n v="44.0"/>
        <n v="45.73"/>
        <n v="47.48"/>
        <n v="49.23"/>
        <n v="51.0"/>
        <n v="52.65"/>
        <n v="54.3"/>
        <n v="55.95"/>
        <n v="55.23"/>
        <n v="46.9"/>
        <n v="47.26"/>
        <n v="49.15"/>
        <n v="51.02"/>
        <n v="52.84"/>
        <n v="54.62"/>
        <n v="56.27"/>
        <n v="57.89"/>
        <n v="59.48"/>
        <n v="61.07"/>
        <n v="62.63"/>
        <n v="64.16"/>
        <n v="65.67"/>
        <n v="67.14"/>
        <n v="68.59"/>
        <n v="70.0"/>
        <n v="71.39"/>
        <n v="72.76"/>
        <n v="74.09"/>
        <n v="75.4"/>
        <n v="76.69"/>
        <n v="77.95"/>
        <n v="77.94"/>
        <n v="24.51"/>
        <n v="26.07"/>
        <n v="27.66"/>
        <n v="29.23"/>
        <n v="30.8"/>
        <n v="32.44"/>
        <n v="34.09"/>
        <n v="35.73"/>
        <n v="37.37"/>
        <n v="39.01"/>
        <n v="40.64"/>
        <n v="42.27"/>
        <n v="43.89"/>
        <n v="45.5"/>
        <n v="47.1"/>
        <n v="48.68"/>
        <n v="50.26"/>
        <n v="51.82"/>
        <n v="53.37"/>
        <n v="54.91"/>
        <n v="56.43"/>
        <n v="57.94"/>
        <n v="59.3"/>
        <n v="14.09"/>
        <n v="16.72"/>
        <n v="19.54"/>
        <n v="22.37"/>
        <n v="25.22"/>
        <n v="28.09"/>
        <n v="30.98"/>
        <n v="33.88"/>
        <n v="36.81"/>
        <n v="39.75"/>
        <n v="42.71"/>
        <n v="45.68"/>
        <n v="51.69"/>
        <n v="54.73"/>
        <n v="57.78"/>
        <n v="60.84"/>
        <n v="63.83"/>
        <n v="66.75"/>
        <n v="69.66"/>
        <n v="72.58"/>
        <n v="75.48"/>
        <n v="78.39"/>
        <n v="74.85"/>
        <n v="76.26"/>
        <n v="77.65"/>
        <n v="79.02"/>
        <n v="80.37"/>
        <n v="81.69"/>
        <n v="82.95"/>
        <n v="84.07"/>
        <n v="85.33"/>
        <n v="86.59"/>
        <n v="87.84"/>
        <n v="89.08"/>
        <n v="90.32"/>
        <n v="91.56"/>
        <n v="92.79"/>
        <n v="93.97"/>
        <n v="95.06"/>
        <n v="96.14"/>
        <n v="97.21"/>
        <n v="98.27"/>
        <n v="99.16"/>
        <n v="99.7"/>
        <n v="76.77"/>
        <n v="77.57"/>
        <n v="78.37"/>
        <n v="79.17"/>
        <n v="79.98"/>
        <n v="80.79"/>
        <n v="81.6"/>
        <n v="82.42"/>
        <n v="83.24"/>
        <n v="84.06"/>
        <n v="84.89"/>
        <n v="85.72"/>
        <n v="86.55"/>
        <n v="87.39"/>
        <n v="88.23"/>
        <n v="89.92"/>
        <n v="90.77"/>
        <n v="91.63"/>
        <n v="92.49"/>
        <n v="93.35"/>
        <n v="94.22"/>
        <n v="95.09"/>
        <n v="13.96"/>
        <n v="16.51"/>
        <n v="19.08"/>
        <n v="21.71"/>
        <n v="24.41"/>
        <n v="27.18"/>
        <n v="30.02"/>
        <n v="32.93"/>
        <n v="35.9"/>
        <n v="38.94"/>
        <n v="42.05"/>
        <n v="45.22"/>
        <n v="48.46"/>
        <n v="51.76"/>
        <n v="55.12"/>
        <n v="58.55"/>
        <n v="62.04"/>
        <n v="65.6"/>
        <n v="69.21"/>
        <n v="72.88"/>
        <n v="76.61"/>
        <n v="80.4"/>
        <n v="80.39"/>
        <n v="30.91"/>
        <n v="32.81"/>
        <n v="34.7"/>
        <n v="36.6"/>
        <n v="38.48"/>
        <n v="40.36"/>
        <n v="42.21"/>
        <n v="44.06"/>
        <n v="45.89"/>
        <n v="47.71"/>
        <n v="49.52"/>
        <n v="51.33"/>
        <n v="53.12"/>
        <n v="54.9"/>
        <n v="56.67"/>
        <n v="58.43"/>
        <n v="60.19"/>
        <n v="61.93"/>
        <n v="63.66"/>
        <n v="65.39"/>
        <n v="67.11"/>
        <n v="68.82"/>
        <n v="70.53"/>
      </sharedItems>
    </cacheField>
    <cacheField name="Carbon dioxide (CO2) emissions excluding LULUCF per capita (t CO2e/capita)" numFmtId="0">
      <sharedItems containsSemiMixedTypes="0" containsString="0" containsNumber="1">
        <n v="0.05"/>
        <n v="0.04"/>
        <n v="0.06"/>
        <n v="0.08"/>
        <n v="0.15"/>
        <n v="0.24"/>
        <n v="0.29"/>
        <n v="0.4"/>
        <n v="0.33"/>
        <n v="0.28"/>
        <n v="0.25"/>
        <n v="0.26"/>
        <n v="0.23"/>
        <n v="0.22"/>
        <n v="0.2"/>
        <n v="0.14"/>
        <n v="1.05"/>
        <n v="0.72"/>
        <n v="0.75"/>
        <n v="0.79"/>
        <n v="0.8"/>
        <n v="0.84"/>
        <n v="0.85"/>
        <n v="0.88"/>
        <n v="1.19"/>
        <n v="1.31"/>
        <n v="1.57"/>
        <n v="1.49"/>
        <n v="1.54"/>
        <n v="1.56"/>
        <n v="1.8"/>
        <n v="1.94"/>
        <n v="2.1"/>
        <n v="2.4"/>
        <n v="2.61"/>
        <n v="2.0"/>
        <n v="2.18"/>
        <n v="2.19"/>
        <n v="0.21"/>
        <n v="0.27"/>
        <n v="0.3"/>
        <n v="0.31"/>
        <n v="0.35"/>
        <n v="0.37"/>
        <n v="0.42"/>
        <n v="0.45"/>
        <n v="0.47"/>
        <n v="0.49"/>
        <n v="0.54"/>
        <n v="0.58"/>
        <n v="0.62"/>
        <n v="0.67"/>
        <n v="0.65"/>
        <n v="0.6"/>
        <n v="0.64"/>
        <n v="0.94"/>
        <n v="0.96"/>
        <n v="0.97"/>
        <n v="1.03"/>
        <n v="1.11"/>
        <n v="1.25"/>
        <n v="1.34"/>
        <n v="1.41"/>
        <n v="1.47"/>
        <n v="1.59"/>
        <n v="1.61"/>
        <n v="1.72"/>
        <n v="1.71"/>
        <n v="1.88"/>
        <n v="1.84"/>
        <n v="1.66"/>
        <n v="1.9"/>
        <n v="2.48"/>
        <n v="2.47"/>
        <n v="2.07"/>
        <n v="2.6"/>
        <n v="2.37"/>
        <n v="2.82"/>
        <n v="2.7"/>
        <n v="2.84"/>
        <n v="2.93"/>
        <n v="2.96"/>
        <n v="3.12"/>
        <n v="3.79"/>
        <n v="4.09"/>
        <n v="5.32"/>
        <n v="3.74"/>
        <n v="3.91"/>
        <n v="3.97"/>
        <n v="4.39"/>
        <n v="5.02"/>
        <n v="3.98"/>
        <n v="4.16"/>
        <n v="0.61"/>
        <n v="0.68"/>
        <n v="0.73"/>
        <n v="0.7"/>
        <n v="0.66"/>
        <n v="0.76"/>
        <n v="0.92"/>
        <n v="1.1"/>
        <n v="1.09"/>
        <n v="1.01"/>
        <n v="1.08"/>
        <n v="0.12"/>
        <n v="0.13"/>
        <n v="0.11"/>
        <n v="0.1"/>
        <n v="0.18"/>
        <n v="0.39"/>
        <n v="0.48"/>
        <n v="0.51"/>
        <n v="0.52"/>
        <n v="0.71"/>
        <n v="0.69"/>
        <n v="0.81"/>
        <n v="0.83"/>
        <n v="0.78"/>
        <n v="0.77"/>
        <n v="0.9"/>
        <n v="0.93"/>
      </sharedItems>
    </cacheField>
    <cacheField name="PM2.5 air pollution, mean annual exposure (micrograms per cubic meter)" numFmtId="0">
      <sharedItems containsSemiMixedTypes="0" containsString="0" containsNumber="1">
        <n v="64.6"/>
        <n v="64.42"/>
        <n v="64.18"/>
        <n v="63.83"/>
        <n v="63.32"/>
        <n v="61.51"/>
        <n v="58.08"/>
        <n v="54.19"/>
        <n v="51.0"/>
        <n v="49.68"/>
        <n v="61.82"/>
        <n v="70.92"/>
        <n v="73.13"/>
        <n v="77.14"/>
        <n v="73.49"/>
        <n v="72.77"/>
        <n v="65.86"/>
        <n v="67.23"/>
        <n v="58.33"/>
        <n v="46.09"/>
        <n v="40.46"/>
        <n v="32.57"/>
        <n v="32.92"/>
        <n v="33.34"/>
        <n v="33.75"/>
        <n v="34.03"/>
        <n v="34.07"/>
        <n v="33.15"/>
        <n v="31.1"/>
        <n v="28.7"/>
        <n v="26.7"/>
        <n v="25.86"/>
        <n v="30.47"/>
        <n v="38.13"/>
        <n v="37.42"/>
        <n v="40.3"/>
        <n v="37.49"/>
        <n v="36.94"/>
        <n v="33.81"/>
        <n v="34.08"/>
        <n v="30.05"/>
        <n v="23.95"/>
        <n v="53.21"/>
        <n v="53.54"/>
        <n v="54.0"/>
        <n v="54.44"/>
        <n v="54.71"/>
        <n v="54.66"/>
        <n v="53.2"/>
        <n v="50.08"/>
        <n v="46.44"/>
        <n v="43.42"/>
        <n v="42.16"/>
        <n v="52.3"/>
        <n v="65.16"/>
        <n v="64.38"/>
        <n v="68.33"/>
        <n v="64.11"/>
        <n v="63.68"/>
        <n v="58.34"/>
        <n v="59.51"/>
        <n v="50.36"/>
        <n v="42.38"/>
        <n v="61.91"/>
        <n v="62.37"/>
        <n v="62.77"/>
        <n v="62.95"/>
        <n v="61.2"/>
        <n v="58.02"/>
        <n v="54.37"/>
        <n v="51.35"/>
        <n v="50.1"/>
        <n v="61.71"/>
        <n v="74.0"/>
        <n v="76.25"/>
        <n v="79.04"/>
        <n v="73.81"/>
        <n v="75.79"/>
        <n v="67.31"/>
        <n v="68.12"/>
        <n v="59.89"/>
        <n v="48.39"/>
        <n v="16.81"/>
        <n v="16.57"/>
        <n v="16.43"/>
        <n v="16.33"/>
        <n v="16.2"/>
        <n v="16.01"/>
        <n v="15.71"/>
        <n v="15.32"/>
        <n v="14.81"/>
        <n v="14.19"/>
        <n v="13.45"/>
        <n v="12.07"/>
        <n v="12.97"/>
        <n v="13.24"/>
        <n v="11.73"/>
        <n v="10.81"/>
        <n v="12.38"/>
        <n v="11.33"/>
        <n v="12.5"/>
        <n v="12.31"/>
        <n v="12.01"/>
        <n v="26.66"/>
        <n v="26.72"/>
        <n v="26.65"/>
        <n v="26.49"/>
        <n v="26.25"/>
        <n v="25.24"/>
        <n v="24.4"/>
        <n v="23.34"/>
        <n v="22.05"/>
        <n v="19.31"/>
        <n v="20.91"/>
        <n v="21.97"/>
        <n v="19.78"/>
        <n v="17.91"/>
        <n v="19.52"/>
        <n v="18.35"/>
        <n v="20.85"/>
        <n v="19.96"/>
        <n v="57.91"/>
        <n v="58.28"/>
        <n v="58.77"/>
        <n v="59.24"/>
        <n v="59.55"/>
        <n v="59.59"/>
        <n v="58.32"/>
        <n v="55.53"/>
        <n v="52.25"/>
        <n v="49.52"/>
        <n v="48.38"/>
        <n v="57.74"/>
        <n v="71.41"/>
        <n v="71.42"/>
        <n v="75.12"/>
        <n v="70.94"/>
        <n v="72.41"/>
        <n v="64.64"/>
        <n v="64.21"/>
        <n v="57.28"/>
        <n v="45.72"/>
        <n v="59.16"/>
        <n v="59.26"/>
        <n v="59.35"/>
        <n v="59.37"/>
        <n v="59.27"/>
        <n v="58.99"/>
        <n v="57.45"/>
        <n v="54.34"/>
        <n v="50.75"/>
        <n v="47.8"/>
        <n v="46.57"/>
        <n v="55.75"/>
        <n v="66.87"/>
        <n v="68.58"/>
        <n v="71.71"/>
        <n v="68.01"/>
        <n v="68.52"/>
        <n v="61.8"/>
        <n v="62.39"/>
        <n v="52.86"/>
        <n v="43.0"/>
      </sharedItems>
    </cacheField>
    <cacheField name="Renewable energy consumption (% of total final energy consumption)" numFmtId="0">
      <sharedItems containsSemiMixedTypes="0" containsString="0" containsNumber="1">
        <n v="45.0"/>
        <n v="45.6"/>
        <n v="37.8"/>
        <n v="36.7"/>
        <n v="44.2"/>
        <n v="33.9"/>
        <n v="31.9"/>
        <n v="28.8"/>
        <n v="21.2"/>
        <n v="16.5"/>
        <n v="15.2"/>
        <n v="12.6"/>
        <n v="15.4"/>
        <n v="16.9"/>
        <n v="19.1"/>
        <n v="17.7"/>
        <n v="20.2"/>
        <n v="19.5"/>
        <n v="18.3"/>
        <n v="18.9"/>
        <n v="18.2"/>
        <n v="20.0"/>
        <n v="44.0"/>
        <n v="91.4"/>
        <n v="90.2"/>
        <n v="89.7"/>
        <n v="90.9"/>
        <n v="88.7"/>
        <n v="91.6"/>
        <n v="92.0"/>
        <n v="87.8"/>
        <n v="84.8"/>
        <n v="84.9"/>
        <n v="82.8"/>
        <n v="81.7"/>
        <n v="82.1"/>
        <n v="81.6"/>
        <n v="80.8"/>
        <n v="79.7"/>
        <n v="80.0"/>
        <n v="81.0"/>
        <n v="83.9"/>
        <n v="81.8"/>
        <n v="82.5"/>
        <n v="60.2"/>
        <n v="55.9"/>
        <n v="54.4"/>
        <n v="52.6"/>
        <n v="52.0"/>
        <n v="50.6"/>
        <n v="48.6"/>
        <n v="47.2"/>
        <n v="45.2"/>
        <n v="43.1"/>
        <n v="40.3"/>
        <n v="38.4"/>
        <n v="37.3"/>
        <n v="37.0"/>
        <n v="35.4"/>
        <n v="33.1"/>
        <n v="30.2"/>
        <n v="28.1"/>
        <n v="27.0"/>
        <n v="26.1"/>
        <n v="27.2"/>
        <n v="25.0"/>
        <n v="46.9"/>
        <n v="47.1"/>
        <n v="45.8"/>
        <n v="44.9"/>
        <n v="43.2"/>
        <n v="41.5"/>
        <n v="39.4"/>
        <n v="37.4"/>
        <n v="36.2"/>
        <n v="35.0"/>
        <n v="34.8"/>
        <n v="34.9"/>
        <n v="33.4"/>
        <n v="33.0"/>
        <n v="32.5"/>
        <n v="32.9"/>
        <n v="33.5"/>
        <n v="36.1"/>
        <n v="2.3"/>
        <n v="1.8"/>
        <n v="2.2"/>
        <n v="1.7"/>
        <n v="2.0"/>
        <n v="1.6"/>
        <n v="1.5"/>
        <n v="1.4"/>
        <n v="1.3"/>
        <n v="1.2"/>
        <n v="64.2"/>
        <n v="62.9"/>
        <n v="62.1"/>
        <n v="61.3"/>
        <n v="61.6"/>
        <n v="60.1"/>
        <n v="62.2"/>
        <n v="63.5"/>
        <n v="61.9"/>
        <n v="56.4"/>
        <n v="52.9"/>
        <n v="56.9"/>
        <n v="54.2"/>
        <n v="51.3"/>
        <n v="45.1"/>
        <n v="47.9"/>
        <n v="46.1"/>
        <n v="49.3"/>
        <n v="48.8"/>
        <n v="88.3"/>
        <n v="90.0"/>
        <n v="89.4"/>
        <n v="90.3"/>
        <n v="89.5"/>
        <n v="91.2"/>
        <n v="91.3"/>
        <n v="90.5"/>
        <n v="88.9"/>
        <n v="87.3"/>
        <n v="87.0"/>
        <n v="84.7"/>
        <n v="86.0"/>
        <n v="84.0"/>
        <n v="85.2"/>
        <n v="79.4"/>
        <n v="76.8"/>
        <n v="75.0"/>
        <n v="78.2"/>
        <n v="73.1"/>
        <n v="73.7"/>
        <n v="51.0"/>
        <n v="51.5"/>
        <n v="51.4"/>
        <n v="50.1"/>
        <n v="48.0"/>
        <n v="47.0"/>
        <n v="46.6"/>
        <n v="46.4"/>
        <n v="47.4"/>
        <n v="46.8"/>
        <n v="48.1"/>
        <n v="45.9"/>
        <n v="43.7"/>
        <n v="42.1"/>
        <n v="43.4"/>
        <n v="42.7"/>
        <n v="41.6"/>
      </sharedItems>
    </cacheField>
    <cacheField name="Forest area (% of land area)" numFmtId="0">
      <sharedItems containsSemiMixedTypes="0" containsString="0" containsNumber="1">
        <n v="1.85"/>
        <n v="22.14"/>
        <n v="65.48"/>
        <n v="65.73"/>
        <n v="65.98"/>
        <n v="66.23"/>
        <n v="69.41"/>
        <n v="69.67"/>
        <n v="69.93"/>
        <n v="70.19"/>
        <n v="70.45"/>
        <n v="70.71"/>
        <n v="70.97"/>
        <n v="71.03"/>
        <n v="71.08"/>
        <n v="71.13"/>
        <n v="71.18"/>
        <n v="71.23"/>
        <n v="71.29"/>
        <n v="71.35"/>
        <n v="71.4"/>
        <n v="71.45"/>
        <n v="71.5"/>
        <n v="14.75"/>
        <n v="14.73"/>
        <n v="14.7"/>
        <n v="14.68"/>
        <n v="14.65"/>
        <n v="14.63"/>
        <n v="14.61"/>
        <n v="14.58"/>
        <n v="14.56"/>
        <n v="14.53"/>
        <n v="14.51"/>
        <n v="14.5"/>
        <n v="14.49"/>
        <n v="14.48"/>
        <n v="14.47"/>
        <n v="22.73"/>
        <n v="22.8"/>
        <n v="22.86"/>
        <n v="22.93"/>
        <n v="22.99"/>
        <n v="23.05"/>
        <n v="23.12"/>
        <n v="23.18"/>
        <n v="23.25"/>
        <n v="23.31"/>
        <n v="23.37"/>
        <n v="23.46"/>
        <n v="23.55"/>
        <n v="23.64"/>
        <n v="23.73"/>
        <n v="23.82"/>
        <n v="23.91"/>
        <n v="24.0"/>
        <n v="24.09"/>
        <n v="24.18"/>
        <n v="24.27"/>
        <n v="24.36"/>
        <n v="2.73"/>
        <n v="34.55"/>
        <n v="34.45"/>
        <n v="34.35"/>
        <n v="34.25"/>
        <n v="34.15"/>
        <n v="34.05"/>
        <n v="33.95"/>
        <n v="33.85"/>
        <n v="33.75"/>
        <n v="33.65"/>
        <n v="33.55"/>
        <n v="33.63"/>
        <n v="33.71"/>
        <n v="33.79"/>
        <n v="33.87"/>
        <n v="34.4"/>
        <n v="34.34"/>
        <n v="34.29"/>
        <n v="34.26"/>
        <n v="34.21"/>
        <n v="34.16"/>
        <n v="34.11"/>
        <n v="40.33"/>
        <n v="40.45"/>
        <n v="40.58"/>
        <n v="40.71"/>
        <n v="40.83"/>
        <n v="40.96"/>
        <n v="41.08"/>
        <n v="41.21"/>
        <n v="41.34"/>
        <n v="41.46"/>
        <n v="41.59"/>
        <n v="5.85"/>
        <n v="5.8"/>
        <n v="5.74"/>
        <n v="5.69"/>
        <n v="5.64"/>
        <n v="5.58"/>
        <n v="5.53"/>
        <n v="5.47"/>
        <n v="5.42"/>
        <n v="5.36"/>
        <n v="5.31"/>
        <n v="5.27"/>
        <n v="5.23"/>
        <n v="5.19"/>
        <n v="5.14"/>
        <n v="5.1"/>
        <n v="5.02"/>
        <n v="4.99"/>
        <n v="4.94"/>
        <n v="4.89"/>
        <n v="4.83"/>
        <n v="4.78"/>
      </sharedItems>
    </cacheField>
    <cacheField name="Control of Corruption: Percentile Rank" numFmtId="0">
      <sharedItems containsSemiMixedTypes="0" containsString="0" containsNumber="1">
        <n v="4.787233829"/>
        <n v="33.95"/>
        <n v="4.761904716"/>
        <n v="6.403940678"/>
        <n v="1.463414669"/>
        <n v="1.951219559"/>
        <n v="0.970873773"/>
        <n v="0.485436887"/>
        <n v="0.95693779"/>
        <n v="0.952380955"/>
        <n v="0.473933637"/>
        <n v="1.421800971"/>
        <n v="0.947867274"/>
        <n v="5.288461685"/>
        <n v="5.714285851"/>
        <n v="3.809523821"/>
        <n v="12.38095284"/>
        <n v="12.26415062"/>
        <n v="71.27659607"/>
        <n v="70.89946747"/>
        <n v="82.01058197"/>
        <n v="80.78817749"/>
        <n v="79.02439117"/>
        <n v="77.56097412"/>
        <n v="78.1553421"/>
        <n v="78.64077759"/>
        <n v="79.42583466"/>
        <n v="79.52381134"/>
        <n v="77.25118256"/>
        <n v="79.14691925"/>
        <n v="88.46154022"/>
        <n v="80.95237732"/>
        <n v="81.42857361"/>
        <n v="90.95237732"/>
        <n v="91.42857361"/>
        <n v="93.33333588"/>
        <n v="90.47618866"/>
        <n v="90.09433746"/>
        <n v="6.914893627"/>
        <n v="1.587301612"/>
        <n v="0.529100537"/>
        <n v="0.985221684"/>
        <n v="2.926829338"/>
        <n v="13.5922327"/>
        <n v="15.04854393"/>
        <n v="14.83253574"/>
        <n v="14.76190472"/>
        <n v="13.74407578"/>
        <n v="20.85308075"/>
        <n v="21.32701492"/>
        <n v="18.75"/>
        <n v="21.90476227"/>
        <n v="18.5714283"/>
        <n v="17.1428566"/>
        <n v="16.19047546"/>
        <n v="18.09523773"/>
        <n v="15.56603813"/>
        <n v="43.61701965"/>
        <n v="36.50793839"/>
        <n v="40.74074173"/>
        <n v="37.93103409"/>
        <n v="44.87804794"/>
        <n v="47.31707382"/>
        <n v="41.26213455"/>
        <n v="43.68931961"/>
        <n v="39.23445129"/>
        <n v="39.04761887"/>
        <n v="35.54502487"/>
        <n v="36.4928894"/>
        <n v="36.96682358"/>
        <n v="39.90384674"/>
        <n v="42.8571434"/>
        <n v="43.80952454"/>
        <n v="45.7142868"/>
        <n v="47.61904907"/>
        <n v="44.76190567"/>
        <n v="45.23809433"/>
        <n v="44.3396225"/>
        <n v="47.3404274"/>
        <n v="52.38095093"/>
        <n v="57.1428566"/>
        <n v="46.79803085"/>
        <n v="41.46341324"/>
        <n v="32.68292618"/>
        <n v="19.90291214"/>
        <n v="21.35922241"/>
        <n v="28.7081337"/>
        <n v="36.66666794"/>
        <n v="35.0710907"/>
        <n v="27.96208572"/>
        <n v="25.11848259"/>
        <n v="44.71154022"/>
        <n v="38.57143021"/>
        <n v="31.4285717"/>
        <n v="22.38095284"/>
        <n v="46.66666794"/>
        <n v="43.33333206"/>
        <n v="41.42856979"/>
        <n v="39.62264252"/>
        <n v="50.0"/>
        <n v="50.26454926"/>
        <n v="50.73891449"/>
        <n v="46.82926941"/>
        <n v="51.21951294"/>
        <n v="52.91262054"/>
        <n v="50.48543549"/>
        <n v="42.5837326"/>
        <n v="41.90476227"/>
        <n v="42.65402985"/>
        <n v="50.23696518"/>
        <n v="52.13270187"/>
        <n v="45.67307663"/>
        <n v="44.2857132"/>
        <n v="39.52381134"/>
        <n v="42.38095093"/>
        <n v="40.09434128"/>
        <n v="36.70212936"/>
        <n v="40.2116394"/>
        <n v="34.92063522"/>
        <n v="18.22660065"/>
        <n v="23.90243912"/>
        <n v="28.78048706"/>
        <n v="23.30097008"/>
        <n v="21.84465981"/>
        <n v="26.31579018"/>
        <n v="27.1428566"/>
        <n v="23.22274971"/>
        <n v="22.74881554"/>
        <n v="28.90995216"/>
        <n v="33.17307663"/>
        <n v="32.38095093"/>
        <n v="23.80952454"/>
        <n v="29.04761887"/>
        <n v="33.96226501"/>
        <n v="22.87234116"/>
        <n v="20.1058197"/>
        <n v="24.33862495"/>
        <n v="10.83743858"/>
        <n v="14.63414669"/>
        <n v="22.43902397"/>
        <n v="19.41747665"/>
        <n v="13.87559795"/>
        <n v="13.80952358"/>
        <n v="15.16587639"/>
        <n v="14.21800995"/>
        <n v="17.06161118"/>
        <n v="23.07692337"/>
        <n v="17.61904716"/>
        <n v="24.2857151"/>
        <n v="20.95238113"/>
        <n v="23.33333397"/>
        <n v="22.64151001"/>
      </sharedItems>
    </cacheField>
    <cacheField name="Political Stability and Absence of Violence/Terrorism: Estimate" numFmtId="0">
      <sharedItems containsSemiMixedTypes="0" containsString="0" containsNumber="1">
        <n v="-2.44"/>
        <n v="-0.69"/>
        <n v="-2.04"/>
        <n v="-2.2"/>
        <n v="-2.3"/>
        <n v="-2.07"/>
        <n v="-2.22"/>
        <n v="-2.41"/>
        <n v="-2.69"/>
        <n v="-2.71"/>
        <n v="-2.58"/>
        <n v="-2.5"/>
        <n v="-2.42"/>
        <n v="-2.52"/>
        <n v="-2.56"/>
        <n v="-2.66"/>
        <n v="-2.79"/>
        <n v="-2.75"/>
        <n v="-2.65"/>
        <n v="-2.7"/>
        <n v="-2.55"/>
        <n v="0.49"/>
        <n v="0.69"/>
        <n v="0.92"/>
        <n v="1.17"/>
        <n v="1.28"/>
        <n v="1.26"/>
        <n v="0.57"/>
        <n v="0.72"/>
        <n v="0.8"/>
        <n v="0.74"/>
        <n v="0.83"/>
        <n v="0.78"/>
        <n v="1.07"/>
        <n v="0.96"/>
        <n v="1.11"/>
        <n v="1.1"/>
        <n v="1.08"/>
        <n v="1.01"/>
        <n v="0.86"/>
        <n v="-0.73"/>
        <n v="-1.03"/>
        <n v="-1.12"/>
        <n v="-1.36"/>
        <n v="-1.86"/>
        <n v="-1.51"/>
        <n v="-1.54"/>
        <n v="-1.55"/>
        <n v="-1.43"/>
        <n v="-1.4"/>
        <n v="-1.38"/>
        <n v="-1.63"/>
        <n v="-0.9"/>
        <n v="-1.21"/>
        <n v="-1.26"/>
        <n v="-1.25"/>
        <n v="-0.99"/>
        <n v="-0.93"/>
        <n v="-0.92"/>
        <n v="-1.04"/>
        <n v="-1.09"/>
        <n v="-1.0"/>
        <n v="-1.28"/>
        <n v="-1.01"/>
        <n v="-1.07"/>
        <n v="-1.15"/>
        <n v="-1.11"/>
        <n v="-1.33"/>
        <n v="-1.29"/>
        <n v="-1.23"/>
        <n v="-0.95"/>
        <n v="-0.96"/>
        <n v="-0.77"/>
        <n v="-0.8"/>
        <n v="-0.84"/>
        <n v="-0.57"/>
        <n v="1.18"/>
        <n v="1.03"/>
        <n v="0.5"/>
        <n v="0.81"/>
        <n v="0.76"/>
        <n v="0.08"/>
        <n v="-0.16"/>
        <n v="-0.23"/>
        <n v="-0.17"/>
        <n v="-0.24"/>
        <n v="-0.37"/>
        <n v="0.13"/>
        <n v="0.68"/>
        <n v="0.41"/>
        <n v="0.22"/>
        <n v="0.03"/>
        <n v="0.36"/>
        <n v="0.53"/>
        <n v="0.67"/>
        <n v="-1.9"/>
        <n v="-0.78"/>
        <n v="-0.83"/>
        <n v="-1.42"/>
        <n v="-1.75"/>
        <n v="-1.8"/>
        <n v="-1.34"/>
        <n v="-0.94"/>
        <n v="-0.72"/>
        <n v="-0.61"/>
        <n v="-0.33"/>
        <n v="-0.01"/>
        <n v="-0.08"/>
        <n v="-0.14"/>
        <n v="-0.22"/>
        <n v="-0.09"/>
        <n v="-0.38"/>
        <n v="-0.79"/>
        <n v="-0.88"/>
      </sharedItems>
    </cacheField>
    <cacheField name="Regulatory Quality: Estimate" numFmtId="0">
      <sharedItems containsSemiMixedTypes="0" containsString="0" containsNumber="1">
        <n v="-2.08"/>
        <n v="-0.58"/>
        <n v="-1.81"/>
        <n v="-1.46"/>
        <n v="-1.51"/>
        <n v="-1.64"/>
        <n v="-1.69"/>
        <n v="-1.71"/>
        <n v="-1.61"/>
        <n v="-1.66"/>
        <n v="-1.52"/>
        <n v="-1.54"/>
        <n v="-1.19"/>
        <n v="-1.12"/>
        <n v="-1.02"/>
        <n v="-1.34"/>
        <n v="-1.37"/>
        <n v="-1.14"/>
        <n v="-1.11"/>
        <n v="-1.39"/>
        <n v="-1.31"/>
        <n v="-1.27"/>
        <n v="-0.43"/>
        <n v="-0.51"/>
        <n v="-0.05"/>
        <n v="-0.92"/>
        <n v="-0.29"/>
        <n v="-0.71"/>
        <n v="-0.77"/>
        <n v="-1.07"/>
        <n v="-1.16"/>
        <n v="-1.15"/>
        <n v="-1.09"/>
        <n v="-1.01"/>
        <n v="-0.74"/>
        <n v="-0.69"/>
        <n v="-0.34"/>
        <n v="-0.38"/>
        <n v="-0.36"/>
        <n v="-0.33"/>
        <n v="-0.41"/>
        <n v="-0.94"/>
        <n v="-1.06"/>
        <n v="-1.04"/>
        <n v="-1.18"/>
        <n v="-1.08"/>
        <n v="-0.95"/>
        <n v="-0.91"/>
        <n v="-0.87"/>
        <n v="-0.86"/>
        <n v="-0.82"/>
        <n v="-0.96"/>
        <n v="-0.81"/>
        <n v="-0.83"/>
        <n v="-0.85"/>
        <n v="-0.93"/>
        <n v="-0.16"/>
        <n v="-0.28"/>
        <n v="-0.31"/>
        <n v="-0.35"/>
        <n v="-0.48"/>
        <n v="-0.42"/>
        <n v="-0.26"/>
        <n v="-0.23"/>
        <n v="-0.15"/>
        <n v="-0.13"/>
        <n v="-0.09"/>
        <n v="0.99"/>
        <n v="0.94"/>
        <n v="0.93"/>
        <n v="-0.02"/>
        <n v="0.52"/>
        <n v="0.41"/>
        <n v="0.06"/>
        <n v="-0.37"/>
        <n v="-0.4"/>
        <n v="-0.46"/>
        <n v="-0.5"/>
        <n v="-0.44"/>
        <n v="-0.53"/>
        <n v="-0.55"/>
        <n v="-0.59"/>
        <n v="-0.61"/>
        <n v="-0.66"/>
        <n v="0.16"/>
        <n v="0.12"/>
        <n v="0.03"/>
        <n v="-0.08"/>
        <n v="-0.27"/>
        <n v="-0.3"/>
        <n v="-0.39"/>
        <n v="-0.25"/>
        <n v="-0.17"/>
        <n v="-0.11"/>
        <n v="-0.06"/>
        <n v="-0.12"/>
        <n v="-0.22"/>
        <n v="-0.65"/>
        <n v="-0.52"/>
        <n v="-0.72"/>
        <n v="-0.76"/>
        <n v="-0.73"/>
        <n v="-0.79"/>
        <n v="-0.78"/>
        <n v="-0.64"/>
        <n v="-0.88"/>
        <n v="-1.05"/>
        <n v="-0.54"/>
        <n v="-0.6"/>
        <n v="-0.67"/>
        <n v="-0.89"/>
      </sharedItems>
    </cacheField>
    <cacheField name="Rule of Law: Estimate" numFmtId="0">
      <sharedItems containsSemiMixedTypes="0" containsString="0" containsNumber="1">
        <n v="-1.78"/>
        <n v="-0.89"/>
        <n v="-1.67"/>
        <n v="-1.56"/>
        <n v="-1.69"/>
        <n v="-1.66"/>
        <n v="-1.88"/>
        <n v="-1.85"/>
        <n v="-1.9"/>
        <n v="-1.87"/>
        <n v="-1.92"/>
        <n v="-1.65"/>
        <n v="-1.61"/>
        <n v="-1.44"/>
        <n v="-1.52"/>
        <n v="-1.58"/>
        <n v="-1.74"/>
        <n v="-1.83"/>
        <n v="0.13"/>
        <n v="0.07"/>
        <n v="0.14"/>
        <n v="0.22"/>
        <n v="0.33"/>
        <n v="0.21"/>
        <n v="0.37"/>
        <n v="0.42"/>
        <n v="0.16"/>
        <n v="0.26"/>
        <n v="0.32"/>
        <n v="0.53"/>
        <n v="0.51"/>
        <n v="0.63"/>
        <n v="0.55"/>
        <n v="0.58"/>
        <n v="0.6"/>
        <n v="0.67"/>
        <n v="-0.99"/>
        <n v="-1.15"/>
        <n v="-1.12"/>
        <n v="-0.98"/>
        <n v="-0.91"/>
        <n v="-0.83"/>
        <n v="-0.75"/>
        <n v="-0.78"/>
        <n v="-0.8"/>
        <n v="-0.73"/>
        <n v="-0.94"/>
        <n v="-0.87"/>
        <n v="-0.77"/>
        <n v="-0.67"/>
        <n v="-0.68"/>
        <n v="-0.65"/>
        <n v="-0.64"/>
        <n v="-0.57"/>
        <n v="-0.63"/>
        <n v="-0.6"/>
        <n v="0.35"/>
        <n v="-0.02"/>
        <n v="0.12"/>
        <n v="0.05"/>
        <n v="0.18"/>
        <n v="0.1"/>
        <n v="0.02"/>
        <n v="-0.04"/>
        <n v="-0.09"/>
        <n v="-0.06"/>
        <n v="-0.05"/>
        <n v="-0.07"/>
        <n v="-0.03"/>
        <n v="-0.11"/>
        <n v="0.11"/>
        <n v="0.25"/>
        <n v="0.08"/>
        <n v="-0.3"/>
        <n v="0.09"/>
        <n v="-0.13"/>
        <n v="-0.17"/>
        <n v="-0.15"/>
        <n v="-0.32"/>
        <n v="-0.54"/>
        <n v="-0.52"/>
        <n v="-0.59"/>
        <n v="-0.39"/>
        <n v="-0.56"/>
        <n v="-0.41"/>
        <n v="-0.19"/>
        <n v="0.34"/>
        <n v="0.24"/>
        <n v="-0.1"/>
        <n v="-0.12"/>
        <n v="-0.27"/>
        <n v="0.03"/>
        <n v="0.04"/>
        <n v="-0.01"/>
        <n v="-0.21"/>
        <n v="-0.61"/>
        <n v="-0.62"/>
        <n v="-0.96"/>
        <n v="-0.74"/>
        <n v="-0.72"/>
        <n v="-0.69"/>
        <n v="-0.81"/>
        <n v="-0.49"/>
        <n v="-0.55"/>
        <n v="-0.51"/>
        <n v="-0.45"/>
        <n v="-1.0"/>
        <n v="-0.93"/>
        <n v="-0.92"/>
        <n v="-0.86"/>
        <n v="-0.97"/>
        <n v="-0.84"/>
        <n v="-0.88"/>
        <n v="-0.82"/>
        <n v="-0.71"/>
        <n v="-0.66"/>
      </sharedItems>
    </cacheField>
    <cacheField name="Voice and Accountability: Estimate" numFmtId="0">
      <sharedItems containsSemiMixedTypes="0" containsString="0" containsNumber="1">
        <n v="-0.46"/>
        <n v="-1.43"/>
        <n v="-1.18"/>
        <n v="-1.2"/>
        <n v="-1.13"/>
        <n v="-1.11"/>
        <n v="-1.06"/>
        <n v="-1.17"/>
        <n v="-1.38"/>
        <n v="-1.4"/>
        <n v="-1.34"/>
        <n v="-1.27"/>
        <n v="-1.24"/>
        <n v="-1.14"/>
        <n v="-1.12"/>
        <n v="-1.04"/>
        <n v="-0.99"/>
        <n v="-1.01"/>
        <n v="-1.08"/>
        <n v="-1.57"/>
        <n v="-1.75"/>
        <n v="-1.29"/>
        <n v="-1.15"/>
        <n v="-0.97"/>
        <n v="-1.07"/>
        <n v="-0.87"/>
        <n v="-0.51"/>
        <n v="-0.42"/>
        <n v="-0.4"/>
        <n v="-0.28"/>
        <n v="-0.16"/>
        <n v="-0.1"/>
        <n v="-0.03"/>
        <n v="0.01"/>
        <n v="0.04"/>
        <n v="0.07"/>
        <n v="0.15"/>
        <n v="0.22"/>
        <n v="0.16"/>
        <n v="-0.23"/>
        <n v="-0.43"/>
        <n v="-0.55"/>
        <n v="-0.67"/>
        <n v="-0.57"/>
        <n v="-0.45"/>
        <n v="-0.44"/>
        <n v="-0.29"/>
        <n v="-0.27"/>
        <n v="-0.32"/>
        <n v="-0.41"/>
        <n v="-0.47"/>
        <n v="-0.58"/>
        <n v="-0.62"/>
        <n v="-0.74"/>
        <n v="-0.77"/>
        <n v="-0.75"/>
        <n v="0.35"/>
        <n v="0.43"/>
        <n v="0.45"/>
        <n v="0.4"/>
        <n v="0.41"/>
        <n v="0.44"/>
        <n v="0.46"/>
        <n v="0.39"/>
        <n v="0.36"/>
        <n v="0.27"/>
        <n v="0.13"/>
        <n v="0.09"/>
        <n v="0.05"/>
        <n v="-0.76"/>
        <n v="-0.84"/>
        <n v="-1.0"/>
        <n v="-1.19"/>
        <n v="-0.98"/>
        <n v="-0.93"/>
        <n v="-0.3"/>
        <n v="-0.05"/>
        <n v="-0.06"/>
        <n v="-0.37"/>
        <n v="-0.52"/>
        <n v="-0.73"/>
        <n v="-0.68"/>
        <n v="-0.24"/>
        <n v="-0.19"/>
        <n v="-0.09"/>
        <n v="-0.21"/>
        <n v="-0.31"/>
        <n v="-0.48"/>
        <n v="-0.59"/>
        <n v="-0.08"/>
        <n v="-0.01"/>
        <n v="-0.07"/>
        <n v="-0.8"/>
        <n v="-0.92"/>
        <n v="-0.91"/>
        <n v="-0.5"/>
        <n v="-0.64"/>
        <n v="-0.53"/>
        <n v="-0.25"/>
        <n v="-0.2"/>
        <n v="-0.13"/>
        <n v="-0.15"/>
        <n v="-1.22"/>
        <n v="-0.89"/>
        <n v="-0.95"/>
        <n v="-0.86"/>
        <n v="-0.83"/>
        <n v="-0.72"/>
        <n v="-0.7"/>
        <n v="-0.69"/>
        <n v="-0.81"/>
        <n v="-0.88"/>
      </sharedItems>
    </cacheField>
    <cacheField name="Individuals using the Internet (% of population)" numFmtId="0">
      <sharedItems containsSemiMixedTypes="0" containsString="0" containsNumber="1">
        <n v="15.77"/>
        <n v="0.09"/>
        <n v="0.11"/>
        <n v="1.22"/>
        <n v="2.11"/>
        <n v="1.9"/>
        <n v="1.84"/>
        <n v="3.55"/>
        <n v="4.0"/>
        <n v="5.0"/>
        <n v="5.45"/>
        <n v="5.9"/>
        <n v="7.0"/>
        <n v="8.26"/>
        <n v="11.0"/>
        <n v="13.5"/>
        <n v="16.8"/>
        <n v="17.6"/>
        <n v="18.4"/>
        <n v="0.4"/>
        <n v="0.86"/>
        <n v="1.68"/>
        <n v="2.44"/>
        <n v="3.16"/>
        <n v="3.85"/>
        <n v="4.52"/>
        <n v="5.92"/>
        <n v="6.55"/>
        <n v="7.17"/>
        <n v="13.6"/>
        <n v="14.4"/>
        <n v="15.6"/>
        <n v="22.4"/>
        <n v="30.3"/>
        <n v="39.8"/>
        <n v="46.5"/>
        <n v="54.3"/>
        <n v="63.5"/>
        <n v="74.18"/>
        <n v="76.85"/>
        <n v="85.64"/>
        <n v="86.84"/>
        <n v="0.07"/>
        <n v="0.13"/>
        <n v="0.14"/>
        <n v="0.16"/>
        <n v="0.2"/>
        <n v="0.24"/>
        <n v="1.0"/>
        <n v="1.8"/>
        <n v="2.5"/>
        <n v="3.1"/>
        <n v="3.7"/>
        <n v="4.5"/>
        <n v="6.63"/>
        <n v="11.9"/>
        <n v="12.9"/>
        <n v="18.1"/>
        <n v="21.5"/>
        <n v="25.6"/>
        <n v="30.4"/>
        <n v="36.11"/>
        <n v="38.92"/>
        <n v="41.62"/>
        <n v="44.5"/>
        <n v="0.53"/>
        <n v="0.66"/>
        <n v="1.54"/>
        <n v="1.69"/>
        <n v="1.98"/>
        <n v="2.39"/>
        <n v="2.81"/>
        <n v="3.95"/>
        <n v="4.38"/>
        <n v="5.12"/>
        <n v="7.5"/>
        <n v="10.07"/>
        <n v="11.1"/>
        <n v="12.3"/>
        <n v="14.9"/>
        <n v="16.5"/>
        <n v="18.2"/>
        <n v="20.08"/>
        <n v="29.52"/>
        <n v="43.41"/>
        <n v="2.2"/>
        <n v="3.62"/>
        <n v="5.35"/>
        <n v="5.98"/>
        <n v="6.59"/>
        <n v="6.87"/>
        <n v="11.04"/>
        <n v="16.3"/>
        <n v="23.2"/>
        <n v="24.8"/>
        <n v="26.53"/>
        <n v="34.0"/>
        <n v="38.93"/>
        <n v="44.1"/>
        <n v="49.28"/>
        <n v="54.46"/>
        <n v="59.5"/>
        <n v="65.0"/>
        <n v="70.9"/>
        <n v="77.47"/>
        <n v="79.1"/>
        <n v="85.23"/>
        <n v="83.91"/>
        <n v="0.65"/>
        <n v="0.79"/>
        <n v="1.05"/>
        <n v="1.46"/>
        <n v="1.45"/>
        <n v="1.79"/>
        <n v="2.54"/>
        <n v="3.88"/>
        <n v="10.5"/>
        <n v="15.26"/>
        <n v="22.19"/>
        <n v="25.1"/>
        <n v="28.3"/>
        <n v="32.0"/>
        <n v="36.18"/>
        <n v="44.45"/>
        <n v="50.11"/>
        <n v="0.31"/>
        <n v="0.38"/>
        <n v="0.45"/>
        <n v="0.83"/>
        <n v="1.14"/>
        <n v="1.41"/>
        <n v="1.73"/>
        <n v="1.97"/>
        <n v="7.93"/>
        <n v="9.0"/>
        <n v="11.15"/>
        <n v="13.3"/>
        <n v="15.44"/>
        <n v="17.58"/>
        <n v="20.7"/>
        <n v="24.3"/>
        <n v="28.6"/>
        <n v="34.81"/>
        <n v="37.7"/>
        <n v="41.61"/>
        <n v="49.56"/>
        <n v="1.32"/>
        <n v="2.58"/>
        <n v="5.04"/>
        <n v="6.16"/>
        <n v="6.33"/>
        <n v="6.5"/>
        <n v="6.8"/>
        <n v="8.0"/>
        <n v="8.1"/>
        <n v="10.0"/>
        <n v="12.39"/>
        <n v="13.78"/>
        <n v="15.34"/>
        <n v="17.07"/>
        <n v="18.93"/>
        <n v="24.98"/>
        <n v="32.95"/>
      </sharedItems>
    </cacheField>
    <cacheField name="Research and development expenditure (% of GDP)" numFmtId="0">
      <sharedItems containsSemiMixedTypes="0" containsString="0" containsNumber="1">
        <n v="0.11"/>
        <n v="0.76"/>
        <n v="0.74"/>
        <n v="0.73"/>
        <n v="0.72"/>
        <n v="0.82"/>
        <n v="0.8"/>
        <n v="0.81"/>
        <n v="0.86"/>
        <n v="0.83"/>
        <n v="0.79"/>
        <n v="0.71"/>
        <n v="0.7"/>
        <n v="0.69"/>
        <n v="0.67"/>
        <n v="0.66"/>
        <n v="0.65"/>
        <n v="0.14"/>
        <n v="0.18"/>
        <n v="0.17"/>
        <n v="0.13"/>
        <n v="0.1"/>
        <n v="0.12"/>
        <n v="0.05"/>
        <n v="0.26"/>
        <n v="0.3"/>
        <n v="0.15"/>
        <n v="0.2"/>
        <n v="0.4"/>
        <n v="0.63"/>
        <n v="0.45"/>
        <n v="0.33"/>
        <n v="0.29"/>
        <n v="0.25"/>
        <n v="0.21"/>
        <n v="0.16"/>
      </sharedItems>
    </cacheField>
    <cacheField name="High-technology exports (% of manufactured exports)" numFmtId="0">
      <sharedItems containsSemiMixedTypes="0" containsString="0" containsNumber="1">
        <n v="0.99"/>
        <n v="0.75"/>
        <n v="0.13"/>
        <n v="0.22"/>
        <n v="0.14"/>
        <n v="0.02"/>
        <n v="0.44"/>
        <n v="0.31"/>
        <n v="0.21"/>
        <n v="0.19"/>
        <n v="0.46"/>
        <n v="0.3"/>
        <n v="9.57"/>
        <n v="7.72"/>
        <n v="7.87"/>
        <n v="7.7"/>
        <n v="8.87"/>
        <n v="9.22"/>
        <n v="8.02"/>
        <n v="7.66"/>
        <n v="7.36"/>
        <n v="9.03"/>
        <n v="10.22"/>
        <n v="11.03"/>
        <n v="10.21"/>
        <n v="12.48"/>
        <n v="0.03"/>
        <n v="2.01"/>
        <n v="4.1"/>
        <n v="1.88"/>
        <n v="0.98"/>
        <n v="1.13"/>
        <n v="1.04"/>
        <n v="0.95"/>
        <n v="0.89"/>
        <n v="0.94"/>
        <n v="1.02"/>
        <n v="1.1"/>
        <n v="1.26"/>
        <n v="1.05"/>
        <n v="1.09"/>
        <n v="0.43"/>
        <n v="0.69"/>
        <n v="0.42"/>
        <n v="0.32"/>
        <n v="0.72"/>
        <n v="0.64"/>
        <n v="0.82"/>
        <n v="1.18"/>
        <n v="0.63"/>
        <n v="1.07"/>
        <n v="2.45"/>
        <n v="1.25"/>
        <n v="0.54"/>
        <n v="1.92"/>
        <n v="1.77"/>
        <n v="1.73"/>
        <n v="1.81"/>
        <n v="1.45"/>
        <n v="1.6"/>
        <n v="1.96"/>
        <n v="2.18"/>
        <n v="2.17"/>
        <n v="2.3"/>
        <n v="1.89"/>
        <n v="1.49"/>
        <n v="1.4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compact="0" compactData="0">
  <location ref="A1:AA154" firstHeaderRow="0" firstDataRow="2" firstDataCol="1"/>
  <pivotFields>
    <pivotField name="Country" axis="axisRow" compact="0" outline="0" multipleItemSelectionAllowed="1" showAll="0" sortType="ascending">
      <items>
        <item x="0"/>
        <item x="2"/>
        <item x="1"/>
        <item x="3"/>
        <item x="4"/>
        <item x="6"/>
        <item x="7"/>
        <item x="5"/>
        <item t="default"/>
      </items>
    </pivotField>
    <pivotField name="Yea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GDP (current US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GDP growth (annual 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GDP per capita (current US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Unemployment, total (% of total labor force) (modeled ILO estima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Inflation, consumer prices (annual 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Foreign direct investment, net inflows (% of GD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rade (% of GD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Gini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Population,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Population growth (annual %)" axis="axisRow" dataField="1" compact="0" outline="0" multipleItemSelectionAllowed="1" showAll="0" sortType="ascending">
      <items>
        <item x="120"/>
        <item x="101"/>
        <item x="119"/>
        <item x="126"/>
        <item x="125"/>
        <item x="127"/>
        <item x="115"/>
        <item x="124"/>
        <item x="114"/>
        <item x="100"/>
        <item x="113"/>
        <item x="123"/>
        <item x="112"/>
        <item x="117"/>
        <item x="111"/>
        <item x="102"/>
        <item x="116"/>
        <item x="45"/>
        <item x="44"/>
        <item x="43"/>
        <item x="80"/>
        <item x="42"/>
        <item x="122"/>
        <item x="1"/>
        <item x="110"/>
        <item x="103"/>
        <item x="41"/>
        <item x="79"/>
        <item x="81"/>
        <item x="40"/>
        <item x="39"/>
        <item x="55"/>
        <item x="54"/>
        <item x="108"/>
        <item x="109"/>
        <item x="38"/>
        <item x="106"/>
        <item x="78"/>
        <item x="105"/>
        <item x="104"/>
        <item x="37"/>
        <item x="64"/>
        <item x="107"/>
        <item x="53"/>
        <item x="36"/>
        <item x="118"/>
        <item x="35"/>
        <item x="34"/>
        <item x="62"/>
        <item x="33"/>
        <item x="32"/>
        <item x="63"/>
        <item x="61"/>
        <item x="31"/>
        <item x="60"/>
        <item x="145"/>
        <item x="52"/>
        <item x="56"/>
        <item x="30"/>
        <item x="57"/>
        <item x="59"/>
        <item x="58"/>
        <item x="77"/>
        <item x="76"/>
        <item x="75"/>
        <item x="74"/>
        <item x="73"/>
        <item x="144"/>
        <item x="72"/>
        <item x="0"/>
        <item x="71"/>
        <item x="29"/>
        <item x="121"/>
        <item x="51"/>
        <item x="143"/>
        <item x="82"/>
        <item x="70"/>
        <item x="146"/>
        <item x="86"/>
        <item x="50"/>
        <item x="69"/>
        <item x="85"/>
        <item x="83"/>
        <item x="84"/>
        <item x="68"/>
        <item x="147"/>
        <item x="49"/>
        <item x="128"/>
        <item x="67"/>
        <item x="7"/>
        <item x="142"/>
        <item x="66"/>
        <item x="65"/>
        <item x="148"/>
        <item x="48"/>
        <item x="149"/>
        <item x="47"/>
        <item x="46"/>
        <item x="99"/>
        <item x="150"/>
        <item x="8"/>
        <item x="28"/>
        <item x="136"/>
        <item x="141"/>
        <item x="137"/>
        <item x="135"/>
        <item x="138"/>
        <item x="133"/>
        <item x="139"/>
        <item x="134"/>
        <item x="140"/>
        <item x="129"/>
        <item x="87"/>
        <item x="27"/>
        <item x="26"/>
        <item x="132"/>
        <item x="21"/>
        <item x="16"/>
        <item x="25"/>
        <item x="22"/>
        <item x="24"/>
        <item x="23"/>
        <item x="20"/>
        <item x="17"/>
        <item x="10"/>
        <item x="18"/>
        <item x="98"/>
        <item x="130"/>
        <item x="131"/>
        <item x="15"/>
        <item x="19"/>
        <item x="88"/>
        <item x="93"/>
        <item x="13"/>
        <item x="92"/>
        <item x="91"/>
        <item x="90"/>
        <item x="89"/>
        <item x="9"/>
        <item x="5"/>
        <item x="97"/>
        <item x="14"/>
        <item x="11"/>
        <item x="94"/>
        <item x="4"/>
        <item x="12"/>
        <item x="6"/>
        <item x="96"/>
        <item x="95"/>
        <item x="2"/>
        <item x="3"/>
        <item t="default"/>
      </items>
    </pivotField>
    <pivotField name="Poverty headcount ratio at $2.15 a day (2017 PPP) (% of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Life expectancy at birth, total (yea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ortality rate, infant (per 1,000 live bir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Literacy rate, adult total (% of people ages 15 and abov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School enrollment, primary (% gros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Urban population (% of total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Access to electricity (% of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People using at least basic drinking water services (% of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People using at least basic sanitation services (% of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Carbon dioxide (CO2) emissions excluding LULUCF per capita (t CO2e/capit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PM2.5 air pollution, mean annual exposure (micrograms per cubic mete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Renewable energy consumption (% of total final energy consump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Forest area (% of land are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Control of Corruption: Percentile 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Political Stability and Absence of Violence/Terrorism: Estim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Regulatory Quality: Estim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Rule of Law: Estim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Voice and Accountability: Estim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Individuals using the Internet (% of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Research and development expenditure (% of GD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High-technology exports (% of manufactured export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</pivotFields>
  <rowFields>
    <field x="11"/>
    <field x="0"/>
  </rowFields>
  <colFields>
    <field x="1"/>
  </colFields>
  <dataFields>
    <dataField name="AVERAGE of Population growth (annual %)" fld="11" subtotal="average" baseField="0"/>
  </dataFields>
</pivotTableDefinition>
</file>

<file path=xl/pivotTables/pivotTable2.xml><?xml version="1.0" encoding="utf-8"?>
<pivotTableDefinition xmlns="http://schemas.openxmlformats.org/spreadsheetml/2006/main" name="Pivot Table  2" cacheId="0" dataCaption="" compact="0" compactData="0">
  <location ref="A157:BA342" firstHeaderRow="0" firstDataRow="4" firstDataCol="1"/>
  <pivotFields>
    <pivotField name="Country" axis="axisRow" compact="0" outline="0" multipleItemSelectionAllowed="1" showAll="0" sortType="ascending">
      <items>
        <item x="0"/>
        <item x="2"/>
        <item x="1"/>
        <item x="3"/>
        <item x="4"/>
        <item x="6"/>
        <item x="7"/>
        <item x="5"/>
        <item t="default"/>
      </items>
    </pivotField>
    <pivotField name="Yea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GDP (current US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GDP growth (annual 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GDP per capita (current US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Unemployment, total (% of total labor force) (modeled ILO estima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Inflation, consumer prices (annual 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Foreign direct investment, net inflows (% of GD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rade (% of GD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Gini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Population,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Population growth (annual 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Poverty headcount ratio at $2.15 a day (2017 PPP) (% of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Life expectancy at birth, total (years)" axis="axisRow" dataField="1" compact="0" outline="0" multipleItemSelectionAllowed="1" showAll="0" sortType="ascending">
      <items>
        <item sd="0"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21"/>
        <item x="24"/>
        <item x="161"/>
        <item x="13"/>
        <item x="165"/>
        <item x="14"/>
        <item x="20"/>
        <item x="138"/>
        <item x="162"/>
        <item x="15"/>
        <item x="71"/>
        <item x="163"/>
        <item x="22"/>
        <item x="17"/>
        <item x="164"/>
        <item x="18"/>
        <item x="72"/>
        <item x="16"/>
        <item x="140"/>
        <item x="139"/>
        <item x="25"/>
        <item x="19"/>
        <item x="73"/>
        <item x="166"/>
        <item x="167"/>
        <item x="168"/>
        <item x="26"/>
        <item x="74"/>
        <item x="169"/>
        <item x="141"/>
        <item x="170"/>
        <item x="75"/>
        <item x="171"/>
        <item x="27"/>
        <item x="172"/>
        <item x="142"/>
        <item x="76"/>
        <item x="173"/>
        <item x="28"/>
        <item x="174"/>
        <item x="77"/>
        <item x="143"/>
        <item x="23"/>
        <item x="175"/>
        <item x="47"/>
        <item x="78"/>
        <item x="29"/>
        <item x="144"/>
        <item x="176"/>
        <item x="180"/>
        <item x="48"/>
        <item x="79"/>
        <item x="179"/>
        <item x="177"/>
        <item x="145"/>
        <item x="30"/>
        <item x="146"/>
        <item x="181"/>
        <item x="178"/>
        <item x="80"/>
        <item x="49"/>
        <item x="54"/>
        <item x="147"/>
        <item x="148"/>
        <item x="50"/>
        <item x="81"/>
        <item x="31"/>
        <item x="55"/>
        <item x="120"/>
        <item x="51"/>
        <item x="53"/>
        <item x="52"/>
        <item x="149"/>
        <item x="82"/>
        <item x="56"/>
        <item x="153"/>
        <item x="150"/>
        <item x="32"/>
        <item x="70"/>
        <item x="92"/>
        <item x="83"/>
        <item x="33"/>
        <item x="151"/>
        <item x="152"/>
        <item x="34"/>
        <item x="159"/>
        <item x="84"/>
        <item x="57"/>
        <item x="154"/>
        <item x="58"/>
        <item x="35"/>
        <item x="155"/>
        <item x="156"/>
        <item x="85"/>
        <item x="124"/>
        <item x="158"/>
        <item x="36"/>
        <item x="59"/>
        <item x="157"/>
        <item x="60"/>
        <item x="86"/>
        <item x="37"/>
        <item x="61"/>
        <item x="38"/>
        <item x="87"/>
        <item x="91"/>
        <item x="39"/>
        <item x="116"/>
        <item x="88"/>
        <item x="160"/>
        <item x="62"/>
        <item x="40"/>
        <item x="89"/>
        <item x="117"/>
        <item x="41"/>
        <item x="93"/>
        <item x="90"/>
        <item x="63"/>
        <item x="118"/>
        <item x="42"/>
        <item x="119"/>
        <item x="43"/>
        <item x="44"/>
        <item x="123"/>
        <item x="64"/>
        <item x="45"/>
        <item x="67"/>
        <item x="122"/>
        <item x="121"/>
        <item x="94"/>
        <item x="46"/>
        <item x="68"/>
        <item x="65"/>
        <item x="66"/>
        <item x="125"/>
        <item x="95"/>
        <item x="126"/>
        <item x="97"/>
        <item x="69"/>
        <item x="127"/>
        <item x="96"/>
        <item x="128"/>
        <item x="129"/>
        <item x="98"/>
        <item x="130"/>
        <item x="99"/>
        <item x="131"/>
        <item x="132"/>
        <item x="100"/>
        <item x="133"/>
        <item x="134"/>
        <item x="135"/>
        <item x="136"/>
        <item x="101"/>
        <item x="137"/>
        <item x="102"/>
        <item x="103"/>
        <item x="104"/>
        <item x="105"/>
        <item x="106"/>
        <item x="107"/>
        <item x="108"/>
        <item x="109"/>
        <item x="113"/>
        <item x="114"/>
        <item x="110"/>
        <item x="111"/>
        <item x="112"/>
        <item x="115"/>
        <item t="default"/>
      </items>
    </pivotField>
    <pivotField name="Mortality rate, infant (per 1,000 live births)" axis="axisRow" dataField="1" compact="0" outline="0" multipleItemSelectionAllowed="1" showAll="0" sortType="ascending">
      <items>
        <item x="111"/>
        <item x="110"/>
        <item x="109"/>
        <item x="130"/>
        <item x="129"/>
        <item x="108"/>
        <item x="128"/>
        <item x="107"/>
        <item x="127"/>
        <item x="106"/>
        <item x="126"/>
        <item x="105"/>
        <item x="125"/>
        <item x="104"/>
        <item x="124"/>
        <item x="103"/>
        <item x="123"/>
        <item x="122"/>
        <item x="102"/>
        <item x="120"/>
        <item x="101"/>
        <item x="119"/>
        <item x="100"/>
        <item x="118"/>
        <item x="99"/>
        <item x="117"/>
        <item x="98"/>
        <item x="115"/>
        <item x="114"/>
        <item x="121"/>
        <item x="113"/>
        <item x="97"/>
        <item x="112"/>
        <item x="96"/>
        <item x="95"/>
        <item x="116"/>
        <item x="94"/>
        <item x="46"/>
        <item x="45"/>
        <item x="44"/>
        <item x="93"/>
        <item x="43"/>
        <item x="42"/>
        <item x="150"/>
        <item x="41"/>
        <item x="149"/>
        <item x="67"/>
        <item x="40"/>
        <item x="66"/>
        <item x="39"/>
        <item x="92"/>
        <item x="65"/>
        <item x="148"/>
        <item x="38"/>
        <item x="64"/>
        <item x="89"/>
        <item x="147"/>
        <item x="37"/>
        <item x="88"/>
        <item x="146"/>
        <item x="91"/>
        <item x="63"/>
        <item x="36"/>
        <item x="87"/>
        <item x="62"/>
        <item x="35"/>
        <item x="145"/>
        <item x="86"/>
        <item x="61"/>
        <item x="90"/>
        <item x="144"/>
        <item x="34"/>
        <item x="60"/>
        <item x="85"/>
        <item x="143"/>
        <item x="59"/>
        <item x="33"/>
        <item x="84"/>
        <item x="142"/>
        <item x="58"/>
        <item x="83"/>
        <item x="141"/>
        <item x="32"/>
        <item x="57"/>
        <item x="23"/>
        <item x="140"/>
        <item x="82"/>
        <item x="56"/>
        <item x="31"/>
        <item x="139"/>
        <item x="81"/>
        <item x="55"/>
        <item x="138"/>
        <item x="30"/>
        <item x="80"/>
        <item x="54"/>
        <item x="137"/>
        <item x="29"/>
        <item x="79"/>
        <item x="22"/>
        <item x="21"/>
        <item x="136"/>
        <item x="78"/>
        <item x="53"/>
        <item x="28"/>
        <item x="20"/>
        <item x="135"/>
        <item x="77"/>
        <item x="19"/>
        <item x="52"/>
        <item x="27"/>
        <item x="18"/>
        <item x="134"/>
        <item x="76"/>
        <item x="172"/>
        <item x="17"/>
        <item x="51"/>
        <item x="171"/>
        <item x="26"/>
        <item x="75"/>
        <item x="16"/>
        <item x="133"/>
        <item x="170"/>
        <item x="50"/>
        <item x="15"/>
        <item x="74"/>
        <item x="25"/>
        <item x="132"/>
        <item x="14"/>
        <item x="73"/>
        <item x="49"/>
        <item x="169"/>
        <item x="13"/>
        <item x="24"/>
        <item x="131"/>
        <item x="72"/>
        <item x="168"/>
        <item x="48"/>
        <item x="12"/>
        <item x="167"/>
        <item x="71"/>
        <item x="166"/>
        <item x="11"/>
        <item x="70"/>
        <item x="47"/>
        <item x="165"/>
        <item x="69"/>
        <item x="10"/>
        <item x="164"/>
        <item x="68"/>
        <item x="9"/>
        <item x="163"/>
        <item x="162"/>
        <item x="8"/>
        <item x="161"/>
        <item x="160"/>
        <item x="7"/>
        <item x="159"/>
        <item x="158"/>
        <item x="6"/>
        <item x="157"/>
        <item x="156"/>
        <item x="5"/>
        <item x="155"/>
        <item x="154"/>
        <item x="4"/>
        <item x="153"/>
        <item x="152"/>
        <item x="3"/>
        <item x="151"/>
        <item x="2"/>
        <item x="1"/>
        <item x="0"/>
        <item t="default"/>
      </items>
    </pivotField>
    <pivotField name="Literacy rate, adult total (% of people ages 15 and abov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School enrollment, primary (% gros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Urban population (% of total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Access to electricity (% of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People using at least basic drinking water services (% of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People using at least basic sanitation services (% of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Carbon dioxide (CO2) emissions excluding LULUCF per capita (t CO2e/capit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PM2.5 air pollution, mean annual exposure (micrograms per cubic mete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Renewable energy consumption (% of total final energy consump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Forest area (% of land are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Control of Corruption: Percentile 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Political Stability and Absence of Violence/Terrorism: Estim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Regulatory Quality: Estim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Rule of Law: Estim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Voice and Accountability: Estim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Individuals using the Internet (% of popul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Research and development expenditure (% of GD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High-technology exports (% of manufactured export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</pivotFields>
  <rowFields>
    <field x="13"/>
    <field x="14"/>
    <field x="0"/>
  </rowFields>
  <colFields>
    <field x="1"/>
    <field x="-2"/>
  </colFields>
  <dataFields>
    <dataField name="AVERAGE of Life expectancy at birth, total (years)" fld="13" subtotal="average" baseField="0"/>
    <dataField name="AVERAGE of Mortality rate, infant (per 1,000 live births)" fld="1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63"/>
    <col customWidth="1" min="2" max="2" width="5.13"/>
    <col customWidth="1" min="3" max="3" width="16.5"/>
    <col customWidth="1" min="4" max="4" width="20.38"/>
    <col customWidth="1" min="5" max="5" width="25.0"/>
    <col customWidth="1" min="6" max="6" width="56.0"/>
    <col customWidth="1" min="7" max="7" width="31.25"/>
    <col customWidth="1" min="8" max="8" width="41.13"/>
    <col customWidth="1" min="9" max="9" width="15.63"/>
    <col customWidth="1" min="10" max="10" width="9.13"/>
    <col customWidth="1" min="11" max="11" width="14.13"/>
    <col customWidth="1" min="12" max="12" width="25.0"/>
    <col customWidth="1" min="13" max="13" width="56.88"/>
    <col customWidth="1" min="14" max="14" width="30.5"/>
    <col customWidth="1" min="15" max="15" width="34.88"/>
    <col customWidth="1" min="16" max="16" width="47.5"/>
    <col customWidth="1" min="17" max="17" width="31.13"/>
    <col customWidth="1" min="18" max="18" width="33.25"/>
    <col customWidth="1" min="19" max="19" width="31.5"/>
    <col customWidth="1" min="20" max="20" width="56.25"/>
    <col customWidth="1" min="21" max="21" width="52.75"/>
    <col customWidth="1" min="22" max="22" width="64.88"/>
    <col customWidth="1" min="23" max="23" width="60.25"/>
    <col customWidth="1" min="24" max="24" width="57.38"/>
    <col customWidth="1" min="25" max="25" width="23.88"/>
    <col customWidth="1" min="26" max="26" width="32.0"/>
    <col customWidth="1" min="27" max="27" width="51.25"/>
    <col customWidth="1" min="28" max="28" width="24.25"/>
    <col customWidth="1" min="29" max="29" width="18.88"/>
    <col customWidth="1" min="30" max="30" width="29.0"/>
    <col customWidth="1" min="31" max="31" width="38.75"/>
    <col customWidth="1" min="32" max="32" width="43.38"/>
    <col customWidth="1" min="33" max="33" width="4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>
      <c r="A2" s="2" t="s">
        <v>33</v>
      </c>
      <c r="B2" s="3">
        <v>2000.0</v>
      </c>
      <c r="C2" s="3">
        <v>3.52141806E9</v>
      </c>
      <c r="D2" s="4"/>
      <c r="E2" s="3">
        <v>180.1883694</v>
      </c>
      <c r="F2" s="3">
        <v>7.955</v>
      </c>
      <c r="G2" s="4"/>
      <c r="H2" s="3">
        <v>0.004827601</v>
      </c>
      <c r="I2" s="4"/>
      <c r="J2" s="4"/>
      <c r="K2" s="3">
        <v>1.9542982E7</v>
      </c>
      <c r="L2" s="3">
        <v>1.443803024</v>
      </c>
      <c r="M2" s="2" t="s">
        <v>34</v>
      </c>
      <c r="N2" s="3">
        <v>55.298</v>
      </c>
      <c r="O2" s="3">
        <v>92.0</v>
      </c>
      <c r="P2" s="2" t="s">
        <v>34</v>
      </c>
      <c r="Q2" s="3">
        <v>22.16299057</v>
      </c>
      <c r="R2" s="3">
        <v>22.078</v>
      </c>
      <c r="S2" s="3">
        <v>4.4</v>
      </c>
      <c r="T2" s="3">
        <v>27.44185609</v>
      </c>
      <c r="U2" s="3">
        <v>20.97091936</v>
      </c>
      <c r="V2" s="3">
        <v>0.054812515</v>
      </c>
      <c r="W2" s="3">
        <v>64.76727982</v>
      </c>
      <c r="X2" s="3">
        <v>45.0</v>
      </c>
      <c r="Y2" s="3">
        <v>1.852781994</v>
      </c>
      <c r="Z2" s="3">
        <v>4.787233829</v>
      </c>
      <c r="AA2" s="3">
        <v>-2.438968897</v>
      </c>
      <c r="AB2" s="3">
        <v>-2.080252647</v>
      </c>
      <c r="AC2" s="3">
        <v>-1.780660748</v>
      </c>
      <c r="AD2" s="3">
        <v>-2.031417131</v>
      </c>
      <c r="AE2" s="2" t="s">
        <v>34</v>
      </c>
      <c r="AF2" s="2" t="s">
        <v>34</v>
      </c>
      <c r="AG2" s="2" t="s">
        <v>34</v>
      </c>
    </row>
    <row r="3">
      <c r="A3" s="2" t="s">
        <v>33</v>
      </c>
      <c r="B3" s="3">
        <v>2001.0</v>
      </c>
      <c r="C3" s="3">
        <v>2.813571754E9</v>
      </c>
      <c r="D3" s="3">
        <v>-9.431974068</v>
      </c>
      <c r="E3" s="3">
        <v>142.9033644</v>
      </c>
      <c r="F3" s="3">
        <v>7.958</v>
      </c>
      <c r="G3" s="4"/>
      <c r="H3" s="3">
        <v>0.024168568</v>
      </c>
      <c r="I3" s="4"/>
      <c r="J3" s="4"/>
      <c r="K3" s="3">
        <v>1.9688632E7</v>
      </c>
      <c r="L3" s="3">
        <v>0.742516834</v>
      </c>
      <c r="M3" s="2" t="s">
        <v>34</v>
      </c>
      <c r="N3" s="3">
        <v>55.798</v>
      </c>
      <c r="O3" s="3">
        <v>89.3</v>
      </c>
      <c r="P3" s="2" t="s">
        <v>34</v>
      </c>
      <c r="Q3" s="3">
        <v>22.90859032</v>
      </c>
      <c r="R3" s="3">
        <v>22.169</v>
      </c>
      <c r="S3" s="3">
        <v>9.3</v>
      </c>
      <c r="T3" s="3">
        <v>27.47358023</v>
      </c>
      <c r="U3" s="3">
        <v>20.98234866</v>
      </c>
      <c r="V3" s="3">
        <v>0.050196479</v>
      </c>
      <c r="W3" s="3">
        <v>64.59757272</v>
      </c>
      <c r="X3" s="3">
        <v>45.6</v>
      </c>
      <c r="Y3" s="3">
        <v>1.852781994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3">
        <v>0.00472257</v>
      </c>
      <c r="AF3" s="2" t="s">
        <v>34</v>
      </c>
      <c r="AG3" s="2" t="s">
        <v>34</v>
      </c>
    </row>
    <row r="4">
      <c r="A4" s="2" t="s">
        <v>33</v>
      </c>
      <c r="B4" s="3">
        <v>2002.0</v>
      </c>
      <c r="C4" s="3">
        <v>3.825701439E9</v>
      </c>
      <c r="D4" s="3">
        <v>28.60000116</v>
      </c>
      <c r="E4" s="3">
        <v>182.1740382</v>
      </c>
      <c r="F4" s="3">
        <v>7.939</v>
      </c>
      <c r="G4" s="4"/>
      <c r="H4" s="3">
        <v>1.30694987</v>
      </c>
      <c r="I4" s="4"/>
      <c r="J4" s="4"/>
      <c r="K4" s="3">
        <v>2.1000256E7</v>
      </c>
      <c r="L4" s="3">
        <v>6.449321478</v>
      </c>
      <c r="M4" s="2" t="s">
        <v>34</v>
      </c>
      <c r="N4" s="3">
        <v>56.454</v>
      </c>
      <c r="O4" s="3">
        <v>86.6</v>
      </c>
      <c r="P4" s="2" t="s">
        <v>34</v>
      </c>
      <c r="Q4" s="3">
        <v>75.95974731</v>
      </c>
      <c r="R4" s="3">
        <v>22.261</v>
      </c>
      <c r="S4" s="3">
        <v>14.1</v>
      </c>
      <c r="T4" s="3">
        <v>29.67486273</v>
      </c>
      <c r="U4" s="3">
        <v>22.54133877</v>
      </c>
      <c r="V4" s="3">
        <v>0.046328007</v>
      </c>
      <c r="W4" s="3">
        <v>64.41688801</v>
      </c>
      <c r="X4" s="3">
        <v>37.8</v>
      </c>
      <c r="Y4" s="3">
        <v>1.852781994</v>
      </c>
      <c r="Z4" s="3">
        <v>4.761904716</v>
      </c>
      <c r="AA4" s="3">
        <v>-2.035033703</v>
      </c>
      <c r="AB4" s="3">
        <v>-1.81154573</v>
      </c>
      <c r="AC4" s="3">
        <v>-1.673473239</v>
      </c>
      <c r="AD4" s="3">
        <v>-1.433421016</v>
      </c>
      <c r="AE4" s="3">
        <v>0.0045614</v>
      </c>
      <c r="AF4" s="2" t="s">
        <v>34</v>
      </c>
      <c r="AG4" s="2" t="s">
        <v>34</v>
      </c>
    </row>
    <row r="5">
      <c r="A5" s="2" t="s">
        <v>33</v>
      </c>
      <c r="B5" s="3">
        <v>2003.0</v>
      </c>
      <c r="C5" s="3">
        <v>4.520946819E9</v>
      </c>
      <c r="D5" s="3">
        <v>8.832277803</v>
      </c>
      <c r="E5" s="3">
        <v>199.6432265</v>
      </c>
      <c r="F5" s="3">
        <v>7.922</v>
      </c>
      <c r="G5" s="4"/>
      <c r="H5" s="3">
        <v>1.278493252</v>
      </c>
      <c r="I5" s="4"/>
      <c r="J5" s="4"/>
      <c r="K5" s="3">
        <v>2.264513E7</v>
      </c>
      <c r="L5" s="3">
        <v>7.541018965</v>
      </c>
      <c r="M5" s="2" t="s">
        <v>34</v>
      </c>
      <c r="N5" s="3">
        <v>57.344</v>
      </c>
      <c r="O5" s="3">
        <v>83.7</v>
      </c>
      <c r="P5" s="2" t="s">
        <v>34</v>
      </c>
      <c r="Q5" s="3">
        <v>96.55368042</v>
      </c>
      <c r="R5" s="3">
        <v>22.353</v>
      </c>
      <c r="S5" s="3">
        <v>19.0</v>
      </c>
      <c r="T5" s="3">
        <v>31.87558916</v>
      </c>
      <c r="U5" s="3">
        <v>24.10033283</v>
      </c>
      <c r="V5" s="3">
        <v>0.04675619</v>
      </c>
      <c r="W5" s="3">
        <v>64.17623142</v>
      </c>
      <c r="X5" s="3">
        <v>36.7</v>
      </c>
      <c r="Y5" s="3">
        <v>1.852781994</v>
      </c>
      <c r="Z5" s="3">
        <v>4.761904716</v>
      </c>
      <c r="AA5" s="3">
        <v>-2.198372364</v>
      </c>
      <c r="AB5" s="3">
        <v>-1.463107824</v>
      </c>
      <c r="AC5" s="3">
        <v>-1.5582937</v>
      </c>
      <c r="AD5" s="3">
        <v>-1.177571177</v>
      </c>
      <c r="AE5" s="3">
        <v>0.0878913</v>
      </c>
      <c r="AF5" s="2" t="s">
        <v>34</v>
      </c>
      <c r="AG5" s="2" t="s">
        <v>34</v>
      </c>
    </row>
    <row r="6">
      <c r="A6" s="2" t="s">
        <v>33</v>
      </c>
      <c r="B6" s="3">
        <v>2004.0</v>
      </c>
      <c r="C6" s="3">
        <v>5.224896719E9</v>
      </c>
      <c r="D6" s="3">
        <v>1.414117993</v>
      </c>
      <c r="E6" s="3">
        <v>221.8305307</v>
      </c>
      <c r="F6" s="3">
        <v>7.914</v>
      </c>
      <c r="G6" s="4"/>
      <c r="H6" s="3">
        <v>3.577104201</v>
      </c>
      <c r="I6" s="4"/>
      <c r="J6" s="4"/>
      <c r="K6" s="3">
        <v>2.3553551E7</v>
      </c>
      <c r="L6" s="3">
        <v>3.933177688</v>
      </c>
      <c r="M6" s="2" t="s">
        <v>34</v>
      </c>
      <c r="N6" s="3">
        <v>57.944</v>
      </c>
      <c r="O6" s="3">
        <v>80.9</v>
      </c>
      <c r="P6" s="2" t="s">
        <v>34</v>
      </c>
      <c r="Q6" s="3">
        <v>106.2526627</v>
      </c>
      <c r="R6" s="3">
        <v>22.5</v>
      </c>
      <c r="S6" s="3">
        <v>23.8</v>
      </c>
      <c r="T6" s="3">
        <v>34.09443129</v>
      </c>
      <c r="U6" s="3">
        <v>25.66623994</v>
      </c>
      <c r="V6" s="3">
        <v>0.039875091</v>
      </c>
      <c r="W6" s="3">
        <v>63.82660868</v>
      </c>
      <c r="X6" s="3">
        <v>44.2</v>
      </c>
      <c r="Y6" s="3">
        <v>1.852781994</v>
      </c>
      <c r="Z6" s="3">
        <v>6.403940678</v>
      </c>
      <c r="AA6" s="3">
        <v>-2.295682192</v>
      </c>
      <c r="AB6" s="3">
        <v>-1.511548996</v>
      </c>
      <c r="AC6" s="3">
        <v>-1.693925261</v>
      </c>
      <c r="AD6" s="3">
        <v>-1.203033924</v>
      </c>
      <c r="AE6" s="3">
        <v>0.105809</v>
      </c>
      <c r="AF6" s="2" t="s">
        <v>34</v>
      </c>
      <c r="AG6" s="2" t="s">
        <v>34</v>
      </c>
    </row>
    <row r="7">
      <c r="A7" s="2" t="s">
        <v>33</v>
      </c>
      <c r="B7" s="3">
        <v>2005.0</v>
      </c>
      <c r="C7" s="3">
        <v>6.203256539E9</v>
      </c>
      <c r="D7" s="3">
        <v>11.22971483</v>
      </c>
      <c r="E7" s="3">
        <v>254.115276</v>
      </c>
      <c r="F7" s="3">
        <v>7.914</v>
      </c>
      <c r="G7" s="3">
        <v>12.68626872</v>
      </c>
      <c r="H7" s="3">
        <v>3.577104201</v>
      </c>
      <c r="I7" s="4"/>
      <c r="J7" s="4"/>
      <c r="K7" s="3">
        <v>2.4411191E7</v>
      </c>
      <c r="L7" s="3">
        <v>3.576508004</v>
      </c>
      <c r="M7" s="2" t="s">
        <v>34</v>
      </c>
      <c r="N7" s="3">
        <v>58.361</v>
      </c>
      <c r="O7" s="3">
        <v>78.0</v>
      </c>
      <c r="P7" s="2" t="s">
        <v>34</v>
      </c>
      <c r="Q7" s="3">
        <v>100.2296906</v>
      </c>
      <c r="R7" s="3">
        <v>22.703</v>
      </c>
      <c r="S7" s="3">
        <v>28.7</v>
      </c>
      <c r="T7" s="3">
        <v>36.33122612</v>
      </c>
      <c r="U7" s="3">
        <v>27.23918874</v>
      </c>
      <c r="V7" s="3">
        <v>0.054638874</v>
      </c>
      <c r="W7" s="3">
        <v>63.31902553</v>
      </c>
      <c r="X7" s="3">
        <v>33.9</v>
      </c>
      <c r="Y7" s="3">
        <v>1.852781994</v>
      </c>
      <c r="Z7" s="3">
        <v>1.463414669</v>
      </c>
      <c r="AA7" s="3">
        <v>-2.06750989</v>
      </c>
      <c r="AB7" s="3">
        <v>-1.643440247</v>
      </c>
      <c r="AC7" s="3">
        <v>-1.662965536</v>
      </c>
      <c r="AD7" s="3">
        <v>-1.12542963</v>
      </c>
      <c r="AE7" s="3">
        <v>1.22415</v>
      </c>
      <c r="AF7" s="2" t="s">
        <v>34</v>
      </c>
      <c r="AG7" s="2" t="s">
        <v>34</v>
      </c>
    </row>
    <row r="8">
      <c r="A8" s="2" t="s">
        <v>33</v>
      </c>
      <c r="B8" s="3">
        <v>2006.0</v>
      </c>
      <c r="C8" s="3">
        <v>6.971758282E9</v>
      </c>
      <c r="D8" s="3">
        <v>5.357403247</v>
      </c>
      <c r="E8" s="3">
        <v>274.0153923</v>
      </c>
      <c r="F8" s="3">
        <v>7.918</v>
      </c>
      <c r="G8" s="3">
        <v>6.78459655</v>
      </c>
      <c r="H8" s="3">
        <v>3.413772973</v>
      </c>
      <c r="I8" s="4"/>
      <c r="J8" s="4"/>
      <c r="K8" s="3">
        <v>2.5442944E7</v>
      </c>
      <c r="L8" s="3">
        <v>4.139678035</v>
      </c>
      <c r="M8" s="2" t="s">
        <v>34</v>
      </c>
      <c r="N8" s="3">
        <v>58.684</v>
      </c>
      <c r="O8" s="3">
        <v>75.1</v>
      </c>
      <c r="P8" s="2" t="s">
        <v>34</v>
      </c>
      <c r="Q8" s="3">
        <v>103.9322433</v>
      </c>
      <c r="R8" s="3">
        <v>22.907</v>
      </c>
      <c r="S8" s="3">
        <v>33.5</v>
      </c>
      <c r="T8" s="3">
        <v>38.56711933</v>
      </c>
      <c r="U8" s="3">
        <v>28.81226623</v>
      </c>
      <c r="V8" s="3">
        <v>0.05806718</v>
      </c>
      <c r="W8" s="3">
        <v>61.51464943</v>
      </c>
      <c r="X8" s="3">
        <v>31.9</v>
      </c>
      <c r="Y8" s="3">
        <v>1.852781994</v>
      </c>
      <c r="Z8" s="3">
        <v>1.951219559</v>
      </c>
      <c r="AA8" s="3">
        <v>-2.219134569</v>
      </c>
      <c r="AB8" s="3">
        <v>-1.689468622</v>
      </c>
      <c r="AC8" s="3">
        <v>-1.879004836</v>
      </c>
      <c r="AD8" s="3">
        <v>-1.110293984</v>
      </c>
      <c r="AE8" s="3">
        <v>2.10712</v>
      </c>
      <c r="AF8" s="2" t="s">
        <v>34</v>
      </c>
      <c r="AG8" s="2" t="s">
        <v>34</v>
      </c>
    </row>
    <row r="9">
      <c r="A9" s="2" t="s">
        <v>33</v>
      </c>
      <c r="B9" s="3">
        <v>2007.0</v>
      </c>
      <c r="C9" s="3">
        <v>9.747886187E9</v>
      </c>
      <c r="D9" s="3">
        <v>13.82631955</v>
      </c>
      <c r="E9" s="3">
        <v>376.3182996</v>
      </c>
      <c r="F9" s="3">
        <v>7.908</v>
      </c>
      <c r="G9" s="3">
        <v>8.680570785</v>
      </c>
      <c r="H9" s="3">
        <v>1.935701714</v>
      </c>
      <c r="I9" s="4"/>
      <c r="J9" s="4"/>
      <c r="K9" s="3">
        <v>2.5903301E7</v>
      </c>
      <c r="L9" s="3">
        <v>1.793195727</v>
      </c>
      <c r="M9" s="2" t="s">
        <v>34</v>
      </c>
      <c r="N9" s="3">
        <v>59.111</v>
      </c>
      <c r="O9" s="3">
        <v>72.3</v>
      </c>
      <c r="P9" s="2" t="s">
        <v>34</v>
      </c>
      <c r="Q9" s="3">
        <v>101.0864563</v>
      </c>
      <c r="R9" s="3">
        <v>23.113</v>
      </c>
      <c r="S9" s="3">
        <v>38.4</v>
      </c>
      <c r="T9" s="3">
        <v>41.0836739</v>
      </c>
      <c r="U9" s="3">
        <v>30.46653361</v>
      </c>
      <c r="V9" s="3">
        <v>0.079665522</v>
      </c>
      <c r="W9" s="3">
        <v>58.08378502</v>
      </c>
      <c r="X9" s="3">
        <v>28.8</v>
      </c>
      <c r="Y9" s="3">
        <v>1.852781994</v>
      </c>
      <c r="Z9" s="3">
        <v>0.970873773</v>
      </c>
      <c r="AA9" s="3">
        <v>-2.41337347</v>
      </c>
      <c r="AB9" s="3">
        <v>-1.708872318</v>
      </c>
      <c r="AC9" s="3">
        <v>-1.852560043</v>
      </c>
      <c r="AD9" s="3">
        <v>-1.057653904</v>
      </c>
      <c r="AE9" s="3">
        <v>1.9</v>
      </c>
      <c r="AF9" s="2" t="s">
        <v>34</v>
      </c>
      <c r="AG9" s="2" t="s">
        <v>34</v>
      </c>
    </row>
    <row r="10">
      <c r="A10" s="2" t="s">
        <v>33</v>
      </c>
      <c r="B10" s="3">
        <v>2008.0</v>
      </c>
      <c r="C10" s="3">
        <v>1.0109297048E10</v>
      </c>
      <c r="D10" s="3">
        <v>3.92498382</v>
      </c>
      <c r="E10" s="3">
        <v>382.5338072</v>
      </c>
      <c r="F10" s="3">
        <v>7.92</v>
      </c>
      <c r="G10" s="3">
        <v>26.41866415</v>
      </c>
      <c r="H10" s="3">
        <v>0.455360445</v>
      </c>
      <c r="I10" s="4"/>
      <c r="J10" s="4"/>
      <c r="K10" s="3">
        <v>2.6427199E7</v>
      </c>
      <c r="L10" s="3">
        <v>2.002333262</v>
      </c>
      <c r="M10" s="2" t="s">
        <v>34</v>
      </c>
      <c r="N10" s="3">
        <v>59.852</v>
      </c>
      <c r="O10" s="3">
        <v>69.6</v>
      </c>
      <c r="P10" s="2" t="s">
        <v>34</v>
      </c>
      <c r="Q10" s="3">
        <v>103.4139633</v>
      </c>
      <c r="R10" s="3">
        <v>23.32</v>
      </c>
      <c r="S10" s="3">
        <v>42.4</v>
      </c>
      <c r="T10" s="3">
        <v>43.63260872</v>
      </c>
      <c r="U10" s="3">
        <v>32.12870461</v>
      </c>
      <c r="V10" s="3">
        <v>0.15247927</v>
      </c>
      <c r="W10" s="3">
        <v>54.19114381</v>
      </c>
      <c r="X10" s="3">
        <v>21.2</v>
      </c>
      <c r="Y10" s="3">
        <v>1.852781994</v>
      </c>
      <c r="Z10" s="3">
        <v>0.485436887</v>
      </c>
      <c r="AA10" s="3">
        <v>-2.69136095</v>
      </c>
      <c r="AB10" s="3">
        <v>-1.607166886</v>
      </c>
      <c r="AC10" s="3">
        <v>-1.903307557</v>
      </c>
      <c r="AD10" s="3">
        <v>-1.168901801</v>
      </c>
      <c r="AE10" s="3">
        <v>1.84</v>
      </c>
      <c r="AF10" s="2" t="s">
        <v>34</v>
      </c>
      <c r="AG10" s="2" t="s">
        <v>34</v>
      </c>
    </row>
    <row r="11">
      <c r="A11" s="2" t="s">
        <v>33</v>
      </c>
      <c r="B11" s="3">
        <v>2009.0</v>
      </c>
      <c r="C11" s="3">
        <v>1.2416152732E10</v>
      </c>
      <c r="D11" s="3">
        <v>21.39052839</v>
      </c>
      <c r="E11" s="3">
        <v>453.3873851</v>
      </c>
      <c r="F11" s="3">
        <v>7.914</v>
      </c>
      <c r="G11" s="3">
        <v>-6.811161089</v>
      </c>
      <c r="H11" s="3">
        <v>0.451889146</v>
      </c>
      <c r="I11" s="4"/>
      <c r="J11" s="4"/>
      <c r="K11" s="3">
        <v>2.7385307E7</v>
      </c>
      <c r="L11" s="3">
        <v>3.561288374</v>
      </c>
      <c r="M11" s="2" t="s">
        <v>34</v>
      </c>
      <c r="N11" s="3">
        <v>60.364</v>
      </c>
      <c r="O11" s="3">
        <v>67.0</v>
      </c>
      <c r="P11" s="2" t="s">
        <v>34</v>
      </c>
      <c r="Q11" s="3">
        <v>99.36972046</v>
      </c>
      <c r="R11" s="3">
        <v>23.528</v>
      </c>
      <c r="S11" s="3">
        <v>48.3</v>
      </c>
      <c r="T11" s="3">
        <v>46.21376265</v>
      </c>
      <c r="U11" s="3">
        <v>33.79895774</v>
      </c>
      <c r="V11" s="3">
        <v>0.236856939</v>
      </c>
      <c r="W11" s="3">
        <v>51.00143731</v>
      </c>
      <c r="X11" s="3">
        <v>16.5</v>
      </c>
      <c r="Y11" s="3">
        <v>1.852781994</v>
      </c>
      <c r="Z11" s="3">
        <v>0.95693779</v>
      </c>
      <c r="AA11" s="3">
        <v>-2.71142149</v>
      </c>
      <c r="AB11" s="3">
        <v>-1.664507627</v>
      </c>
      <c r="AC11" s="3">
        <v>-1.876118779</v>
      </c>
      <c r="AD11" s="3">
        <v>-1.375495195</v>
      </c>
      <c r="AE11" s="3">
        <v>3.55</v>
      </c>
      <c r="AF11" s="2" t="s">
        <v>34</v>
      </c>
      <c r="AG11" s="2" t="s">
        <v>34</v>
      </c>
    </row>
    <row r="12">
      <c r="A12" s="2" t="s">
        <v>33</v>
      </c>
      <c r="B12" s="3">
        <v>2010.0</v>
      </c>
      <c r="C12" s="3">
        <v>1.5856668556E10</v>
      </c>
      <c r="D12" s="3">
        <v>14.36244147</v>
      </c>
      <c r="E12" s="3">
        <v>562.4992216</v>
      </c>
      <c r="F12" s="3">
        <v>7.914</v>
      </c>
      <c r="G12" s="3">
        <v>2.178537524</v>
      </c>
      <c r="H12" s="3">
        <v>1.20311799</v>
      </c>
      <c r="I12" s="4"/>
      <c r="J12" s="4"/>
      <c r="K12" s="3">
        <v>2.8189672E7</v>
      </c>
      <c r="L12" s="3">
        <v>2.894904104</v>
      </c>
      <c r="M12" s="2" t="s">
        <v>34</v>
      </c>
      <c r="N12" s="3">
        <v>60.851</v>
      </c>
      <c r="O12" s="3">
        <v>64.6</v>
      </c>
      <c r="P12" s="2" t="s">
        <v>34</v>
      </c>
      <c r="Q12" s="3">
        <v>102.9034424</v>
      </c>
      <c r="R12" s="3">
        <v>23.737</v>
      </c>
      <c r="S12" s="3">
        <v>42.7</v>
      </c>
      <c r="T12" s="3">
        <v>48.82696852</v>
      </c>
      <c r="U12" s="3">
        <v>35.47747099</v>
      </c>
      <c r="V12" s="3">
        <v>0.286853284</v>
      </c>
      <c r="W12" s="3">
        <v>49.67937703</v>
      </c>
      <c r="X12" s="3">
        <v>15.2</v>
      </c>
      <c r="Y12" s="3">
        <v>1.852781994</v>
      </c>
      <c r="Z12" s="3">
        <v>0.952380955</v>
      </c>
      <c r="AA12" s="3">
        <v>-2.579151869</v>
      </c>
      <c r="AB12" s="3">
        <v>-1.516528249</v>
      </c>
      <c r="AC12" s="3">
        <v>-1.87005806</v>
      </c>
      <c r="AD12" s="3">
        <v>-1.404467344</v>
      </c>
      <c r="AE12" s="3">
        <v>4.0</v>
      </c>
      <c r="AF12" s="2" t="s">
        <v>34</v>
      </c>
      <c r="AG12" s="2" t="s">
        <v>34</v>
      </c>
    </row>
    <row r="13">
      <c r="A13" s="2" t="s">
        <v>33</v>
      </c>
      <c r="B13" s="3">
        <v>2011.0</v>
      </c>
      <c r="C13" s="3">
        <v>1.7805098206E10</v>
      </c>
      <c r="D13" s="3">
        <v>0.426354777</v>
      </c>
      <c r="E13" s="3">
        <v>608.7388504</v>
      </c>
      <c r="F13" s="3">
        <v>7.916</v>
      </c>
      <c r="G13" s="3">
        <v>11.80418581</v>
      </c>
      <c r="H13" s="3">
        <v>0.29302518</v>
      </c>
      <c r="I13" s="4"/>
      <c r="J13" s="4"/>
      <c r="K13" s="3">
        <v>2.9249157E7</v>
      </c>
      <c r="L13" s="3">
        <v>3.689508302</v>
      </c>
      <c r="M13" s="2" t="s">
        <v>34</v>
      </c>
      <c r="N13" s="3">
        <v>61.419</v>
      </c>
      <c r="O13" s="3">
        <v>62.3</v>
      </c>
      <c r="P13" s="3">
        <v>31.0</v>
      </c>
      <c r="Q13" s="3">
        <v>100.2902985</v>
      </c>
      <c r="R13" s="3">
        <v>23.948</v>
      </c>
      <c r="S13" s="3">
        <v>43.2</v>
      </c>
      <c r="T13" s="3">
        <v>51.47237647</v>
      </c>
      <c r="U13" s="3">
        <v>37.16457222</v>
      </c>
      <c r="V13" s="3">
        <v>0.403450944</v>
      </c>
      <c r="W13" s="3">
        <v>61.81705591</v>
      </c>
      <c r="X13" s="3">
        <v>12.6</v>
      </c>
      <c r="Y13" s="3">
        <v>1.852781994</v>
      </c>
      <c r="Z13" s="3">
        <v>0.473933637</v>
      </c>
      <c r="AA13" s="3">
        <v>-2.502059698</v>
      </c>
      <c r="AB13" s="3">
        <v>-1.536323905</v>
      </c>
      <c r="AC13" s="3">
        <v>-1.922500134</v>
      </c>
      <c r="AD13" s="3">
        <v>-1.335976958</v>
      </c>
      <c r="AE13" s="3">
        <v>5.0</v>
      </c>
      <c r="AF13" s="2" t="s">
        <v>34</v>
      </c>
      <c r="AG13" s="2" t="s">
        <v>34</v>
      </c>
    </row>
    <row r="14">
      <c r="A14" s="2" t="s">
        <v>33</v>
      </c>
      <c r="B14" s="3">
        <v>2012.0</v>
      </c>
      <c r="C14" s="3">
        <v>1.9907329778E10</v>
      </c>
      <c r="D14" s="3">
        <v>12.75228709</v>
      </c>
      <c r="E14" s="3">
        <v>653.4174749</v>
      </c>
      <c r="F14" s="3">
        <v>7.909</v>
      </c>
      <c r="G14" s="3">
        <v>6.441212809</v>
      </c>
      <c r="H14" s="3">
        <v>0.285440894</v>
      </c>
      <c r="I14" s="4"/>
      <c r="J14" s="4"/>
      <c r="K14" s="3">
        <v>3.0466479E7</v>
      </c>
      <c r="L14" s="3">
        <v>4.077627729</v>
      </c>
      <c r="M14" s="2" t="s">
        <v>34</v>
      </c>
      <c r="N14" s="3">
        <v>61.923</v>
      </c>
      <c r="O14" s="3">
        <v>60.1</v>
      </c>
      <c r="P14" s="2" t="s">
        <v>34</v>
      </c>
      <c r="Q14" s="3">
        <v>106.2834015</v>
      </c>
      <c r="R14" s="3">
        <v>24.16</v>
      </c>
      <c r="S14" s="3">
        <v>69.1</v>
      </c>
      <c r="T14" s="3">
        <v>54.14949164</v>
      </c>
      <c r="U14" s="3">
        <v>38.86030503</v>
      </c>
      <c r="V14" s="3">
        <v>0.334026128</v>
      </c>
      <c r="W14" s="3">
        <v>70.92231651</v>
      </c>
      <c r="X14" s="3">
        <v>15.4</v>
      </c>
      <c r="Y14" s="3">
        <v>1.852781994</v>
      </c>
      <c r="Z14" s="3">
        <v>1.421800971</v>
      </c>
      <c r="AA14" s="3">
        <v>-2.418561459</v>
      </c>
      <c r="AB14" s="3">
        <v>-1.192579746</v>
      </c>
      <c r="AC14" s="3">
        <v>-1.651893139</v>
      </c>
      <c r="AD14" s="3">
        <v>-1.267430067</v>
      </c>
      <c r="AE14" s="3">
        <v>5.45455</v>
      </c>
      <c r="AF14" s="2" t="s">
        <v>34</v>
      </c>
      <c r="AG14" s="2" t="s">
        <v>34</v>
      </c>
    </row>
    <row r="15">
      <c r="A15" s="2" t="s">
        <v>33</v>
      </c>
      <c r="B15" s="3">
        <v>2013.0</v>
      </c>
      <c r="C15" s="3">
        <v>2.0146416758E10</v>
      </c>
      <c r="D15" s="3">
        <v>5.600744659</v>
      </c>
      <c r="E15" s="3">
        <v>638.733181</v>
      </c>
      <c r="F15" s="3">
        <v>7.919</v>
      </c>
      <c r="G15" s="3">
        <v>7.385771784</v>
      </c>
      <c r="H15" s="3">
        <v>0.239801184</v>
      </c>
      <c r="I15" s="4"/>
      <c r="J15" s="4"/>
      <c r="K15" s="3">
        <v>3.1541209E7</v>
      </c>
      <c r="L15" s="3">
        <v>3.466788304</v>
      </c>
      <c r="M15" s="2" t="s">
        <v>34</v>
      </c>
      <c r="N15" s="3">
        <v>62.417</v>
      </c>
      <c r="O15" s="3">
        <v>58.1</v>
      </c>
      <c r="P15" s="2" t="s">
        <v>34</v>
      </c>
      <c r="Q15" s="3">
        <v>107.6959763</v>
      </c>
      <c r="R15" s="3">
        <v>24.373</v>
      </c>
      <c r="S15" s="3">
        <v>68.0</v>
      </c>
      <c r="T15" s="3">
        <v>56.85814159</v>
      </c>
      <c r="U15" s="3">
        <v>40.56485238</v>
      </c>
      <c r="V15" s="3">
        <v>0.275547459</v>
      </c>
      <c r="W15" s="3">
        <v>73.1318159</v>
      </c>
      <c r="X15" s="3">
        <v>16.9</v>
      </c>
      <c r="Y15" s="3">
        <v>1.852781994</v>
      </c>
      <c r="Z15" s="3">
        <v>0.947867274</v>
      </c>
      <c r="AA15" s="3">
        <v>-2.519349098</v>
      </c>
      <c r="AB15" s="3">
        <v>-1.1930902</v>
      </c>
      <c r="AC15" s="3">
        <v>-1.609111547</v>
      </c>
      <c r="AD15" s="3">
        <v>-1.240068436</v>
      </c>
      <c r="AE15" s="3">
        <v>5.9</v>
      </c>
      <c r="AF15" s="2" t="s">
        <v>34</v>
      </c>
      <c r="AG15" s="2" t="s">
        <v>34</v>
      </c>
    </row>
    <row r="16">
      <c r="A16" s="2" t="s">
        <v>33</v>
      </c>
      <c r="B16" s="3">
        <v>2014.0</v>
      </c>
      <c r="C16" s="3">
        <v>2.0497128556E10</v>
      </c>
      <c r="D16" s="3">
        <v>2.724543362</v>
      </c>
      <c r="E16" s="3">
        <v>626.5129291</v>
      </c>
      <c r="F16" s="3">
        <v>7.915</v>
      </c>
      <c r="G16" s="3">
        <v>4.673996035</v>
      </c>
      <c r="H16" s="3">
        <v>0.209664795</v>
      </c>
      <c r="I16" s="4"/>
      <c r="J16" s="4"/>
      <c r="K16" s="3">
        <v>3.271621E7</v>
      </c>
      <c r="L16" s="3">
        <v>3.657576065</v>
      </c>
      <c r="M16" s="2" t="s">
        <v>34</v>
      </c>
      <c r="N16" s="3">
        <v>62.545</v>
      </c>
      <c r="O16" s="3">
        <v>56.2</v>
      </c>
      <c r="P16" s="2" t="s">
        <v>34</v>
      </c>
      <c r="Q16" s="3">
        <v>109.1155167</v>
      </c>
      <c r="R16" s="3">
        <v>24.587</v>
      </c>
      <c r="S16" s="3">
        <v>89.5</v>
      </c>
      <c r="T16" s="3">
        <v>59.59815817</v>
      </c>
      <c r="U16" s="3">
        <v>42.27840265</v>
      </c>
      <c r="V16" s="3">
        <v>0.25307638</v>
      </c>
      <c r="W16" s="3">
        <v>77.14372755</v>
      </c>
      <c r="X16" s="3">
        <v>19.1</v>
      </c>
      <c r="Y16" s="3">
        <v>1.852781994</v>
      </c>
      <c r="Z16" s="3">
        <v>5.288461685</v>
      </c>
      <c r="AA16" s="3">
        <v>-2.411068439</v>
      </c>
      <c r="AB16" s="3">
        <v>-1.124133706</v>
      </c>
      <c r="AC16" s="3">
        <v>-1.437044501</v>
      </c>
      <c r="AD16" s="3">
        <v>-1.135439992</v>
      </c>
      <c r="AE16" s="3">
        <v>7.0</v>
      </c>
      <c r="AF16" s="2" t="s">
        <v>34</v>
      </c>
      <c r="AG16" s="2" t="s">
        <v>34</v>
      </c>
    </row>
    <row r="17">
      <c r="A17" s="2" t="s">
        <v>33</v>
      </c>
      <c r="B17" s="3">
        <v>2015.0</v>
      </c>
      <c r="C17" s="3">
        <v>1.9134221645E10</v>
      </c>
      <c r="D17" s="3">
        <v>1.451314661</v>
      </c>
      <c r="E17" s="3">
        <v>566.8811297</v>
      </c>
      <c r="F17" s="3">
        <v>9.011</v>
      </c>
      <c r="G17" s="3">
        <v>-0.661709165</v>
      </c>
      <c r="H17" s="3">
        <v>0.884000463</v>
      </c>
      <c r="I17" s="4"/>
      <c r="J17" s="4"/>
      <c r="K17" s="3">
        <v>3.3753499E7</v>
      </c>
      <c r="L17" s="3">
        <v>3.121341229</v>
      </c>
      <c r="M17" s="2" t="s">
        <v>34</v>
      </c>
      <c r="N17" s="3">
        <v>62.659</v>
      </c>
      <c r="O17" s="3">
        <v>54.6</v>
      </c>
      <c r="P17" s="3">
        <v>33.7538414</v>
      </c>
      <c r="Q17" s="3">
        <v>106.1824188</v>
      </c>
      <c r="R17" s="3">
        <v>24.803</v>
      </c>
      <c r="S17" s="3">
        <v>71.5</v>
      </c>
      <c r="T17" s="3">
        <v>62.36965956</v>
      </c>
      <c r="U17" s="3">
        <v>44.00130864</v>
      </c>
      <c r="V17" s="3">
        <v>0.258331736</v>
      </c>
      <c r="W17" s="3">
        <v>73.49081763</v>
      </c>
      <c r="X17" s="3">
        <v>17.7</v>
      </c>
      <c r="Y17" s="3">
        <v>1.852781994</v>
      </c>
      <c r="Z17" s="3">
        <v>5.714285851</v>
      </c>
      <c r="AA17" s="3">
        <v>-2.56262517</v>
      </c>
      <c r="AB17" s="3">
        <v>-1.018826246</v>
      </c>
      <c r="AC17" s="3">
        <v>-1.515202641</v>
      </c>
      <c r="AD17" s="3">
        <v>-1.117556691</v>
      </c>
      <c r="AE17" s="3">
        <v>8.26</v>
      </c>
      <c r="AF17" s="2" t="s">
        <v>34</v>
      </c>
      <c r="AG17" s="2" t="s">
        <v>34</v>
      </c>
    </row>
    <row r="18">
      <c r="A18" s="2" t="s">
        <v>33</v>
      </c>
      <c r="B18" s="3">
        <v>2016.0</v>
      </c>
      <c r="C18" s="3">
        <v>1.8116572395E10</v>
      </c>
      <c r="D18" s="3">
        <v>2.260314203</v>
      </c>
      <c r="E18" s="3">
        <v>523.053012</v>
      </c>
      <c r="F18" s="3">
        <v>10.1</v>
      </c>
      <c r="G18" s="3">
        <v>4.383891955</v>
      </c>
      <c r="H18" s="3">
        <v>0.516606085</v>
      </c>
      <c r="I18" s="4"/>
      <c r="J18" s="4"/>
      <c r="K18" s="3">
        <v>3.4636207E7</v>
      </c>
      <c r="L18" s="3">
        <v>2.581549399</v>
      </c>
      <c r="M18" s="2" t="s">
        <v>34</v>
      </c>
      <c r="N18" s="3">
        <v>63.136</v>
      </c>
      <c r="O18" s="3">
        <v>53.0</v>
      </c>
      <c r="P18" s="2" t="s">
        <v>34</v>
      </c>
      <c r="Q18" s="3">
        <v>106.1502838</v>
      </c>
      <c r="R18" s="3">
        <v>25.02</v>
      </c>
      <c r="S18" s="3">
        <v>97.7</v>
      </c>
      <c r="T18" s="3">
        <v>65.17216226</v>
      </c>
      <c r="U18" s="3">
        <v>45.73360216</v>
      </c>
      <c r="V18" s="3">
        <v>0.229161929</v>
      </c>
      <c r="W18" s="3">
        <v>72.76591014</v>
      </c>
      <c r="X18" s="3">
        <v>20.2</v>
      </c>
      <c r="Y18" s="3">
        <v>1.852781994</v>
      </c>
      <c r="Z18" s="3">
        <v>3.809523821</v>
      </c>
      <c r="AA18" s="3">
        <v>-2.662156105</v>
      </c>
      <c r="AB18" s="3">
        <v>-1.339695096</v>
      </c>
      <c r="AC18" s="3">
        <v>-1.520713925</v>
      </c>
      <c r="AD18" s="3">
        <v>-1.037788033</v>
      </c>
      <c r="AE18" s="3">
        <v>11.0</v>
      </c>
      <c r="AF18" s="2" t="s">
        <v>34</v>
      </c>
      <c r="AG18" s="2" t="s">
        <v>34</v>
      </c>
    </row>
    <row r="19">
      <c r="A19" s="2" t="s">
        <v>33</v>
      </c>
      <c r="B19" s="3">
        <v>2017.0</v>
      </c>
      <c r="C19" s="3">
        <v>1.8753456498E10</v>
      </c>
      <c r="D19" s="3">
        <v>2.647003203</v>
      </c>
      <c r="E19" s="3">
        <v>526.140801</v>
      </c>
      <c r="F19" s="3">
        <v>11.184</v>
      </c>
      <c r="G19" s="3">
        <v>4.975951506</v>
      </c>
      <c r="H19" s="3">
        <v>0.274796792</v>
      </c>
      <c r="I19" s="4"/>
      <c r="J19" s="4"/>
      <c r="K19" s="3">
        <v>3.5643418E7</v>
      </c>
      <c r="L19" s="3">
        <v>2.866492148</v>
      </c>
      <c r="M19" s="2" t="s">
        <v>34</v>
      </c>
      <c r="N19" s="3">
        <v>63.016</v>
      </c>
      <c r="O19" s="3">
        <v>51.5</v>
      </c>
      <c r="P19" s="2" t="s">
        <v>34</v>
      </c>
      <c r="Q19" s="3">
        <v>106.1299973</v>
      </c>
      <c r="R19" s="3">
        <v>25.25</v>
      </c>
      <c r="S19" s="3">
        <v>97.7</v>
      </c>
      <c r="T19" s="3">
        <v>68.00887159</v>
      </c>
      <c r="U19" s="3">
        <v>47.4776158</v>
      </c>
      <c r="V19" s="3">
        <v>0.239789012</v>
      </c>
      <c r="W19" s="3">
        <v>65.862347</v>
      </c>
      <c r="X19" s="3">
        <v>19.5</v>
      </c>
      <c r="Y19" s="3">
        <v>1.852781994</v>
      </c>
      <c r="Z19" s="3">
        <v>3.809523821</v>
      </c>
      <c r="AA19" s="3">
        <v>-2.794973612</v>
      </c>
      <c r="AB19" s="3">
        <v>-1.369762778</v>
      </c>
      <c r="AC19" s="3">
        <v>-1.583736897</v>
      </c>
      <c r="AD19" s="3">
        <v>-0.990814269</v>
      </c>
      <c r="AE19" s="3">
        <v>13.5</v>
      </c>
      <c r="AF19" s="2" t="s">
        <v>34</v>
      </c>
      <c r="AG19" s="2" t="s">
        <v>34</v>
      </c>
    </row>
    <row r="20">
      <c r="A20" s="2" t="s">
        <v>33</v>
      </c>
      <c r="B20" s="3">
        <v>2018.0</v>
      </c>
      <c r="C20" s="3">
        <v>1.8053222687E10</v>
      </c>
      <c r="D20" s="3">
        <v>1.189228129</v>
      </c>
      <c r="E20" s="3">
        <v>492.090631</v>
      </c>
      <c r="F20" s="3">
        <v>11.206</v>
      </c>
      <c r="G20" s="3">
        <v>0.626149149</v>
      </c>
      <c r="H20" s="3">
        <v>0.661572218</v>
      </c>
      <c r="I20" s="4"/>
      <c r="J20" s="4"/>
      <c r="K20" s="3">
        <v>3.6686784E7</v>
      </c>
      <c r="L20" s="3">
        <v>2.885207973</v>
      </c>
      <c r="M20" s="2" t="s">
        <v>34</v>
      </c>
      <c r="N20" s="3">
        <v>63.081</v>
      </c>
      <c r="O20" s="3">
        <v>50.1</v>
      </c>
      <c r="P20" s="2" t="s">
        <v>34</v>
      </c>
      <c r="Q20" s="3">
        <v>107.7805328</v>
      </c>
      <c r="R20" s="3">
        <v>25.495</v>
      </c>
      <c r="S20" s="3">
        <v>93.4</v>
      </c>
      <c r="T20" s="3">
        <v>70.87994089</v>
      </c>
      <c r="U20" s="3">
        <v>49.23414442</v>
      </c>
      <c r="V20" s="3">
        <v>0.221575704</v>
      </c>
      <c r="W20" s="3">
        <v>67.22717748</v>
      </c>
      <c r="X20" s="3">
        <v>18.3</v>
      </c>
      <c r="Y20" s="3">
        <v>1.852781994</v>
      </c>
      <c r="Z20" s="3">
        <v>4.761904716</v>
      </c>
      <c r="AA20" s="3">
        <v>-2.753262043</v>
      </c>
      <c r="AB20" s="3">
        <v>-1.138203621</v>
      </c>
      <c r="AC20" s="3">
        <v>-1.688586712</v>
      </c>
      <c r="AD20" s="3">
        <v>-1.007052064</v>
      </c>
      <c r="AE20" s="3">
        <v>16.8</v>
      </c>
      <c r="AF20" s="2" t="s">
        <v>34</v>
      </c>
      <c r="AG20" s="3">
        <v>0.0</v>
      </c>
    </row>
    <row r="21">
      <c r="A21" s="2" t="s">
        <v>33</v>
      </c>
      <c r="B21" s="3">
        <v>2019.0</v>
      </c>
      <c r="C21" s="3">
        <v>1.879944449E10</v>
      </c>
      <c r="D21" s="3">
        <v>3.911603416</v>
      </c>
      <c r="E21" s="3">
        <v>497.7414313</v>
      </c>
      <c r="F21" s="3">
        <v>11.224</v>
      </c>
      <c r="G21" s="3">
        <v>2.302372515</v>
      </c>
      <c r="H21" s="3">
        <v>0.124495985</v>
      </c>
      <c r="I21" s="4"/>
      <c r="J21" s="4"/>
      <c r="K21" s="3">
        <v>3.7769499E7</v>
      </c>
      <c r="L21" s="3">
        <v>2.908529093</v>
      </c>
      <c r="M21" s="2" t="s">
        <v>34</v>
      </c>
      <c r="N21" s="3">
        <v>63.565</v>
      </c>
      <c r="O21" s="3">
        <v>48.8</v>
      </c>
      <c r="P21" s="2" t="s">
        <v>34</v>
      </c>
      <c r="Q21" s="3">
        <v>110.0075073</v>
      </c>
      <c r="R21" s="3">
        <v>25.754</v>
      </c>
      <c r="S21" s="3">
        <v>97.7</v>
      </c>
      <c r="T21" s="3">
        <v>73.784643</v>
      </c>
      <c r="U21" s="3">
        <v>51.00348109</v>
      </c>
      <c r="V21" s="3">
        <v>0.197193508</v>
      </c>
      <c r="W21" s="3">
        <v>58.33087223</v>
      </c>
      <c r="X21" s="3">
        <v>18.9</v>
      </c>
      <c r="Y21" s="3">
        <v>1.852781994</v>
      </c>
      <c r="Z21" s="3">
        <v>5.714285851</v>
      </c>
      <c r="AA21" s="3">
        <v>-2.652406931</v>
      </c>
      <c r="AB21" s="3">
        <v>-1.113777995</v>
      </c>
      <c r="AC21" s="3">
        <v>-1.741318822</v>
      </c>
      <c r="AD21" s="3">
        <v>-1.006574869</v>
      </c>
      <c r="AE21" s="3">
        <v>17.6</v>
      </c>
      <c r="AF21" s="2" t="s">
        <v>34</v>
      </c>
      <c r="AG21" s="3">
        <v>0.0</v>
      </c>
    </row>
    <row r="22">
      <c r="A22" s="2" t="s">
        <v>33</v>
      </c>
      <c r="B22" s="3">
        <v>2020.0</v>
      </c>
      <c r="C22" s="3">
        <v>1.9955929052E10</v>
      </c>
      <c r="D22" s="3">
        <v>-2.351100672</v>
      </c>
      <c r="E22" s="3">
        <v>512.055098</v>
      </c>
      <c r="F22" s="3">
        <v>11.71</v>
      </c>
      <c r="G22" s="4"/>
      <c r="H22" s="3">
        <v>0.064993957</v>
      </c>
      <c r="I22" s="3">
        <v>46.70989455</v>
      </c>
      <c r="J22" s="4"/>
      <c r="K22" s="3">
        <v>3.897223E7</v>
      </c>
      <c r="L22" s="3">
        <v>3.134746908</v>
      </c>
      <c r="M22" s="2" t="s">
        <v>34</v>
      </c>
      <c r="N22" s="3">
        <v>62.575</v>
      </c>
      <c r="O22" s="3">
        <v>47.4</v>
      </c>
      <c r="P22" s="2" t="s">
        <v>34</v>
      </c>
      <c r="Q22" s="2" t="s">
        <v>34</v>
      </c>
      <c r="R22" s="3">
        <v>26.026</v>
      </c>
      <c r="S22" s="3">
        <v>97.7</v>
      </c>
      <c r="T22" s="3">
        <v>76.7222554</v>
      </c>
      <c r="U22" s="3">
        <v>52.64900094</v>
      </c>
      <c r="V22" s="3">
        <v>0.140322994</v>
      </c>
      <c r="W22" s="3">
        <v>46.08709367</v>
      </c>
      <c r="X22" s="3">
        <v>18.2</v>
      </c>
      <c r="Y22" s="3">
        <v>1.852781994</v>
      </c>
      <c r="Z22" s="3">
        <v>4.761904716</v>
      </c>
      <c r="AA22" s="3">
        <v>-2.702631712</v>
      </c>
      <c r="AB22" s="3">
        <v>-1.389163017</v>
      </c>
      <c r="AC22" s="3">
        <v>-1.831374288</v>
      </c>
      <c r="AD22" s="3">
        <v>-1.077688575</v>
      </c>
      <c r="AE22" s="3">
        <v>18.4</v>
      </c>
      <c r="AF22" s="2" t="s">
        <v>34</v>
      </c>
      <c r="AG22" s="2" t="s">
        <v>34</v>
      </c>
    </row>
    <row r="23">
      <c r="A23" s="2" t="s">
        <v>33</v>
      </c>
      <c r="B23" s="3">
        <v>2021.0</v>
      </c>
      <c r="C23" s="3">
        <v>1.426649943E10</v>
      </c>
      <c r="D23" s="3">
        <v>-20.73883937</v>
      </c>
      <c r="E23" s="3">
        <v>355.7778264</v>
      </c>
      <c r="F23" s="3">
        <v>11.934</v>
      </c>
      <c r="G23" s="4"/>
      <c r="H23" s="3">
        <v>0.144401085</v>
      </c>
      <c r="I23" s="3">
        <v>51.41171637</v>
      </c>
      <c r="J23" s="4"/>
      <c r="K23" s="3">
        <v>4.0099462E7</v>
      </c>
      <c r="L23" s="3">
        <v>2.851357654</v>
      </c>
      <c r="M23" s="2" t="s">
        <v>34</v>
      </c>
      <c r="N23" s="3">
        <v>61.982</v>
      </c>
      <c r="O23" s="3">
        <v>46.1</v>
      </c>
      <c r="P23" s="3">
        <v>37.0</v>
      </c>
      <c r="Q23" s="2" t="s">
        <v>34</v>
      </c>
      <c r="R23" s="3">
        <v>26.314</v>
      </c>
      <c r="S23" s="3">
        <v>97.7</v>
      </c>
      <c r="T23" s="3">
        <v>79.69307846</v>
      </c>
      <c r="U23" s="3">
        <v>54.29858974</v>
      </c>
      <c r="V23" s="3">
        <v>0.140630316</v>
      </c>
      <c r="W23" s="2" t="s">
        <v>34</v>
      </c>
      <c r="X23" s="3">
        <v>20.0</v>
      </c>
      <c r="Y23" s="3">
        <v>1.852781994</v>
      </c>
      <c r="Z23" s="3">
        <v>12.38095284</v>
      </c>
      <c r="AA23" s="3">
        <v>-2.518530369</v>
      </c>
      <c r="AB23" s="3">
        <v>-1.311682105</v>
      </c>
      <c r="AC23" s="3">
        <v>-1.87635684</v>
      </c>
      <c r="AD23" s="3">
        <v>-1.567889929</v>
      </c>
      <c r="AE23" s="2" t="s">
        <v>34</v>
      </c>
      <c r="AF23" s="2" t="s">
        <v>34</v>
      </c>
      <c r="AG23" s="2" t="s">
        <v>34</v>
      </c>
    </row>
    <row r="24">
      <c r="A24" s="2" t="s">
        <v>33</v>
      </c>
      <c r="B24" s="3">
        <v>2022.0</v>
      </c>
      <c r="C24" s="3">
        <v>1.4502158192E10</v>
      </c>
      <c r="D24" s="3">
        <v>-6.240171992</v>
      </c>
      <c r="E24" s="3">
        <v>352.6037331</v>
      </c>
      <c r="F24" s="3">
        <v>14.1</v>
      </c>
      <c r="G24" s="4"/>
      <c r="H24" s="4"/>
      <c r="I24" s="3">
        <v>72.88546961</v>
      </c>
      <c r="J24" s="4"/>
      <c r="K24" s="3">
        <v>4.1128771E7</v>
      </c>
      <c r="L24" s="3">
        <v>2.534498317</v>
      </c>
      <c r="M24" s="2" t="s">
        <v>34</v>
      </c>
      <c r="N24" s="3">
        <v>62.879</v>
      </c>
      <c r="O24" s="3">
        <v>44.8</v>
      </c>
      <c r="P24" s="2" t="s">
        <v>34</v>
      </c>
      <c r="Q24" s="2" t="s">
        <v>34</v>
      </c>
      <c r="R24" s="3">
        <v>26.616</v>
      </c>
      <c r="S24" s="3">
        <v>85.3</v>
      </c>
      <c r="T24" s="3">
        <v>82.17537112</v>
      </c>
      <c r="U24" s="3">
        <v>55.95194129</v>
      </c>
      <c r="V24" s="3">
        <v>0.13800072</v>
      </c>
      <c r="W24" s="2" t="s">
        <v>34</v>
      </c>
      <c r="X24" s="3">
        <v>20.0</v>
      </c>
      <c r="Y24" s="2" t="s">
        <v>34</v>
      </c>
      <c r="Z24" s="3">
        <v>12.26415062</v>
      </c>
      <c r="AA24" s="3">
        <v>-2.550801754</v>
      </c>
      <c r="AB24" s="3">
        <v>-1.27180624</v>
      </c>
      <c r="AC24" s="3">
        <v>-1.658442259</v>
      </c>
      <c r="AD24" s="3">
        <v>-1.751587272</v>
      </c>
      <c r="AE24" s="2" t="s">
        <v>34</v>
      </c>
      <c r="AF24" s="2" t="s">
        <v>34</v>
      </c>
      <c r="AG24" s="2" t="s">
        <v>34</v>
      </c>
    </row>
    <row r="25">
      <c r="A25" s="2" t="s">
        <v>33</v>
      </c>
      <c r="B25" s="3">
        <v>2023.0</v>
      </c>
      <c r="C25" s="4"/>
      <c r="D25" s="4"/>
      <c r="E25" s="4"/>
      <c r="F25" s="3">
        <v>14.386</v>
      </c>
      <c r="G25" s="4"/>
      <c r="H25" s="4"/>
      <c r="I25" s="4"/>
      <c r="J25" s="4"/>
      <c r="K25" s="3">
        <v>4.2239854E7</v>
      </c>
      <c r="L25" s="3">
        <v>2.665628202</v>
      </c>
      <c r="M25" s="2" t="s">
        <v>34</v>
      </c>
      <c r="N25" s="2" t="s">
        <v>34</v>
      </c>
      <c r="O25" s="2" t="s">
        <v>34</v>
      </c>
      <c r="P25" s="2" t="s">
        <v>34</v>
      </c>
      <c r="Q25" s="2" t="s">
        <v>34</v>
      </c>
      <c r="R25" s="3">
        <v>26.933</v>
      </c>
      <c r="S25" s="2" t="s">
        <v>34</v>
      </c>
      <c r="T25" s="2" t="s">
        <v>34</v>
      </c>
      <c r="U25" s="2" t="s">
        <v>34</v>
      </c>
      <c r="V25" s="2" t="s">
        <v>34</v>
      </c>
      <c r="W25" s="2" t="s">
        <v>34</v>
      </c>
      <c r="X25" s="2" t="s">
        <v>34</v>
      </c>
      <c r="Y25" s="2" t="s">
        <v>34</v>
      </c>
      <c r="Z25" s="2" t="s">
        <v>34</v>
      </c>
      <c r="AA25" s="2" t="s">
        <v>34</v>
      </c>
      <c r="AB25" s="2" t="s">
        <v>34</v>
      </c>
      <c r="AC25" s="2" t="s">
        <v>34</v>
      </c>
      <c r="AD25" s="2" t="s">
        <v>34</v>
      </c>
      <c r="AE25" s="2" t="s">
        <v>34</v>
      </c>
      <c r="AF25" s="2" t="s">
        <v>34</v>
      </c>
      <c r="AG25" s="2" t="s">
        <v>34</v>
      </c>
    </row>
    <row r="26">
      <c r="A26" s="2" t="s">
        <v>35</v>
      </c>
      <c r="B26" s="3">
        <v>2000.0</v>
      </c>
      <c r="C26" s="3">
        <v>4.607334184E8</v>
      </c>
      <c r="D26" s="3">
        <v>3.355068305</v>
      </c>
      <c r="E26" s="3">
        <v>784.6184027</v>
      </c>
      <c r="F26" s="3">
        <v>1.652</v>
      </c>
      <c r="G26" s="3">
        <v>4.012120811</v>
      </c>
      <c r="H26" s="4"/>
      <c r="I26" s="3">
        <v>74.02649711</v>
      </c>
      <c r="J26" s="4"/>
      <c r="K26" s="3">
        <v>587207.0</v>
      </c>
      <c r="L26" s="3">
        <v>2.800570184</v>
      </c>
      <c r="M26" s="2" t="s">
        <v>34</v>
      </c>
      <c r="N26" s="3">
        <v>62.01</v>
      </c>
      <c r="O26" s="3">
        <v>58.4</v>
      </c>
      <c r="P26" s="2" t="s">
        <v>34</v>
      </c>
      <c r="Q26" s="3">
        <v>80.78762817</v>
      </c>
      <c r="R26" s="3">
        <v>25.418</v>
      </c>
      <c r="S26" s="3">
        <v>31.2</v>
      </c>
      <c r="T26" s="3">
        <v>82.36160234</v>
      </c>
      <c r="U26" s="3">
        <v>46.90494201</v>
      </c>
      <c r="V26" s="3">
        <v>0.719678069</v>
      </c>
      <c r="W26" s="3">
        <v>32.57384036</v>
      </c>
      <c r="X26" s="3">
        <v>91.4</v>
      </c>
      <c r="Y26" s="3">
        <v>65.47738693</v>
      </c>
      <c r="Z26" s="3">
        <v>71.27659607</v>
      </c>
      <c r="AA26" s="3">
        <v>0.491936684</v>
      </c>
      <c r="AB26" s="3">
        <v>-0.428554446</v>
      </c>
      <c r="AC26" s="3">
        <v>0.130426154</v>
      </c>
      <c r="AD26" s="3">
        <v>-1.112356544</v>
      </c>
      <c r="AE26" s="3">
        <v>0.400944</v>
      </c>
      <c r="AF26" s="2" t="s">
        <v>34</v>
      </c>
      <c r="AG26" s="2" t="s">
        <v>34</v>
      </c>
    </row>
    <row r="27">
      <c r="A27" s="2" t="s">
        <v>35</v>
      </c>
      <c r="B27" s="3">
        <v>2001.0</v>
      </c>
      <c r="C27" s="3">
        <v>4.961102257E8</v>
      </c>
      <c r="D27" s="3">
        <v>7.328374452</v>
      </c>
      <c r="E27" s="3">
        <v>822.4175456</v>
      </c>
      <c r="F27" s="3">
        <v>1.9</v>
      </c>
      <c r="G27" s="3">
        <v>3.414789461</v>
      </c>
      <c r="H27" s="4"/>
      <c r="I27" s="3">
        <v>71.09457473</v>
      </c>
      <c r="J27" s="4"/>
      <c r="K27" s="3">
        <v>603234.0</v>
      </c>
      <c r="L27" s="3">
        <v>2.692778294</v>
      </c>
      <c r="M27" s="2" t="s">
        <v>34</v>
      </c>
      <c r="N27" s="3">
        <v>63.444</v>
      </c>
      <c r="O27" s="3">
        <v>55.6</v>
      </c>
      <c r="P27" s="2" t="s">
        <v>34</v>
      </c>
      <c r="Q27" s="3">
        <v>82.15339661</v>
      </c>
      <c r="R27" s="3">
        <v>26.48</v>
      </c>
      <c r="S27" s="3">
        <v>40.2</v>
      </c>
      <c r="T27" s="3">
        <v>83.46728539</v>
      </c>
      <c r="U27" s="3">
        <v>47.26014571</v>
      </c>
      <c r="V27" s="3">
        <v>0.752278552</v>
      </c>
      <c r="W27" s="3">
        <v>32.91600699</v>
      </c>
      <c r="X27" s="3">
        <v>90.2</v>
      </c>
      <c r="Y27" s="3">
        <v>65.7268593</v>
      </c>
      <c r="Z27" s="2" t="s">
        <v>34</v>
      </c>
      <c r="AA27" s="2" t="s">
        <v>34</v>
      </c>
      <c r="AB27" s="2" t="s">
        <v>34</v>
      </c>
      <c r="AC27" s="2" t="s">
        <v>34</v>
      </c>
      <c r="AD27" s="2" t="s">
        <v>34</v>
      </c>
      <c r="AE27" s="3">
        <v>0.864629</v>
      </c>
      <c r="AF27" s="2" t="s">
        <v>34</v>
      </c>
      <c r="AG27" s="2" t="s">
        <v>34</v>
      </c>
    </row>
    <row r="28">
      <c r="A28" s="2" t="s">
        <v>35</v>
      </c>
      <c r="B28" s="3">
        <v>2002.0</v>
      </c>
      <c r="C28" s="3">
        <v>5.593452637E8</v>
      </c>
      <c r="D28" s="3">
        <v>10.44377954</v>
      </c>
      <c r="E28" s="3">
        <v>903.5571776</v>
      </c>
      <c r="F28" s="3">
        <v>1.851</v>
      </c>
      <c r="G28" s="3">
        <v>2.455357143</v>
      </c>
      <c r="H28" s="3">
        <v>0.4336159</v>
      </c>
      <c r="I28" s="3">
        <v>70.2833172</v>
      </c>
      <c r="J28" s="4"/>
      <c r="K28" s="3">
        <v>619048.0</v>
      </c>
      <c r="L28" s="3">
        <v>2.587763295</v>
      </c>
      <c r="M28" s="2" t="s">
        <v>34</v>
      </c>
      <c r="N28" s="3">
        <v>64.078</v>
      </c>
      <c r="O28" s="3">
        <v>52.7</v>
      </c>
      <c r="P28" s="2" t="s">
        <v>34</v>
      </c>
      <c r="Q28" s="3">
        <v>83.75219727</v>
      </c>
      <c r="R28" s="3">
        <v>27.57</v>
      </c>
      <c r="S28" s="3">
        <v>44.1</v>
      </c>
      <c r="T28" s="3">
        <v>84.61995697</v>
      </c>
      <c r="U28" s="3">
        <v>49.15474215</v>
      </c>
      <c r="V28" s="3">
        <v>0.791699513</v>
      </c>
      <c r="W28" s="3">
        <v>33.34418245</v>
      </c>
      <c r="X28" s="3">
        <v>89.7</v>
      </c>
      <c r="Y28" s="3">
        <v>65.97633166</v>
      </c>
      <c r="Z28" s="3">
        <v>70.89946747</v>
      </c>
      <c r="AA28" s="3">
        <v>0.693675578</v>
      </c>
      <c r="AB28" s="3">
        <v>-0.50857091</v>
      </c>
      <c r="AC28" s="3">
        <v>0.069401726</v>
      </c>
      <c r="AD28" s="3">
        <v>-1.290270805</v>
      </c>
      <c r="AE28" s="3">
        <v>1.6758</v>
      </c>
      <c r="AF28" s="2" t="s">
        <v>34</v>
      </c>
      <c r="AG28" s="2" t="s">
        <v>34</v>
      </c>
    </row>
    <row r="29">
      <c r="A29" s="2" t="s">
        <v>35</v>
      </c>
      <c r="B29" s="3">
        <v>2003.0</v>
      </c>
      <c r="C29" s="3">
        <v>6.519354303E8</v>
      </c>
      <c r="D29" s="3">
        <v>7.786560536</v>
      </c>
      <c r="E29" s="3">
        <v>1027.273391</v>
      </c>
      <c r="F29" s="3">
        <v>1.8</v>
      </c>
      <c r="G29" s="3">
        <v>2.572308617</v>
      </c>
      <c r="H29" s="3">
        <v>0.516969909</v>
      </c>
      <c r="I29" s="3">
        <v>72.84990066</v>
      </c>
      <c r="J29" s="3">
        <v>40.9</v>
      </c>
      <c r="K29" s="3">
        <v>634627.0</v>
      </c>
      <c r="L29" s="3">
        <v>2.485461063</v>
      </c>
      <c r="M29" s="3">
        <v>13.4</v>
      </c>
      <c r="N29" s="3">
        <v>64.696</v>
      </c>
      <c r="O29" s="3">
        <v>49.9</v>
      </c>
      <c r="P29" s="2" t="s">
        <v>34</v>
      </c>
      <c r="Q29" s="3">
        <v>86.24712372</v>
      </c>
      <c r="R29" s="3">
        <v>28.688</v>
      </c>
      <c r="S29" s="3">
        <v>41.1</v>
      </c>
      <c r="T29" s="3">
        <v>85.7539271</v>
      </c>
      <c r="U29" s="3">
        <v>51.01652707</v>
      </c>
      <c r="V29" s="3">
        <v>0.796058157</v>
      </c>
      <c r="W29" s="3">
        <v>33.75126304</v>
      </c>
      <c r="X29" s="3">
        <v>89.7</v>
      </c>
      <c r="Y29" s="3">
        <v>66.22580402</v>
      </c>
      <c r="Z29" s="3">
        <v>82.01058197</v>
      </c>
      <c r="AA29" s="3">
        <v>0.918948591</v>
      </c>
      <c r="AB29" s="3">
        <v>-0.04871612</v>
      </c>
      <c r="AC29" s="3">
        <v>0.136125684</v>
      </c>
      <c r="AD29" s="3">
        <v>-1.146781921</v>
      </c>
      <c r="AE29" s="3">
        <v>2.43691</v>
      </c>
      <c r="AF29" s="2" t="s">
        <v>34</v>
      </c>
      <c r="AG29" s="2" t="s">
        <v>34</v>
      </c>
    </row>
    <row r="30">
      <c r="A30" s="2" t="s">
        <v>35</v>
      </c>
      <c r="B30" s="3">
        <v>2004.0</v>
      </c>
      <c r="C30" s="3">
        <v>7.353484904E8</v>
      </c>
      <c r="D30" s="3">
        <v>5.157257256</v>
      </c>
      <c r="E30" s="3">
        <v>1131.321034</v>
      </c>
      <c r="F30" s="3">
        <v>2.49</v>
      </c>
      <c r="G30" s="3">
        <v>4.105936983</v>
      </c>
      <c r="H30" s="3">
        <v>1.204858664</v>
      </c>
      <c r="I30" s="3">
        <v>89.0605518</v>
      </c>
      <c r="J30" s="4"/>
      <c r="K30" s="3">
        <v>649991.0</v>
      </c>
      <c r="L30" s="3">
        <v>2.392109191</v>
      </c>
      <c r="M30" s="2" t="s">
        <v>34</v>
      </c>
      <c r="N30" s="3">
        <v>65.268</v>
      </c>
      <c r="O30" s="3">
        <v>47.1</v>
      </c>
      <c r="P30" s="2" t="s">
        <v>34</v>
      </c>
      <c r="Q30" s="3">
        <v>89.68125916</v>
      </c>
      <c r="R30" s="3">
        <v>29.835</v>
      </c>
      <c r="S30" s="3">
        <v>51.9</v>
      </c>
      <c r="T30" s="3">
        <v>86.86839087</v>
      </c>
      <c r="U30" s="3">
        <v>52.8441983</v>
      </c>
      <c r="V30" s="3">
        <v>0.788626304</v>
      </c>
      <c r="W30" s="3">
        <v>34.03014503</v>
      </c>
      <c r="X30" s="3">
        <v>90.9</v>
      </c>
      <c r="Y30" s="3">
        <v>69.41039431</v>
      </c>
      <c r="Z30" s="3">
        <v>80.78817749</v>
      </c>
      <c r="AA30" s="3">
        <v>1.172050357</v>
      </c>
      <c r="AB30" s="3">
        <v>-0.915191174</v>
      </c>
      <c r="AC30" s="3">
        <v>0.223591417</v>
      </c>
      <c r="AD30" s="3">
        <v>-0.965037107</v>
      </c>
      <c r="AE30" s="3">
        <v>3.15698</v>
      </c>
      <c r="AF30" s="2" t="s">
        <v>34</v>
      </c>
      <c r="AG30" s="2" t="s">
        <v>34</v>
      </c>
    </row>
    <row r="31">
      <c r="A31" s="2" t="s">
        <v>35</v>
      </c>
      <c r="B31" s="3">
        <v>2005.0</v>
      </c>
      <c r="C31" s="3">
        <v>8.603910002E8</v>
      </c>
      <c r="D31" s="3">
        <v>6.935071466</v>
      </c>
      <c r="E31" s="3">
        <v>1297.092066</v>
      </c>
      <c r="F31" s="3">
        <v>3.1</v>
      </c>
      <c r="G31" s="3">
        <v>5.312631046</v>
      </c>
      <c r="H31" s="3">
        <v>0.721867151</v>
      </c>
      <c r="I31" s="3">
        <v>97.74341354</v>
      </c>
      <c r="J31" s="4"/>
      <c r="K31" s="3">
        <v>663323.0</v>
      </c>
      <c r="L31" s="3">
        <v>2.03035344</v>
      </c>
      <c r="M31" s="2" t="s">
        <v>34</v>
      </c>
      <c r="N31" s="3">
        <v>65.805</v>
      </c>
      <c r="O31" s="3">
        <v>44.4</v>
      </c>
      <c r="P31" s="3">
        <v>53.0</v>
      </c>
      <c r="Q31" s="3">
        <v>92.76241302</v>
      </c>
      <c r="R31" s="3">
        <v>30.965</v>
      </c>
      <c r="S31" s="3">
        <v>59.8</v>
      </c>
      <c r="T31" s="3">
        <v>87.95675999</v>
      </c>
      <c r="U31" s="3">
        <v>54.62419308</v>
      </c>
      <c r="V31" s="3">
        <v>0.838656281</v>
      </c>
      <c r="W31" s="3">
        <v>34.07372473</v>
      </c>
      <c r="X31" s="3">
        <v>88.7</v>
      </c>
      <c r="Y31" s="3">
        <v>69.67088176</v>
      </c>
      <c r="Z31" s="3">
        <v>79.02439117</v>
      </c>
      <c r="AA31" s="3">
        <v>1.284487367</v>
      </c>
      <c r="AB31" s="3">
        <v>-0.286168545</v>
      </c>
      <c r="AC31" s="3">
        <v>0.332806766</v>
      </c>
      <c r="AD31" s="3">
        <v>-1.072155476</v>
      </c>
      <c r="AE31" s="3">
        <v>3.84711</v>
      </c>
      <c r="AF31" s="2" t="s">
        <v>34</v>
      </c>
      <c r="AG31" s="2" t="s">
        <v>34</v>
      </c>
    </row>
    <row r="32">
      <c r="A32" s="2" t="s">
        <v>35</v>
      </c>
      <c r="B32" s="3">
        <v>2006.0</v>
      </c>
      <c r="C32" s="3">
        <v>9.428798785E8</v>
      </c>
      <c r="D32" s="3">
        <v>5.640805265</v>
      </c>
      <c r="E32" s="3">
        <v>1400.469178</v>
      </c>
      <c r="F32" s="3">
        <v>3.13</v>
      </c>
      <c r="G32" s="3">
        <v>5.00045438</v>
      </c>
      <c r="H32" s="3">
        <v>0.649361842</v>
      </c>
      <c r="I32" s="3">
        <v>108.1577949</v>
      </c>
      <c r="J32" s="4"/>
      <c r="K32" s="3">
        <v>673260.0</v>
      </c>
      <c r="L32" s="3">
        <v>1.486953387</v>
      </c>
      <c r="M32" s="2" t="s">
        <v>34</v>
      </c>
      <c r="N32" s="3">
        <v>66.362</v>
      </c>
      <c r="O32" s="3">
        <v>41.7</v>
      </c>
      <c r="P32" s="2" t="s">
        <v>34</v>
      </c>
      <c r="Q32" s="3">
        <v>97.14897156</v>
      </c>
      <c r="R32" s="3">
        <v>31.712</v>
      </c>
      <c r="S32" s="3">
        <v>59.7</v>
      </c>
      <c r="T32" s="3">
        <v>88.97896447</v>
      </c>
      <c r="U32" s="3">
        <v>56.26958234</v>
      </c>
      <c r="V32" s="3">
        <v>0.837417937</v>
      </c>
      <c r="W32" s="3">
        <v>33.14962238</v>
      </c>
      <c r="X32" s="3">
        <v>91.6</v>
      </c>
      <c r="Y32" s="3">
        <v>69.93136921</v>
      </c>
      <c r="Z32" s="3">
        <v>77.56097412</v>
      </c>
      <c r="AA32" s="3">
        <v>1.264518976</v>
      </c>
      <c r="AB32" s="3">
        <v>-0.577596843</v>
      </c>
      <c r="AC32" s="3">
        <v>0.21245949</v>
      </c>
      <c r="AD32" s="3">
        <v>-1.058763504</v>
      </c>
      <c r="AE32" s="3">
        <v>4.51832</v>
      </c>
      <c r="AF32" s="2" t="s">
        <v>34</v>
      </c>
      <c r="AG32" s="2" t="s">
        <v>34</v>
      </c>
    </row>
    <row r="33">
      <c r="A33" s="2" t="s">
        <v>35</v>
      </c>
      <c r="B33" s="3">
        <v>2007.0</v>
      </c>
      <c r="C33" s="3">
        <v>1.255767964E9</v>
      </c>
      <c r="D33" s="3">
        <v>16.10478365</v>
      </c>
      <c r="E33" s="3">
        <v>1842.344735</v>
      </c>
      <c r="F33" s="3">
        <v>3.7</v>
      </c>
      <c r="G33" s="3">
        <v>5.156111388</v>
      </c>
      <c r="H33" s="3">
        <v>5.881322974</v>
      </c>
      <c r="I33" s="3">
        <v>106.9290224</v>
      </c>
      <c r="J33" s="3">
        <v>38.1</v>
      </c>
      <c r="K33" s="3">
        <v>681614.0</v>
      </c>
      <c r="L33" s="3">
        <v>1.233193031</v>
      </c>
      <c r="M33" s="3">
        <v>5.9</v>
      </c>
      <c r="N33" s="3">
        <v>66.954</v>
      </c>
      <c r="O33" s="3">
        <v>39.3</v>
      </c>
      <c r="P33" s="2" t="s">
        <v>34</v>
      </c>
      <c r="Q33" s="3">
        <v>101.165947</v>
      </c>
      <c r="R33" s="3">
        <v>32.469</v>
      </c>
      <c r="S33" s="3">
        <v>71.8</v>
      </c>
      <c r="T33" s="3">
        <v>89.98677222</v>
      </c>
      <c r="U33" s="3">
        <v>57.88900697</v>
      </c>
      <c r="V33" s="3">
        <v>0.846813592</v>
      </c>
      <c r="W33" s="3">
        <v>31.1047419</v>
      </c>
      <c r="X33" s="3">
        <v>92.0</v>
      </c>
      <c r="Y33" s="3">
        <v>70.19185665</v>
      </c>
      <c r="Z33" s="3">
        <v>78.1553421</v>
      </c>
      <c r="AA33" s="3">
        <v>0.568526506</v>
      </c>
      <c r="AB33" s="3">
        <v>-0.70974499</v>
      </c>
      <c r="AC33" s="3">
        <v>0.36783278</v>
      </c>
      <c r="AD33" s="3">
        <v>-0.872591913</v>
      </c>
      <c r="AE33" s="3">
        <v>5.92</v>
      </c>
      <c r="AF33" s="2" t="s">
        <v>34</v>
      </c>
      <c r="AG33" s="3">
        <v>0.751439729</v>
      </c>
    </row>
    <row r="34">
      <c r="A34" s="2" t="s">
        <v>35</v>
      </c>
      <c r="B34" s="3">
        <v>2008.0</v>
      </c>
      <c r="C34" s="3">
        <v>1.317517835E9</v>
      </c>
      <c r="D34" s="3">
        <v>4.529448692</v>
      </c>
      <c r="E34" s="3">
        <v>1910.174218</v>
      </c>
      <c r="F34" s="3">
        <v>3.833</v>
      </c>
      <c r="G34" s="3">
        <v>8.327160494</v>
      </c>
      <c r="H34" s="3">
        <v>0.238630623</v>
      </c>
      <c r="I34" s="3">
        <v>101.9542357</v>
      </c>
      <c r="J34" s="4"/>
      <c r="K34" s="3">
        <v>689737.0</v>
      </c>
      <c r="L34" s="3">
        <v>1.18468503</v>
      </c>
      <c r="M34" s="2" t="s">
        <v>34</v>
      </c>
      <c r="N34" s="3">
        <v>67.499</v>
      </c>
      <c r="O34" s="3">
        <v>36.9</v>
      </c>
      <c r="P34" s="2" t="s">
        <v>34</v>
      </c>
      <c r="Q34" s="3">
        <v>104.5938492</v>
      </c>
      <c r="R34" s="3">
        <v>33.236</v>
      </c>
      <c r="S34" s="3">
        <v>67.6</v>
      </c>
      <c r="T34" s="3">
        <v>90.97982582</v>
      </c>
      <c r="U34" s="3">
        <v>59.48189388</v>
      </c>
      <c r="V34" s="3">
        <v>0.882365307</v>
      </c>
      <c r="W34" s="3">
        <v>28.70090506</v>
      </c>
      <c r="X34" s="3">
        <v>87.8</v>
      </c>
      <c r="Y34" s="3">
        <v>70.4523441</v>
      </c>
      <c r="Z34" s="3">
        <v>78.64077759</v>
      </c>
      <c r="AA34" s="3">
        <v>0.720669389</v>
      </c>
      <c r="AB34" s="3">
        <v>-0.765467465</v>
      </c>
      <c r="AC34" s="3">
        <v>0.421698183</v>
      </c>
      <c r="AD34" s="3">
        <v>-0.505405188</v>
      </c>
      <c r="AE34" s="3">
        <v>6.55</v>
      </c>
      <c r="AF34" s="2" t="s">
        <v>34</v>
      </c>
      <c r="AG34" s="3">
        <v>0.126757285</v>
      </c>
    </row>
    <row r="35">
      <c r="A35" s="2" t="s">
        <v>35</v>
      </c>
      <c r="B35" s="3">
        <v>2009.0</v>
      </c>
      <c r="C35" s="3">
        <v>1.331343798E9</v>
      </c>
      <c r="D35" s="3">
        <v>7.667492403</v>
      </c>
      <c r="E35" s="3">
        <v>1908.249648</v>
      </c>
      <c r="F35" s="3">
        <v>3.96</v>
      </c>
      <c r="G35" s="3">
        <v>4.361122191</v>
      </c>
      <c r="H35" s="3">
        <v>1.374529048</v>
      </c>
      <c r="I35" s="3">
        <v>101.5594116</v>
      </c>
      <c r="J35" s="4"/>
      <c r="K35" s="3">
        <v>697678.0</v>
      </c>
      <c r="L35" s="3">
        <v>1.144731276</v>
      </c>
      <c r="M35" s="2" t="s">
        <v>34</v>
      </c>
      <c r="N35" s="3">
        <v>67.897</v>
      </c>
      <c r="O35" s="3">
        <v>34.6</v>
      </c>
      <c r="P35" s="2" t="s">
        <v>34</v>
      </c>
      <c r="Q35" s="3">
        <v>109.0328064</v>
      </c>
      <c r="R35" s="3">
        <v>34.01</v>
      </c>
      <c r="S35" s="3">
        <v>71.5</v>
      </c>
      <c r="T35" s="3">
        <v>91.95755308</v>
      </c>
      <c r="U35" s="3">
        <v>61.06873095</v>
      </c>
      <c r="V35" s="3">
        <v>1.192097214</v>
      </c>
      <c r="W35" s="3">
        <v>26.69993366</v>
      </c>
      <c r="X35" s="3">
        <v>87.8</v>
      </c>
      <c r="Y35" s="3">
        <v>70.71283154</v>
      </c>
      <c r="Z35" s="3">
        <v>79.42583466</v>
      </c>
      <c r="AA35" s="3">
        <v>0.803496659</v>
      </c>
      <c r="AB35" s="3">
        <v>-1.071835279</v>
      </c>
      <c r="AC35" s="3">
        <v>0.219097927</v>
      </c>
      <c r="AD35" s="3">
        <v>-0.461808324</v>
      </c>
      <c r="AE35" s="3">
        <v>7.17</v>
      </c>
      <c r="AF35" s="2" t="s">
        <v>34</v>
      </c>
      <c r="AG35" s="3">
        <v>0.215969979</v>
      </c>
    </row>
    <row r="36">
      <c r="A36" s="2" t="s">
        <v>35</v>
      </c>
      <c r="B36" s="3">
        <v>2010.0</v>
      </c>
      <c r="C36" s="3">
        <v>1.673464261E9</v>
      </c>
      <c r="D36" s="3">
        <v>11.9318739</v>
      </c>
      <c r="E36" s="3">
        <v>2371.97209</v>
      </c>
      <c r="F36" s="3">
        <v>3.32</v>
      </c>
      <c r="G36" s="3">
        <v>7.036383161</v>
      </c>
      <c r="H36" s="3">
        <v>4.498094807</v>
      </c>
      <c r="I36" s="3">
        <v>107.2326853</v>
      </c>
      <c r="J36" s="4"/>
      <c r="K36" s="3">
        <v>705516.0</v>
      </c>
      <c r="L36" s="3">
        <v>1.117177172</v>
      </c>
      <c r="M36" s="2" t="s">
        <v>34</v>
      </c>
      <c r="N36" s="3">
        <v>68.43</v>
      </c>
      <c r="O36" s="3">
        <v>32.6</v>
      </c>
      <c r="P36" s="2" t="s">
        <v>34</v>
      </c>
      <c r="Q36" s="3">
        <v>111.8249588</v>
      </c>
      <c r="R36" s="3">
        <v>34.793</v>
      </c>
      <c r="S36" s="3">
        <v>73.3</v>
      </c>
      <c r="T36" s="3">
        <v>92.91982976</v>
      </c>
      <c r="U36" s="3">
        <v>62.62895809</v>
      </c>
      <c r="V36" s="3">
        <v>1.309254503</v>
      </c>
      <c r="W36" s="3">
        <v>25.86364946</v>
      </c>
      <c r="X36" s="3">
        <v>84.8</v>
      </c>
      <c r="Y36" s="3">
        <v>70.97331899</v>
      </c>
      <c r="Z36" s="3">
        <v>79.52381134</v>
      </c>
      <c r="AA36" s="3">
        <v>0.742221653</v>
      </c>
      <c r="AB36" s="3">
        <v>-1.158943653</v>
      </c>
      <c r="AC36" s="3">
        <v>0.161859259</v>
      </c>
      <c r="AD36" s="3">
        <v>-0.416917324</v>
      </c>
      <c r="AE36" s="3">
        <v>13.6</v>
      </c>
      <c r="AF36" s="2" t="s">
        <v>34</v>
      </c>
      <c r="AG36" s="3">
        <v>0.13731061</v>
      </c>
    </row>
    <row r="37">
      <c r="A37" s="2" t="s">
        <v>35</v>
      </c>
      <c r="B37" s="3">
        <v>2011.0</v>
      </c>
      <c r="C37" s="3">
        <v>1.938441289E9</v>
      </c>
      <c r="D37" s="3">
        <v>8.307647832</v>
      </c>
      <c r="E37" s="3">
        <v>2717.449948</v>
      </c>
      <c r="F37" s="3">
        <v>3.23</v>
      </c>
      <c r="G37" s="3">
        <v>8.848985699</v>
      </c>
      <c r="H37" s="3">
        <v>1.60652866</v>
      </c>
      <c r="I37" s="3">
        <v>104.8791194</v>
      </c>
      <c r="J37" s="4"/>
      <c r="K37" s="3">
        <v>713331.0</v>
      </c>
      <c r="L37" s="3">
        <v>1.101609833</v>
      </c>
      <c r="M37" s="2" t="s">
        <v>34</v>
      </c>
      <c r="N37" s="3">
        <v>68.881</v>
      </c>
      <c r="O37" s="3">
        <v>30.7</v>
      </c>
      <c r="P37" s="2" t="s">
        <v>34</v>
      </c>
      <c r="Q37" s="3">
        <v>113.1725693</v>
      </c>
      <c r="R37" s="3">
        <v>35.585</v>
      </c>
      <c r="S37" s="3">
        <v>81.8</v>
      </c>
      <c r="T37" s="3">
        <v>93.86634017</v>
      </c>
      <c r="U37" s="3">
        <v>64.1622239</v>
      </c>
      <c r="V37" s="3">
        <v>1.569958406</v>
      </c>
      <c r="W37" s="3">
        <v>30.4700767</v>
      </c>
      <c r="X37" s="3">
        <v>84.9</v>
      </c>
      <c r="Y37" s="3">
        <v>71.02521185</v>
      </c>
      <c r="Z37" s="3">
        <v>77.25118256</v>
      </c>
      <c r="AA37" s="3">
        <v>0.826495349</v>
      </c>
      <c r="AB37" s="3">
        <v>-1.154204845</v>
      </c>
      <c r="AC37" s="3">
        <v>0.205665544</v>
      </c>
      <c r="AD37" s="3">
        <v>-0.404029369</v>
      </c>
      <c r="AE37" s="3">
        <v>14.4</v>
      </c>
      <c r="AF37" s="2" t="s">
        <v>34</v>
      </c>
      <c r="AG37" s="5">
        <v>8.76E-5</v>
      </c>
    </row>
    <row r="38">
      <c r="A38" s="2" t="s">
        <v>35</v>
      </c>
      <c r="B38" s="3">
        <v>2012.0</v>
      </c>
      <c r="C38" s="3">
        <v>1.939730676E9</v>
      </c>
      <c r="D38" s="3">
        <v>5.095492644</v>
      </c>
      <c r="E38" s="3">
        <v>2689.792866</v>
      </c>
      <c r="F38" s="3">
        <v>2.05</v>
      </c>
      <c r="G38" s="3">
        <v>10.91965694</v>
      </c>
      <c r="H38" s="3">
        <v>1.256910244</v>
      </c>
      <c r="I38" s="3">
        <v>95.67614659</v>
      </c>
      <c r="J38" s="3">
        <v>38.8</v>
      </c>
      <c r="K38" s="3">
        <v>721145.0</v>
      </c>
      <c r="L38" s="3">
        <v>1.089467832</v>
      </c>
      <c r="M38" s="3">
        <v>1.7</v>
      </c>
      <c r="N38" s="3">
        <v>69.326</v>
      </c>
      <c r="O38" s="3">
        <v>29.1</v>
      </c>
      <c r="P38" s="3">
        <v>55.0</v>
      </c>
      <c r="Q38" s="3">
        <v>112.4175186</v>
      </c>
      <c r="R38" s="3">
        <v>36.371</v>
      </c>
      <c r="S38" s="3">
        <v>91.5</v>
      </c>
      <c r="T38" s="3">
        <v>94.79608007</v>
      </c>
      <c r="U38" s="3">
        <v>65.6661457</v>
      </c>
      <c r="V38" s="3">
        <v>1.487356912</v>
      </c>
      <c r="W38" s="3">
        <v>38.13157147</v>
      </c>
      <c r="X38" s="3">
        <v>82.8</v>
      </c>
      <c r="Y38" s="3">
        <v>71.0771047</v>
      </c>
      <c r="Z38" s="3">
        <v>79.14691925</v>
      </c>
      <c r="AA38" s="3">
        <v>0.77630949</v>
      </c>
      <c r="AB38" s="3">
        <v>-1.093008518</v>
      </c>
      <c r="AC38" s="3">
        <v>0.260953724</v>
      </c>
      <c r="AD38" s="3">
        <v>-0.280920058</v>
      </c>
      <c r="AE38" s="3">
        <v>15.6</v>
      </c>
      <c r="AF38" s="2" t="s">
        <v>34</v>
      </c>
      <c r="AG38" s="3">
        <v>0.02303265</v>
      </c>
    </row>
    <row r="39">
      <c r="A39" s="2" t="s">
        <v>35</v>
      </c>
      <c r="B39" s="3">
        <v>2013.0</v>
      </c>
      <c r="C39" s="3">
        <v>1.913162477E9</v>
      </c>
      <c r="D39" s="3">
        <v>1.658455578</v>
      </c>
      <c r="E39" s="3">
        <v>2624.765194</v>
      </c>
      <c r="F39" s="3">
        <v>2.87</v>
      </c>
      <c r="G39" s="3">
        <v>8.776383453</v>
      </c>
      <c r="H39" s="3">
        <v>1.068055187</v>
      </c>
      <c r="I39" s="3">
        <v>96.56917811</v>
      </c>
      <c r="J39" s="4"/>
      <c r="K39" s="3">
        <v>728889.0</v>
      </c>
      <c r="L39" s="3">
        <v>1.068123041</v>
      </c>
      <c r="M39" s="2" t="s">
        <v>34</v>
      </c>
      <c r="N39" s="3">
        <v>69.707</v>
      </c>
      <c r="O39" s="3">
        <v>27.8</v>
      </c>
      <c r="P39" s="2" t="s">
        <v>34</v>
      </c>
      <c r="Q39" s="3">
        <v>106.1411972</v>
      </c>
      <c r="R39" s="3">
        <v>37.149</v>
      </c>
      <c r="S39" s="3">
        <v>87.4</v>
      </c>
      <c r="T39" s="3">
        <v>95.70915284</v>
      </c>
      <c r="U39" s="3">
        <v>67.14088799</v>
      </c>
      <c r="V39" s="3">
        <v>1.540975375</v>
      </c>
      <c r="W39" s="3">
        <v>37.41624372</v>
      </c>
      <c r="X39" s="3">
        <v>81.7</v>
      </c>
      <c r="Y39" s="3">
        <v>71.12899756</v>
      </c>
      <c r="Z39" s="3">
        <v>79.14691925</v>
      </c>
      <c r="AA39" s="3">
        <v>0.784624875</v>
      </c>
      <c r="AB39" s="3">
        <v>-1.086755395</v>
      </c>
      <c r="AC39" s="3">
        <v>0.317648262</v>
      </c>
      <c r="AD39" s="3">
        <v>-0.158783659</v>
      </c>
      <c r="AE39" s="3">
        <v>22.4</v>
      </c>
      <c r="AF39" s="2" t="s">
        <v>34</v>
      </c>
      <c r="AG39" s="2" t="s">
        <v>34</v>
      </c>
    </row>
    <row r="40">
      <c r="A40" s="2" t="s">
        <v>35</v>
      </c>
      <c r="B40" s="3">
        <v>2014.0</v>
      </c>
      <c r="C40" s="3">
        <v>2.057330873E9</v>
      </c>
      <c r="D40" s="3">
        <v>5.717865612</v>
      </c>
      <c r="E40" s="3">
        <v>2793.931303</v>
      </c>
      <c r="F40" s="3">
        <v>2.63</v>
      </c>
      <c r="G40" s="3">
        <v>8.271060939</v>
      </c>
      <c r="H40" s="3">
        <v>1.143954629</v>
      </c>
      <c r="I40" s="3">
        <v>89.29107372</v>
      </c>
      <c r="J40" s="4"/>
      <c r="K40" s="3">
        <v>736357.0</v>
      </c>
      <c r="L40" s="3">
        <v>1.019359843</v>
      </c>
      <c r="M40" s="2" t="s">
        <v>34</v>
      </c>
      <c r="N40" s="3">
        <v>70.049</v>
      </c>
      <c r="O40" s="3">
        <v>26.6</v>
      </c>
      <c r="P40" s="2" t="s">
        <v>34</v>
      </c>
      <c r="Q40" s="3">
        <v>104.0050278</v>
      </c>
      <c r="R40" s="3">
        <v>37.918</v>
      </c>
      <c r="S40" s="3">
        <v>91.4</v>
      </c>
      <c r="T40" s="3">
        <v>96.60577774</v>
      </c>
      <c r="U40" s="3">
        <v>68.58685065</v>
      </c>
      <c r="V40" s="3">
        <v>1.562149881</v>
      </c>
      <c r="W40" s="3">
        <v>40.29815305</v>
      </c>
      <c r="X40" s="3">
        <v>82.1</v>
      </c>
      <c r="Y40" s="3">
        <v>71.18089042</v>
      </c>
      <c r="Z40" s="3">
        <v>88.46154022</v>
      </c>
      <c r="AA40" s="3">
        <v>1.068038583</v>
      </c>
      <c r="AB40" s="3">
        <v>-1.014745593</v>
      </c>
      <c r="AC40" s="3">
        <v>0.417663902</v>
      </c>
      <c r="AD40" s="3">
        <v>-0.1029386</v>
      </c>
      <c r="AE40" s="3">
        <v>30.3</v>
      </c>
      <c r="AF40" s="2" t="s">
        <v>34</v>
      </c>
      <c r="AG40" s="2" t="s">
        <v>34</v>
      </c>
    </row>
    <row r="41">
      <c r="A41" s="2" t="s">
        <v>35</v>
      </c>
      <c r="B41" s="3">
        <v>2015.0</v>
      </c>
      <c r="C41" s="3">
        <v>2.154921011E9</v>
      </c>
      <c r="D41" s="3">
        <v>6.568454317</v>
      </c>
      <c r="E41" s="3">
        <v>2899.228294</v>
      </c>
      <c r="F41" s="3">
        <v>2.45</v>
      </c>
      <c r="G41" s="3">
        <v>4.548143951</v>
      </c>
      <c r="H41" s="3">
        <v>0.299359179</v>
      </c>
      <c r="I41" s="3">
        <v>91.00755302</v>
      </c>
      <c r="J41" s="4"/>
      <c r="K41" s="3">
        <v>743274.0</v>
      </c>
      <c r="L41" s="3">
        <v>0.93496965</v>
      </c>
      <c r="M41" s="2" t="s">
        <v>34</v>
      </c>
      <c r="N41" s="3">
        <v>70.343</v>
      </c>
      <c r="O41" s="3">
        <v>25.5</v>
      </c>
      <c r="P41" s="2" t="s">
        <v>34</v>
      </c>
      <c r="Q41" s="3">
        <v>102.4833566</v>
      </c>
      <c r="R41" s="3">
        <v>38.678</v>
      </c>
      <c r="S41" s="3">
        <v>95.4</v>
      </c>
      <c r="T41" s="3">
        <v>97.48622327</v>
      </c>
      <c r="U41" s="3">
        <v>70.00457822</v>
      </c>
      <c r="V41" s="3">
        <v>1.797856511</v>
      </c>
      <c r="W41" s="3">
        <v>37.48569113</v>
      </c>
      <c r="X41" s="3">
        <v>81.6</v>
      </c>
      <c r="Y41" s="3">
        <v>71.23278327</v>
      </c>
      <c r="Z41" s="3">
        <v>80.95237732</v>
      </c>
      <c r="AA41" s="3">
        <v>0.960772634</v>
      </c>
      <c r="AB41" s="3">
        <v>-0.735030413</v>
      </c>
      <c r="AC41" s="3">
        <v>0.534968972</v>
      </c>
      <c r="AD41" s="3">
        <v>-0.034806281</v>
      </c>
      <c r="AE41" s="3">
        <v>39.8</v>
      </c>
      <c r="AF41" s="2" t="s">
        <v>34</v>
      </c>
      <c r="AG41" s="2" t="s">
        <v>34</v>
      </c>
    </row>
    <row r="42">
      <c r="A42" s="2" t="s">
        <v>35</v>
      </c>
      <c r="B42" s="3">
        <v>2016.0</v>
      </c>
      <c r="C42" s="3">
        <v>2.322730512E9</v>
      </c>
      <c r="D42" s="3">
        <v>8.400553755</v>
      </c>
      <c r="E42" s="3">
        <v>3097.961234</v>
      </c>
      <c r="F42" s="3">
        <v>2.737</v>
      </c>
      <c r="G42" s="3">
        <v>3.219886894</v>
      </c>
      <c r="H42" s="3">
        <v>0.511646198</v>
      </c>
      <c r="I42" s="3">
        <v>77.52795554</v>
      </c>
      <c r="J42" s="4"/>
      <c r="K42" s="3">
        <v>749761.0</v>
      </c>
      <c r="L42" s="3">
        <v>0.868973711</v>
      </c>
      <c r="M42" s="2" t="s">
        <v>34</v>
      </c>
      <c r="N42" s="3">
        <v>70.602</v>
      </c>
      <c r="O42" s="3">
        <v>24.6</v>
      </c>
      <c r="P42" s="2" t="s">
        <v>34</v>
      </c>
      <c r="Q42" s="3">
        <v>100.9430695</v>
      </c>
      <c r="R42" s="3">
        <v>39.428</v>
      </c>
      <c r="S42" s="3">
        <v>99.3</v>
      </c>
      <c r="T42" s="3">
        <v>98.18623888</v>
      </c>
      <c r="U42" s="3">
        <v>71.39454115</v>
      </c>
      <c r="V42" s="3">
        <v>1.942485672</v>
      </c>
      <c r="W42" s="3">
        <v>36.94161228</v>
      </c>
      <c r="X42" s="3">
        <v>80.8</v>
      </c>
      <c r="Y42" s="3">
        <v>71.23427013</v>
      </c>
      <c r="Z42" s="3">
        <v>81.42857361</v>
      </c>
      <c r="AA42" s="3">
        <v>1.106088281</v>
      </c>
      <c r="AB42" s="3">
        <v>-0.691017687</v>
      </c>
      <c r="AC42" s="3">
        <v>0.509927452</v>
      </c>
      <c r="AD42" s="3">
        <v>-0.025891906</v>
      </c>
      <c r="AE42" s="3">
        <v>46.5</v>
      </c>
      <c r="AF42" s="2" t="s">
        <v>34</v>
      </c>
      <c r="AG42" s="2" t="s">
        <v>34</v>
      </c>
    </row>
    <row r="43">
      <c r="A43" s="2" t="s">
        <v>35</v>
      </c>
      <c r="B43" s="3">
        <v>2017.0</v>
      </c>
      <c r="C43" s="3">
        <v>2.591358115E9</v>
      </c>
      <c r="D43" s="3">
        <v>3.507567403</v>
      </c>
      <c r="E43" s="3">
        <v>3427.173845</v>
      </c>
      <c r="F43" s="3">
        <v>3.039</v>
      </c>
      <c r="G43" s="3">
        <v>4.95508367</v>
      </c>
      <c r="H43" s="3">
        <v>-0.638806341</v>
      </c>
      <c r="I43" s="3">
        <v>76.78839772</v>
      </c>
      <c r="J43" s="3">
        <v>37.4</v>
      </c>
      <c r="K43" s="3">
        <v>756121.0</v>
      </c>
      <c r="L43" s="3">
        <v>0.84469272</v>
      </c>
      <c r="M43" s="3">
        <v>0.9</v>
      </c>
      <c r="N43" s="3">
        <v>70.847</v>
      </c>
      <c r="O43" s="3">
        <v>23.6</v>
      </c>
      <c r="P43" s="3">
        <v>67.0</v>
      </c>
      <c r="Q43" s="3">
        <v>99.73843335</v>
      </c>
      <c r="R43" s="3">
        <v>40.167</v>
      </c>
      <c r="S43" s="3">
        <v>97.7</v>
      </c>
      <c r="T43" s="3">
        <v>98.65984174</v>
      </c>
      <c r="U43" s="3">
        <v>72.75728816</v>
      </c>
      <c r="V43" s="3">
        <v>2.100192959</v>
      </c>
      <c r="W43" s="3">
        <v>33.81151504</v>
      </c>
      <c r="X43" s="3">
        <v>79.7</v>
      </c>
      <c r="Y43" s="3">
        <v>71.28617869</v>
      </c>
      <c r="Z43" s="3">
        <v>90.95237732</v>
      </c>
      <c r="AA43" s="3">
        <v>1.102793097</v>
      </c>
      <c r="AB43" s="3">
        <v>-0.339257926</v>
      </c>
      <c r="AC43" s="3">
        <v>0.63007921</v>
      </c>
      <c r="AD43" s="3">
        <v>0.010954513</v>
      </c>
      <c r="AE43" s="3">
        <v>54.3</v>
      </c>
      <c r="AF43" s="2" t="s">
        <v>34</v>
      </c>
      <c r="AG43" s="2" t="s">
        <v>34</v>
      </c>
    </row>
    <row r="44">
      <c r="A44" s="2" t="s">
        <v>35</v>
      </c>
      <c r="B44" s="3">
        <v>2018.0</v>
      </c>
      <c r="C44" s="3">
        <v>2.583335723E9</v>
      </c>
      <c r="D44" s="3">
        <v>3.501871857</v>
      </c>
      <c r="E44" s="3">
        <v>3389.777303</v>
      </c>
      <c r="F44" s="3">
        <v>3.35</v>
      </c>
      <c r="G44" s="3">
        <v>2.723963862</v>
      </c>
      <c r="H44" s="3">
        <v>0.102559427</v>
      </c>
      <c r="I44" s="3">
        <v>79.73972102</v>
      </c>
      <c r="J44" s="4"/>
      <c r="K44" s="3">
        <v>762096.0</v>
      </c>
      <c r="L44" s="3">
        <v>0.787111572</v>
      </c>
      <c r="M44" s="2" t="s">
        <v>34</v>
      </c>
      <c r="N44" s="3">
        <v>71.129</v>
      </c>
      <c r="O44" s="3">
        <v>22.9</v>
      </c>
      <c r="P44" s="2" t="s">
        <v>34</v>
      </c>
      <c r="Q44" s="3">
        <v>99.28786575</v>
      </c>
      <c r="R44" s="3">
        <v>40.895</v>
      </c>
      <c r="S44" s="3">
        <v>100.0</v>
      </c>
      <c r="T44" s="3">
        <v>98.7649965</v>
      </c>
      <c r="U44" s="3">
        <v>74.09344932</v>
      </c>
      <c r="V44" s="3">
        <v>2.39996011</v>
      </c>
      <c r="W44" s="3">
        <v>34.08388194</v>
      </c>
      <c r="X44" s="3">
        <v>80.0</v>
      </c>
      <c r="Y44" s="3">
        <v>71.34556896</v>
      </c>
      <c r="Z44" s="3">
        <v>91.42857361</v>
      </c>
      <c r="AA44" s="3">
        <v>1.077452898</v>
      </c>
      <c r="AB44" s="3">
        <v>-0.376959831</v>
      </c>
      <c r="AC44" s="3">
        <v>0.548555255</v>
      </c>
      <c r="AD44" s="3">
        <v>0.042394046</v>
      </c>
      <c r="AE44" s="3">
        <v>63.5</v>
      </c>
      <c r="AF44" s="2" t="s">
        <v>34</v>
      </c>
      <c r="AG44" s="2" t="s">
        <v>34</v>
      </c>
    </row>
    <row r="45">
      <c r="A45" s="2" t="s">
        <v>35</v>
      </c>
      <c r="B45" s="3">
        <v>2019.0</v>
      </c>
      <c r="C45" s="3">
        <v>2.735683409E9</v>
      </c>
      <c r="D45" s="3">
        <v>5.755148512</v>
      </c>
      <c r="E45" s="3">
        <v>3564.598771</v>
      </c>
      <c r="F45" s="3">
        <v>2.72</v>
      </c>
      <c r="G45" s="3">
        <v>2.726430374</v>
      </c>
      <c r="H45" s="3">
        <v>0.47561707</v>
      </c>
      <c r="I45" s="3">
        <v>76.12351742</v>
      </c>
      <c r="J45" s="4"/>
      <c r="K45" s="3">
        <v>767459.0</v>
      </c>
      <c r="L45" s="3">
        <v>0.701252584</v>
      </c>
      <c r="M45" s="2" t="s">
        <v>34</v>
      </c>
      <c r="N45" s="3">
        <v>71.391</v>
      </c>
      <c r="O45" s="3">
        <v>22.1</v>
      </c>
      <c r="P45" s="2" t="s">
        <v>34</v>
      </c>
      <c r="Q45" s="3">
        <v>97.96216381</v>
      </c>
      <c r="R45" s="3">
        <v>41.612</v>
      </c>
      <c r="S45" s="3">
        <v>100.0</v>
      </c>
      <c r="T45" s="3">
        <v>98.87231224</v>
      </c>
      <c r="U45" s="3">
        <v>75.40367028</v>
      </c>
      <c r="V45" s="3">
        <v>2.609129608</v>
      </c>
      <c r="W45" s="3">
        <v>30.05189776</v>
      </c>
      <c r="X45" s="3">
        <v>81.0</v>
      </c>
      <c r="Y45" s="3">
        <v>71.39748296</v>
      </c>
      <c r="Z45" s="3">
        <v>91.42857361</v>
      </c>
      <c r="AA45" s="3">
        <v>1.065351009</v>
      </c>
      <c r="AB45" s="3">
        <v>-0.359623849</v>
      </c>
      <c r="AC45" s="3">
        <v>0.584862649</v>
      </c>
      <c r="AD45" s="3">
        <v>0.073989496</v>
      </c>
      <c r="AE45" s="3">
        <v>74.1794</v>
      </c>
      <c r="AF45" s="2" t="s">
        <v>34</v>
      </c>
      <c r="AG45" s="2" t="s">
        <v>34</v>
      </c>
    </row>
    <row r="46">
      <c r="A46" s="2" t="s">
        <v>35</v>
      </c>
      <c r="B46" s="3">
        <v>2020.0</v>
      </c>
      <c r="C46" s="3">
        <v>2.457604042E9</v>
      </c>
      <c r="D46" s="3">
        <v>-10.21839742</v>
      </c>
      <c r="E46" s="3">
        <v>3181.339747</v>
      </c>
      <c r="F46" s="3">
        <v>5.03</v>
      </c>
      <c r="G46" s="3">
        <v>5.629365226</v>
      </c>
      <c r="H46" s="3">
        <v>-0.113401542</v>
      </c>
      <c r="I46" s="3">
        <v>71.83035577</v>
      </c>
      <c r="J46" s="4"/>
      <c r="K46" s="3">
        <v>772506.0</v>
      </c>
      <c r="L46" s="3">
        <v>0.655471789</v>
      </c>
      <c r="M46" s="2" t="s">
        <v>34</v>
      </c>
      <c r="N46" s="3">
        <v>71.609</v>
      </c>
      <c r="O46" s="3">
        <v>21.4</v>
      </c>
      <c r="P46" s="2" t="s">
        <v>34</v>
      </c>
      <c r="Q46" s="3">
        <v>103.8008312</v>
      </c>
      <c r="R46" s="3">
        <v>42.316</v>
      </c>
      <c r="S46" s="3">
        <v>100.0</v>
      </c>
      <c r="T46" s="3">
        <v>98.98171763</v>
      </c>
      <c r="U46" s="3">
        <v>76.68856434</v>
      </c>
      <c r="V46" s="3">
        <v>1.998948875</v>
      </c>
      <c r="W46" s="3">
        <v>23.94565764</v>
      </c>
      <c r="X46" s="3">
        <v>83.9</v>
      </c>
      <c r="Y46" s="3">
        <v>71.44939696</v>
      </c>
      <c r="Z46" s="3">
        <v>93.33333588</v>
      </c>
      <c r="AA46" s="3">
        <v>1.013411403</v>
      </c>
      <c r="AB46" s="3">
        <v>-0.330750853</v>
      </c>
      <c r="AC46" s="3">
        <v>0.579251528</v>
      </c>
      <c r="AD46" s="3">
        <v>0.151467398</v>
      </c>
      <c r="AE46" s="3">
        <v>76.8508</v>
      </c>
      <c r="AF46" s="2" t="s">
        <v>34</v>
      </c>
      <c r="AG46" s="2" t="s">
        <v>34</v>
      </c>
    </row>
    <row r="47">
      <c r="A47" s="2" t="s">
        <v>35</v>
      </c>
      <c r="B47" s="3">
        <v>2021.0</v>
      </c>
      <c r="C47" s="3">
        <v>2.768802803E9</v>
      </c>
      <c r="D47" s="3">
        <v>4.421367389</v>
      </c>
      <c r="E47" s="3">
        <v>3561.225287</v>
      </c>
      <c r="F47" s="3">
        <v>4.804</v>
      </c>
      <c r="G47" s="3">
        <v>7.346814405</v>
      </c>
      <c r="H47" s="3">
        <v>0.244983589</v>
      </c>
      <c r="I47" s="3">
        <v>77.58245145</v>
      </c>
      <c r="J47" s="4"/>
      <c r="K47" s="3">
        <v>777486.0</v>
      </c>
      <c r="L47" s="3">
        <v>0.642586173</v>
      </c>
      <c r="M47" s="2" t="s">
        <v>34</v>
      </c>
      <c r="N47" s="3">
        <v>71.815</v>
      </c>
      <c r="O47" s="3">
        <v>20.7</v>
      </c>
      <c r="P47" s="2" t="s">
        <v>34</v>
      </c>
      <c r="Q47" s="3">
        <v>103.0328842</v>
      </c>
      <c r="R47" s="3">
        <v>43.008</v>
      </c>
      <c r="S47" s="3">
        <v>100.0</v>
      </c>
      <c r="T47" s="3">
        <v>99.12699463</v>
      </c>
      <c r="U47" s="3">
        <v>77.94885785</v>
      </c>
      <c r="V47" s="3">
        <v>2.182804578</v>
      </c>
      <c r="W47" s="2" t="s">
        <v>34</v>
      </c>
      <c r="X47" s="3">
        <v>81.8</v>
      </c>
      <c r="Y47" s="3">
        <v>71.50131096</v>
      </c>
      <c r="Z47" s="3">
        <v>90.47618866</v>
      </c>
      <c r="AA47" s="3">
        <v>0.797127724</v>
      </c>
      <c r="AB47" s="3">
        <v>-0.405656159</v>
      </c>
      <c r="AC47" s="3">
        <v>0.604691029</v>
      </c>
      <c r="AD47" s="3">
        <v>0.219684556</v>
      </c>
      <c r="AE47" s="3">
        <v>85.6369</v>
      </c>
      <c r="AF47" s="2" t="s">
        <v>34</v>
      </c>
      <c r="AG47" s="2" t="s">
        <v>34</v>
      </c>
    </row>
    <row r="48">
      <c r="A48" s="2" t="s">
        <v>35</v>
      </c>
      <c r="B48" s="3">
        <v>2022.0</v>
      </c>
      <c r="C48" s="3">
        <v>2.898227713E9</v>
      </c>
      <c r="D48" s="3">
        <v>5.213867838</v>
      </c>
      <c r="E48" s="3">
        <v>3704.018395</v>
      </c>
      <c r="F48" s="3">
        <v>5.947</v>
      </c>
      <c r="G48" s="3">
        <v>5.639166714</v>
      </c>
      <c r="H48" s="3">
        <v>0.289904658</v>
      </c>
      <c r="I48" s="3">
        <v>85.93016917</v>
      </c>
      <c r="J48" s="3">
        <v>28.5</v>
      </c>
      <c r="K48" s="3">
        <v>782455.0</v>
      </c>
      <c r="L48" s="3">
        <v>0.637077531</v>
      </c>
      <c r="M48" s="3">
        <v>0.0</v>
      </c>
      <c r="N48" s="3">
        <v>72.229</v>
      </c>
      <c r="O48" s="3">
        <v>20.1</v>
      </c>
      <c r="P48" s="3">
        <v>72.09999847</v>
      </c>
      <c r="Q48" s="3">
        <v>106.0821274</v>
      </c>
      <c r="R48" s="3">
        <v>43.686</v>
      </c>
      <c r="S48" s="3">
        <v>100.0</v>
      </c>
      <c r="T48" s="3">
        <v>99.1314463</v>
      </c>
      <c r="U48" s="3">
        <v>77.94007424</v>
      </c>
      <c r="V48" s="3">
        <v>2.188496463</v>
      </c>
      <c r="W48" s="2" t="s">
        <v>34</v>
      </c>
      <c r="X48" s="3">
        <v>82.5</v>
      </c>
      <c r="Y48" s="2" t="s">
        <v>34</v>
      </c>
      <c r="Z48" s="3">
        <v>90.09433746</v>
      </c>
      <c r="AA48" s="3">
        <v>0.864817739</v>
      </c>
      <c r="AB48" s="3">
        <v>-0.381970435</v>
      </c>
      <c r="AC48" s="3">
        <v>0.672034562</v>
      </c>
      <c r="AD48" s="3">
        <v>0.155555993</v>
      </c>
      <c r="AE48" s="3">
        <v>86.8403</v>
      </c>
      <c r="AF48" s="2" t="s">
        <v>34</v>
      </c>
      <c r="AG48" s="2" t="s">
        <v>34</v>
      </c>
    </row>
    <row r="49">
      <c r="A49" s="2" t="s">
        <v>35</v>
      </c>
      <c r="B49" s="3">
        <v>2023.0</v>
      </c>
      <c r="C49" s="4"/>
      <c r="D49" s="4"/>
      <c r="E49" s="4"/>
      <c r="F49" s="3">
        <v>5.653</v>
      </c>
      <c r="G49" s="3">
        <v>4.229344199</v>
      </c>
      <c r="H49" s="4"/>
      <c r="I49" s="4"/>
      <c r="J49" s="4"/>
      <c r="K49" s="3">
        <v>787424.0</v>
      </c>
      <c r="L49" s="3">
        <v>0.633044533</v>
      </c>
      <c r="M49" s="2" t="s">
        <v>34</v>
      </c>
      <c r="N49" s="2" t="s">
        <v>34</v>
      </c>
      <c r="O49" s="2" t="s">
        <v>34</v>
      </c>
      <c r="P49" s="2" t="s">
        <v>34</v>
      </c>
      <c r="Q49" s="2" t="s">
        <v>34</v>
      </c>
      <c r="R49" s="3">
        <v>44.35</v>
      </c>
      <c r="S49" s="2" t="s">
        <v>34</v>
      </c>
      <c r="T49" s="2" t="s">
        <v>34</v>
      </c>
      <c r="U49" s="2" t="s">
        <v>34</v>
      </c>
      <c r="V49" s="2" t="s">
        <v>34</v>
      </c>
      <c r="W49" s="2" t="s">
        <v>34</v>
      </c>
      <c r="X49" s="2" t="s">
        <v>34</v>
      </c>
      <c r="Y49" s="2" t="s">
        <v>34</v>
      </c>
      <c r="Z49" s="2" t="s">
        <v>34</v>
      </c>
      <c r="AA49" s="2" t="s">
        <v>34</v>
      </c>
      <c r="AB49" s="2" t="s">
        <v>34</v>
      </c>
      <c r="AC49" s="2" t="s">
        <v>34</v>
      </c>
      <c r="AD49" s="2" t="s">
        <v>34</v>
      </c>
      <c r="AE49" s="2" t="s">
        <v>34</v>
      </c>
      <c r="AF49" s="2" t="s">
        <v>34</v>
      </c>
      <c r="AG49" s="2" t="s">
        <v>34</v>
      </c>
    </row>
    <row r="50">
      <c r="A50" s="2" t="s">
        <v>36</v>
      </c>
      <c r="B50" s="3">
        <v>2000.0</v>
      </c>
      <c r="C50" s="3">
        <v>5.3369787319E10</v>
      </c>
      <c r="D50" s="3">
        <v>5.293294719</v>
      </c>
      <c r="E50" s="3">
        <v>413.1001853</v>
      </c>
      <c r="F50" s="3">
        <v>3.27</v>
      </c>
      <c r="G50" s="3">
        <v>2.208256209</v>
      </c>
      <c r="H50" s="3">
        <v>0.525362089</v>
      </c>
      <c r="I50" s="3">
        <v>29.32171436</v>
      </c>
      <c r="J50" s="3">
        <v>33.4</v>
      </c>
      <c r="K50" s="3">
        <v>1.29193327E8</v>
      </c>
      <c r="L50" s="3">
        <v>1.905524049</v>
      </c>
      <c r="M50" s="3">
        <v>33.3</v>
      </c>
      <c r="N50" s="3">
        <v>65.779</v>
      </c>
      <c r="O50" s="3">
        <v>63.0</v>
      </c>
      <c r="P50" s="2" t="s">
        <v>34</v>
      </c>
      <c r="Q50" s="2" t="s">
        <v>34</v>
      </c>
      <c r="R50" s="3">
        <v>23.59</v>
      </c>
      <c r="S50" s="3">
        <v>32.0</v>
      </c>
      <c r="T50" s="3">
        <v>94.81892121</v>
      </c>
      <c r="U50" s="3">
        <v>24.51319035</v>
      </c>
      <c r="V50" s="3">
        <v>0.205050064</v>
      </c>
      <c r="W50" s="3">
        <v>53.20733159</v>
      </c>
      <c r="X50" s="3">
        <v>60.2</v>
      </c>
      <c r="Y50" s="3">
        <v>14.75246293</v>
      </c>
      <c r="Z50" s="3">
        <v>6.914893627</v>
      </c>
      <c r="AA50" s="3">
        <v>-0.726261258</v>
      </c>
      <c r="AB50" s="3">
        <v>-0.941208124</v>
      </c>
      <c r="AC50" s="3">
        <v>-0.991129994</v>
      </c>
      <c r="AD50" s="3">
        <v>-0.227924496</v>
      </c>
      <c r="AE50" s="3">
        <v>0.0710394</v>
      </c>
      <c r="AF50" s="2" t="s">
        <v>34</v>
      </c>
      <c r="AG50" s="2" t="s">
        <v>34</v>
      </c>
    </row>
    <row r="51">
      <c r="A51" s="2" t="s">
        <v>36</v>
      </c>
      <c r="B51" s="3">
        <v>2001.0</v>
      </c>
      <c r="C51" s="3">
        <v>5.3991289844E10</v>
      </c>
      <c r="D51" s="3">
        <v>5.077287775</v>
      </c>
      <c r="E51" s="3">
        <v>410.0485409</v>
      </c>
      <c r="F51" s="3">
        <v>3.614</v>
      </c>
      <c r="G51" s="3">
        <v>2.007173742</v>
      </c>
      <c r="H51" s="3">
        <v>0.145443905</v>
      </c>
      <c r="I51" s="3">
        <v>32.09801707</v>
      </c>
      <c r="J51" s="4"/>
      <c r="K51" s="3">
        <v>1.31670484E8</v>
      </c>
      <c r="L51" s="3">
        <v>1.899252681</v>
      </c>
      <c r="M51" s="2" t="s">
        <v>34</v>
      </c>
      <c r="N51" s="3">
        <v>66.135</v>
      </c>
      <c r="O51" s="3">
        <v>59.9</v>
      </c>
      <c r="P51" s="3">
        <v>47.0</v>
      </c>
      <c r="Q51" s="2" t="s">
        <v>34</v>
      </c>
      <c r="R51" s="3">
        <v>24.096</v>
      </c>
      <c r="S51" s="3">
        <v>35.0</v>
      </c>
      <c r="T51" s="3">
        <v>94.99368594</v>
      </c>
      <c r="U51" s="3">
        <v>26.07059753</v>
      </c>
      <c r="V51" s="3">
        <v>0.24364686</v>
      </c>
      <c r="W51" s="3">
        <v>53.53715577</v>
      </c>
      <c r="X51" s="3">
        <v>55.9</v>
      </c>
      <c r="Y51" s="3">
        <v>14.72789045</v>
      </c>
      <c r="Z51" s="2" t="s">
        <v>34</v>
      </c>
      <c r="AA51" s="2" t="s">
        <v>34</v>
      </c>
      <c r="AB51" s="2" t="s">
        <v>34</v>
      </c>
      <c r="AC51" s="2" t="s">
        <v>34</v>
      </c>
      <c r="AD51" s="2" t="s">
        <v>34</v>
      </c>
      <c r="AE51" s="3">
        <v>0.129808</v>
      </c>
      <c r="AF51" s="2" t="s">
        <v>34</v>
      </c>
      <c r="AG51" s="2" t="s">
        <v>34</v>
      </c>
    </row>
    <row r="52">
      <c r="A52" s="2" t="s">
        <v>36</v>
      </c>
      <c r="B52" s="3">
        <v>2002.0</v>
      </c>
      <c r="C52" s="3">
        <v>5.4724081491E10</v>
      </c>
      <c r="D52" s="3">
        <v>3.83312394</v>
      </c>
      <c r="E52" s="3">
        <v>407.9629676</v>
      </c>
      <c r="F52" s="3">
        <v>3.967</v>
      </c>
      <c r="G52" s="3">
        <v>3.332564933</v>
      </c>
      <c r="H52" s="3">
        <v>0.095579368</v>
      </c>
      <c r="I52" s="3">
        <v>28.96738072</v>
      </c>
      <c r="J52" s="4"/>
      <c r="K52" s="3">
        <v>1.34139826E8</v>
      </c>
      <c r="L52" s="3">
        <v>1.85802653</v>
      </c>
      <c r="M52" s="2" t="s">
        <v>34</v>
      </c>
      <c r="N52" s="3">
        <v>66.612</v>
      </c>
      <c r="O52" s="3">
        <v>57.0</v>
      </c>
      <c r="P52" s="2" t="s">
        <v>34</v>
      </c>
      <c r="Q52" s="2" t="s">
        <v>34</v>
      </c>
      <c r="R52" s="3">
        <v>24.756</v>
      </c>
      <c r="S52" s="3">
        <v>37.8</v>
      </c>
      <c r="T52" s="3">
        <v>95.17376963</v>
      </c>
      <c r="U52" s="3">
        <v>27.6554494</v>
      </c>
      <c r="V52" s="3">
        <v>0.251713462</v>
      </c>
      <c r="W52" s="3">
        <v>53.99898917</v>
      </c>
      <c r="X52" s="3">
        <v>54.4</v>
      </c>
      <c r="Y52" s="3">
        <v>14.70331797</v>
      </c>
      <c r="Z52" s="3">
        <v>1.587301612</v>
      </c>
      <c r="AA52" s="3">
        <v>-1.032590389</v>
      </c>
      <c r="AB52" s="3">
        <v>-1.055441499</v>
      </c>
      <c r="AC52" s="3">
        <v>-0.991601229</v>
      </c>
      <c r="AD52" s="3">
        <v>-0.432220519</v>
      </c>
      <c r="AE52" s="3">
        <v>0.13992</v>
      </c>
      <c r="AF52" s="2" t="s">
        <v>34</v>
      </c>
      <c r="AG52" s="2" t="s">
        <v>34</v>
      </c>
    </row>
    <row r="53">
      <c r="A53" s="2" t="s">
        <v>36</v>
      </c>
      <c r="B53" s="3">
        <v>2003.0</v>
      </c>
      <c r="C53" s="3">
        <v>6.0158929188E10</v>
      </c>
      <c r="D53" s="3">
        <v>4.7395674</v>
      </c>
      <c r="E53" s="3">
        <v>440.7144048</v>
      </c>
      <c r="F53" s="3">
        <v>4.32</v>
      </c>
      <c r="G53" s="3">
        <v>5.668707734</v>
      </c>
      <c r="H53" s="3">
        <v>0.445960783</v>
      </c>
      <c r="I53" s="3">
        <v>27.6578849</v>
      </c>
      <c r="J53" s="4"/>
      <c r="K53" s="3">
        <v>1.36503206E8</v>
      </c>
      <c r="L53" s="3">
        <v>1.746536801</v>
      </c>
      <c r="M53" s="2" t="s">
        <v>34</v>
      </c>
      <c r="N53" s="3">
        <v>66.824</v>
      </c>
      <c r="O53" s="3">
        <v>54.3</v>
      </c>
      <c r="P53" s="2" t="s">
        <v>34</v>
      </c>
      <c r="Q53" s="2" t="s">
        <v>34</v>
      </c>
      <c r="R53" s="3">
        <v>25.429</v>
      </c>
      <c r="S53" s="3">
        <v>40.5</v>
      </c>
      <c r="T53" s="3">
        <v>95.35256256</v>
      </c>
      <c r="U53" s="3">
        <v>29.23186766</v>
      </c>
      <c r="V53" s="3">
        <v>0.259061315</v>
      </c>
      <c r="W53" s="3">
        <v>54.44165602</v>
      </c>
      <c r="X53" s="3">
        <v>52.6</v>
      </c>
      <c r="Y53" s="3">
        <v>14.67874549</v>
      </c>
      <c r="Z53" s="3">
        <v>0.529100537</v>
      </c>
      <c r="AA53" s="3">
        <v>-1.115581155</v>
      </c>
      <c r="AB53" s="3">
        <v>-1.044749141</v>
      </c>
      <c r="AC53" s="3">
        <v>-1.151943922</v>
      </c>
      <c r="AD53" s="3">
        <v>-0.551806808</v>
      </c>
      <c r="AE53" s="3">
        <v>0.163878</v>
      </c>
      <c r="AF53" s="2" t="s">
        <v>34</v>
      </c>
      <c r="AG53" s="2" t="s">
        <v>34</v>
      </c>
    </row>
    <row r="54">
      <c r="A54" s="2" t="s">
        <v>36</v>
      </c>
      <c r="B54" s="3">
        <v>2004.0</v>
      </c>
      <c r="C54" s="3">
        <v>6.510854425E10</v>
      </c>
      <c r="D54" s="3">
        <v>5.23953291</v>
      </c>
      <c r="E54" s="3">
        <v>469.1164584</v>
      </c>
      <c r="F54" s="3">
        <v>4.294</v>
      </c>
      <c r="G54" s="3">
        <v>7.587536385</v>
      </c>
      <c r="H54" s="3">
        <v>0.689472336</v>
      </c>
      <c r="I54" s="3">
        <v>26.85823415</v>
      </c>
      <c r="J54" s="4"/>
      <c r="K54" s="3">
        <v>1.38789725E8</v>
      </c>
      <c r="L54" s="3">
        <v>1.661191643</v>
      </c>
      <c r="M54" s="2" t="s">
        <v>34</v>
      </c>
      <c r="N54" s="3">
        <v>67.187</v>
      </c>
      <c r="O54" s="3">
        <v>51.7</v>
      </c>
      <c r="P54" s="2" t="s">
        <v>34</v>
      </c>
      <c r="Q54" s="2" t="s">
        <v>34</v>
      </c>
      <c r="R54" s="3">
        <v>26.114</v>
      </c>
      <c r="S54" s="3">
        <v>40.6</v>
      </c>
      <c r="T54" s="3">
        <v>95.52997248</v>
      </c>
      <c r="U54" s="3">
        <v>30.79929845</v>
      </c>
      <c r="V54" s="3">
        <v>0.269183472</v>
      </c>
      <c r="W54" s="3">
        <v>54.71398059</v>
      </c>
      <c r="X54" s="3">
        <v>52.0</v>
      </c>
      <c r="Y54" s="3">
        <v>14.654173</v>
      </c>
      <c r="Z54" s="3">
        <v>0.985221684</v>
      </c>
      <c r="AA54" s="3">
        <v>-1.360476375</v>
      </c>
      <c r="AB54" s="3">
        <v>-1.175912261</v>
      </c>
      <c r="AC54" s="3">
        <v>-1.122482061</v>
      </c>
      <c r="AD54" s="3">
        <v>-0.672145784</v>
      </c>
      <c r="AE54" s="3">
        <v>0.199036</v>
      </c>
      <c r="AF54" s="2" t="s">
        <v>34</v>
      </c>
      <c r="AG54" s="2" t="s">
        <v>34</v>
      </c>
    </row>
    <row r="55">
      <c r="A55" s="2" t="s">
        <v>36</v>
      </c>
      <c r="B55" s="3">
        <v>2005.0</v>
      </c>
      <c r="C55" s="3">
        <v>6.947600143E10</v>
      </c>
      <c r="D55" s="3">
        <v>6.535944939</v>
      </c>
      <c r="E55" s="3">
        <v>493.0432506</v>
      </c>
      <c r="F55" s="3">
        <v>4.25</v>
      </c>
      <c r="G55" s="3">
        <v>7.046618162</v>
      </c>
      <c r="H55" s="3">
        <v>1.170651671</v>
      </c>
      <c r="I55" s="3">
        <v>34.39693486</v>
      </c>
      <c r="J55" s="3">
        <v>33.2</v>
      </c>
      <c r="K55" s="3">
        <v>1.4091259E8</v>
      </c>
      <c r="L55" s="3">
        <v>1.517975111</v>
      </c>
      <c r="M55" s="3">
        <v>24.0</v>
      </c>
      <c r="N55" s="3">
        <v>67.299</v>
      </c>
      <c r="O55" s="3">
        <v>49.3</v>
      </c>
      <c r="P55" s="2" t="s">
        <v>34</v>
      </c>
      <c r="Q55" s="3">
        <v>99.95349884</v>
      </c>
      <c r="R55" s="3">
        <v>26.809</v>
      </c>
      <c r="S55" s="3">
        <v>44.2</v>
      </c>
      <c r="T55" s="3">
        <v>95.70895752</v>
      </c>
      <c r="U55" s="3">
        <v>32.44318376</v>
      </c>
      <c r="V55" s="3">
        <v>0.282248733</v>
      </c>
      <c r="W55" s="3">
        <v>54.6647871</v>
      </c>
      <c r="X55" s="3">
        <v>50.6</v>
      </c>
      <c r="Y55" s="3">
        <v>14.62960052</v>
      </c>
      <c r="Z55" s="3">
        <v>2.926829338</v>
      </c>
      <c r="AA55" s="3">
        <v>-1.863839388</v>
      </c>
      <c r="AB55" s="3">
        <v>-1.081751704</v>
      </c>
      <c r="AC55" s="3">
        <v>-0.978551865</v>
      </c>
      <c r="AD55" s="3">
        <v>-0.569969237</v>
      </c>
      <c r="AE55" s="3">
        <v>0.241637</v>
      </c>
      <c r="AF55" s="2" t="s">
        <v>34</v>
      </c>
      <c r="AG55" s="2" t="s">
        <v>34</v>
      </c>
    </row>
    <row r="56">
      <c r="A56" s="2" t="s">
        <v>36</v>
      </c>
      <c r="B56" s="3">
        <v>2006.0</v>
      </c>
      <c r="C56" s="3">
        <v>7.1795735672E10</v>
      </c>
      <c r="D56" s="3">
        <v>6.671904986</v>
      </c>
      <c r="E56" s="3">
        <v>503.3746345</v>
      </c>
      <c r="F56" s="3">
        <v>3.591</v>
      </c>
      <c r="G56" s="3">
        <v>6.765261171</v>
      </c>
      <c r="H56" s="3">
        <v>0.635863904</v>
      </c>
      <c r="I56" s="3">
        <v>38.11192443</v>
      </c>
      <c r="J56" s="4"/>
      <c r="K56" s="3">
        <v>1.42628831E8</v>
      </c>
      <c r="L56" s="3">
        <v>1.210589941</v>
      </c>
      <c r="M56" s="2" t="s">
        <v>34</v>
      </c>
      <c r="N56" s="3">
        <v>67.241</v>
      </c>
      <c r="O56" s="3">
        <v>47.0</v>
      </c>
      <c r="P56" s="2" t="s">
        <v>34</v>
      </c>
      <c r="Q56" s="3">
        <v>99.97512054</v>
      </c>
      <c r="R56" s="3">
        <v>27.517</v>
      </c>
      <c r="S56" s="3">
        <v>50.5</v>
      </c>
      <c r="T56" s="3">
        <v>95.88471178</v>
      </c>
      <c r="U56" s="3">
        <v>34.08752509</v>
      </c>
      <c r="V56" s="3">
        <v>0.299803341</v>
      </c>
      <c r="W56" s="3">
        <v>53.19754595</v>
      </c>
      <c r="X56" s="3">
        <v>48.6</v>
      </c>
      <c r="Y56" s="3">
        <v>14.60502804</v>
      </c>
      <c r="Z56" s="3">
        <v>2.926829338</v>
      </c>
      <c r="AA56" s="3">
        <v>-1.507097363</v>
      </c>
      <c r="AB56" s="3">
        <v>-1.005542517</v>
      </c>
      <c r="AC56" s="3">
        <v>-0.907564044</v>
      </c>
      <c r="AD56" s="3">
        <v>-0.451236516</v>
      </c>
      <c r="AE56" s="3">
        <v>1.0</v>
      </c>
      <c r="AF56" s="2" t="s">
        <v>34</v>
      </c>
      <c r="AG56" s="2" t="s">
        <v>34</v>
      </c>
    </row>
    <row r="57">
      <c r="A57" s="2" t="s">
        <v>36</v>
      </c>
      <c r="B57" s="3">
        <v>2007.0</v>
      </c>
      <c r="C57" s="3">
        <v>7.9611644984E10</v>
      </c>
      <c r="D57" s="3">
        <v>7.058599354</v>
      </c>
      <c r="E57" s="3">
        <v>552.337247</v>
      </c>
      <c r="F57" s="3">
        <v>4.045</v>
      </c>
      <c r="G57" s="3">
        <v>9.106984969</v>
      </c>
      <c r="H57" s="3">
        <v>0.817756923</v>
      </c>
      <c r="I57" s="3">
        <v>39.94238265</v>
      </c>
      <c r="J57" s="4"/>
      <c r="K57" s="3">
        <v>1.44135934E8</v>
      </c>
      <c r="L57" s="3">
        <v>1.051117194</v>
      </c>
      <c r="M57" s="2" t="s">
        <v>34</v>
      </c>
      <c r="N57" s="3">
        <v>66.714</v>
      </c>
      <c r="O57" s="3">
        <v>44.8</v>
      </c>
      <c r="P57" s="3">
        <v>46.66360092</v>
      </c>
      <c r="Q57" s="3">
        <v>98.18898773</v>
      </c>
      <c r="R57" s="3">
        <v>28.237</v>
      </c>
      <c r="S57" s="3">
        <v>46.5</v>
      </c>
      <c r="T57" s="3">
        <v>96.05709845</v>
      </c>
      <c r="U57" s="3">
        <v>35.73090119</v>
      </c>
      <c r="V57" s="3">
        <v>0.313589393</v>
      </c>
      <c r="W57" s="3">
        <v>50.07523823</v>
      </c>
      <c r="X57" s="3">
        <v>47.2</v>
      </c>
      <c r="Y57" s="3">
        <v>14.58045556</v>
      </c>
      <c r="Z57" s="3">
        <v>13.5922327</v>
      </c>
      <c r="AA57" s="3">
        <v>-1.543071628</v>
      </c>
      <c r="AB57" s="3">
        <v>-0.953167856</v>
      </c>
      <c r="AC57" s="3">
        <v>-0.827155948</v>
      </c>
      <c r="AD57" s="3">
        <v>-0.573499918</v>
      </c>
      <c r="AE57" s="3">
        <v>1.8</v>
      </c>
      <c r="AF57" s="2" t="s">
        <v>34</v>
      </c>
      <c r="AG57" s="2" t="s">
        <v>34</v>
      </c>
    </row>
    <row r="58">
      <c r="A58" s="2" t="s">
        <v>36</v>
      </c>
      <c r="B58" s="3">
        <v>2008.0</v>
      </c>
      <c r="C58" s="3">
        <v>9.1636997445E10</v>
      </c>
      <c r="D58" s="3">
        <v>6.013789757</v>
      </c>
      <c r="E58" s="3">
        <v>630.1483077</v>
      </c>
      <c r="F58" s="3">
        <v>4.516</v>
      </c>
      <c r="G58" s="3">
        <v>8.901944895</v>
      </c>
      <c r="H58" s="3">
        <v>1.449657915</v>
      </c>
      <c r="I58" s="3">
        <v>42.62091403</v>
      </c>
      <c r="J58" s="4"/>
      <c r="K58" s="3">
        <v>1.45421318E8</v>
      </c>
      <c r="L58" s="3">
        <v>0.887833017</v>
      </c>
      <c r="M58" s="2" t="s">
        <v>34</v>
      </c>
      <c r="N58" s="3">
        <v>67.051</v>
      </c>
      <c r="O58" s="3">
        <v>42.7</v>
      </c>
      <c r="P58" s="2" t="s">
        <v>34</v>
      </c>
      <c r="Q58" s="3">
        <v>95.1065979</v>
      </c>
      <c r="R58" s="3">
        <v>28.968</v>
      </c>
      <c r="S58" s="3">
        <v>54.3</v>
      </c>
      <c r="T58" s="3">
        <v>96.2259786</v>
      </c>
      <c r="U58" s="3">
        <v>37.37191663</v>
      </c>
      <c r="V58" s="3">
        <v>0.347517136</v>
      </c>
      <c r="W58" s="3">
        <v>46.43595425</v>
      </c>
      <c r="X58" s="3">
        <v>45.2</v>
      </c>
      <c r="Y58" s="3">
        <v>14.55588308</v>
      </c>
      <c r="Z58" s="3">
        <v>15.04854393</v>
      </c>
      <c r="AA58" s="3">
        <v>-1.508331299</v>
      </c>
      <c r="AB58" s="3">
        <v>-0.91451782</v>
      </c>
      <c r="AC58" s="3">
        <v>-0.752373576</v>
      </c>
      <c r="AD58" s="3">
        <v>-0.442116976</v>
      </c>
      <c r="AE58" s="3">
        <v>2.5</v>
      </c>
      <c r="AF58" s="2" t="s">
        <v>34</v>
      </c>
      <c r="AG58" s="3">
        <v>0.43548046</v>
      </c>
    </row>
    <row r="59">
      <c r="A59" s="2" t="s">
        <v>36</v>
      </c>
      <c r="B59" s="3">
        <v>2009.0</v>
      </c>
      <c r="C59" s="5">
        <v>1.02E11</v>
      </c>
      <c r="D59" s="3">
        <v>5.045124799</v>
      </c>
      <c r="E59" s="3">
        <v>698.5030788</v>
      </c>
      <c r="F59" s="3">
        <v>5.0</v>
      </c>
      <c r="G59" s="3">
        <v>5.423472362</v>
      </c>
      <c r="H59" s="3">
        <v>0.87951714</v>
      </c>
      <c r="I59" s="3">
        <v>40.09279622</v>
      </c>
      <c r="J59" s="4"/>
      <c r="K59" s="3">
        <v>1.4670681E8</v>
      </c>
      <c r="L59" s="3">
        <v>0.880093476</v>
      </c>
      <c r="M59" s="2" t="s">
        <v>34</v>
      </c>
      <c r="N59" s="3">
        <v>67.403</v>
      </c>
      <c r="O59" s="3">
        <v>40.7</v>
      </c>
      <c r="P59" s="2" t="s">
        <v>34</v>
      </c>
      <c r="Q59" s="3">
        <v>97.62580109</v>
      </c>
      <c r="R59" s="3">
        <v>29.709</v>
      </c>
      <c r="S59" s="3">
        <v>57.1</v>
      </c>
      <c r="T59" s="3">
        <v>96.39123318</v>
      </c>
      <c r="U59" s="3">
        <v>39.00921249</v>
      </c>
      <c r="V59" s="3">
        <v>0.366237941</v>
      </c>
      <c r="W59" s="3">
        <v>43.4177843</v>
      </c>
      <c r="X59" s="3">
        <v>43.1</v>
      </c>
      <c r="Y59" s="3">
        <v>14.53130983</v>
      </c>
      <c r="Z59" s="3">
        <v>14.83253574</v>
      </c>
      <c r="AA59" s="3">
        <v>-1.546771407</v>
      </c>
      <c r="AB59" s="3">
        <v>-0.866342843</v>
      </c>
      <c r="AC59" s="3">
        <v>-0.784571469</v>
      </c>
      <c r="AD59" s="3">
        <v>-0.289043039</v>
      </c>
      <c r="AE59" s="3">
        <v>3.1</v>
      </c>
      <c r="AF59" s="2" t="s">
        <v>34</v>
      </c>
      <c r="AG59" s="3">
        <v>0.305861222</v>
      </c>
    </row>
    <row r="60">
      <c r="A60" s="2" t="s">
        <v>36</v>
      </c>
      <c r="B60" s="3">
        <v>2010.0</v>
      </c>
      <c r="C60" s="5">
        <v>1.15E11</v>
      </c>
      <c r="D60" s="3">
        <v>5.571788185</v>
      </c>
      <c r="E60" s="3">
        <v>776.835744</v>
      </c>
      <c r="F60" s="3">
        <v>3.379</v>
      </c>
      <c r="G60" s="3">
        <v>8.126676392</v>
      </c>
      <c r="H60" s="3">
        <v>1.068967656</v>
      </c>
      <c r="I60" s="3">
        <v>37.80284267</v>
      </c>
      <c r="J60" s="3">
        <v>32.1</v>
      </c>
      <c r="K60" s="3">
        <v>1.48391139E8</v>
      </c>
      <c r="L60" s="3">
        <v>1.141551337</v>
      </c>
      <c r="M60" s="3">
        <v>18.2</v>
      </c>
      <c r="N60" s="3">
        <v>68.638</v>
      </c>
      <c r="O60" s="3">
        <v>38.9</v>
      </c>
      <c r="P60" s="2" t="s">
        <v>34</v>
      </c>
      <c r="Q60" s="3">
        <v>99.73534806</v>
      </c>
      <c r="R60" s="3">
        <v>30.462</v>
      </c>
      <c r="S60" s="3">
        <v>55.3</v>
      </c>
      <c r="T60" s="3">
        <v>96.55282537</v>
      </c>
      <c r="U60" s="3">
        <v>40.64186732</v>
      </c>
      <c r="V60" s="3">
        <v>0.401305633</v>
      </c>
      <c r="W60" s="3">
        <v>42.1588187</v>
      </c>
      <c r="X60" s="3">
        <v>40.3</v>
      </c>
      <c r="Y60" s="3">
        <v>14.50673734</v>
      </c>
      <c r="Z60" s="3">
        <v>14.76190472</v>
      </c>
      <c r="AA60" s="3">
        <v>-1.425789475</v>
      </c>
      <c r="AB60" s="3">
        <v>-0.85759306</v>
      </c>
      <c r="AC60" s="3">
        <v>-0.801013291</v>
      </c>
      <c r="AD60" s="3">
        <v>-0.268090695</v>
      </c>
      <c r="AE60" s="3">
        <v>3.7</v>
      </c>
      <c r="AF60" s="2" t="s">
        <v>34</v>
      </c>
      <c r="AG60" s="3">
        <v>0.21302152</v>
      </c>
    </row>
    <row r="61">
      <c r="A61" s="2" t="s">
        <v>36</v>
      </c>
      <c r="B61" s="3">
        <v>2011.0</v>
      </c>
      <c r="C61" s="5">
        <v>1.29E11</v>
      </c>
      <c r="D61" s="3">
        <v>6.464379125</v>
      </c>
      <c r="E61" s="3">
        <v>856.1788328</v>
      </c>
      <c r="F61" s="3">
        <v>3.73</v>
      </c>
      <c r="G61" s="3">
        <v>11.39516516</v>
      </c>
      <c r="H61" s="3">
        <v>0.983399359</v>
      </c>
      <c r="I61" s="3">
        <v>47.42084984</v>
      </c>
      <c r="J61" s="4"/>
      <c r="K61" s="3">
        <v>1.50211005E8</v>
      </c>
      <c r="L61" s="3">
        <v>1.218938691</v>
      </c>
      <c r="M61" s="2" t="s">
        <v>34</v>
      </c>
      <c r="N61" s="3">
        <v>68.809</v>
      </c>
      <c r="O61" s="3">
        <v>37.2</v>
      </c>
      <c r="P61" s="3">
        <v>59.0</v>
      </c>
      <c r="Q61" s="2" t="s">
        <v>34</v>
      </c>
      <c r="R61" s="3">
        <v>31.225</v>
      </c>
      <c r="S61" s="3">
        <v>59.6</v>
      </c>
      <c r="T61" s="3">
        <v>96.71059726</v>
      </c>
      <c r="U61" s="3">
        <v>42.2683391</v>
      </c>
      <c r="V61" s="3">
        <v>0.422064282</v>
      </c>
      <c r="W61" s="3">
        <v>52.29511106</v>
      </c>
      <c r="X61" s="3">
        <v>38.4</v>
      </c>
      <c r="Y61" s="3">
        <v>14.4991442</v>
      </c>
      <c r="Z61" s="3">
        <v>13.74407578</v>
      </c>
      <c r="AA61" s="3">
        <v>-1.404736876</v>
      </c>
      <c r="AB61" s="3">
        <v>-0.81707859</v>
      </c>
      <c r="AC61" s="3">
        <v>-0.733335555</v>
      </c>
      <c r="AD61" s="3">
        <v>-0.31506893</v>
      </c>
      <c r="AE61" s="3">
        <v>4.5</v>
      </c>
      <c r="AF61" s="2" t="s">
        <v>34</v>
      </c>
      <c r="AG61" s="3">
        <v>0.194923395</v>
      </c>
    </row>
    <row r="62">
      <c r="A62" s="2" t="s">
        <v>36</v>
      </c>
      <c r="B62" s="3">
        <v>2012.0</v>
      </c>
      <c r="C62" s="5">
        <v>1.33E11</v>
      </c>
      <c r="D62" s="3">
        <v>6.521458779</v>
      </c>
      <c r="E62" s="3">
        <v>876.5216529</v>
      </c>
      <c r="F62" s="3">
        <v>4.075</v>
      </c>
      <c r="G62" s="3">
        <v>6.217504221</v>
      </c>
      <c r="H62" s="3">
        <v>1.188503924</v>
      </c>
      <c r="I62" s="3">
        <v>48.11092275</v>
      </c>
      <c r="J62" s="4"/>
      <c r="K62" s="3">
        <v>1.52090649E8</v>
      </c>
      <c r="L62" s="3">
        <v>1.243571246</v>
      </c>
      <c r="M62" s="2" t="s">
        <v>34</v>
      </c>
      <c r="N62" s="3">
        <v>69.554</v>
      </c>
      <c r="O62" s="3">
        <v>35.6</v>
      </c>
      <c r="P62" s="3">
        <v>58.0</v>
      </c>
      <c r="Q62" s="2" t="s">
        <v>34</v>
      </c>
      <c r="R62" s="3">
        <v>31.993</v>
      </c>
      <c r="S62" s="3">
        <v>65.5</v>
      </c>
      <c r="T62" s="3">
        <v>96.86438458</v>
      </c>
      <c r="U62" s="3">
        <v>43.88689272</v>
      </c>
      <c r="V62" s="3">
        <v>0.447700108</v>
      </c>
      <c r="W62" s="3">
        <v>65.16383893</v>
      </c>
      <c r="X62" s="3">
        <v>37.3</v>
      </c>
      <c r="Y62" s="3">
        <v>14.49155105</v>
      </c>
      <c r="Z62" s="3">
        <v>20.85308075</v>
      </c>
      <c r="AA62" s="3">
        <v>-1.379088998</v>
      </c>
      <c r="AB62" s="3">
        <v>-0.959472537</v>
      </c>
      <c r="AC62" s="3">
        <v>-0.936167359</v>
      </c>
      <c r="AD62" s="3">
        <v>-0.401940674</v>
      </c>
      <c r="AE62" s="3">
        <v>5.0</v>
      </c>
      <c r="AF62" s="2" t="s">
        <v>34</v>
      </c>
      <c r="AG62" s="3">
        <v>0.463362853</v>
      </c>
    </row>
    <row r="63">
      <c r="A63" s="2" t="s">
        <v>36</v>
      </c>
      <c r="B63" s="3">
        <v>2013.0</v>
      </c>
      <c r="C63" s="5">
        <v>1.5E11</v>
      </c>
      <c r="D63" s="3">
        <v>6.013605658</v>
      </c>
      <c r="E63" s="3">
        <v>973.8286176</v>
      </c>
      <c r="F63" s="3">
        <v>4.426</v>
      </c>
      <c r="G63" s="3">
        <v>7.530406409</v>
      </c>
      <c r="H63" s="3">
        <v>1.735320126</v>
      </c>
      <c r="I63" s="3">
        <v>46.29640272</v>
      </c>
      <c r="J63" s="4"/>
      <c r="K63" s="3">
        <v>1.54030139E8</v>
      </c>
      <c r="L63" s="3">
        <v>1.267157297</v>
      </c>
      <c r="M63" s="2" t="s">
        <v>34</v>
      </c>
      <c r="N63" s="3">
        <v>69.565</v>
      </c>
      <c r="O63" s="3">
        <v>34.1</v>
      </c>
      <c r="P63" s="3">
        <v>61.0</v>
      </c>
      <c r="Q63" s="2" t="s">
        <v>34</v>
      </c>
      <c r="R63" s="3">
        <v>32.762</v>
      </c>
      <c r="S63" s="3">
        <v>61.5</v>
      </c>
      <c r="T63" s="3">
        <v>97.01406183</v>
      </c>
      <c r="U63" s="3">
        <v>45.49616346</v>
      </c>
      <c r="V63" s="3">
        <v>0.46656778</v>
      </c>
      <c r="W63" s="3">
        <v>64.3758949</v>
      </c>
      <c r="X63" s="3">
        <v>37.0</v>
      </c>
      <c r="Y63" s="3">
        <v>14.4839579</v>
      </c>
      <c r="Z63" s="3">
        <v>21.32701492</v>
      </c>
      <c r="AA63" s="3">
        <v>-1.627858877</v>
      </c>
      <c r="AB63" s="3">
        <v>-0.923936903</v>
      </c>
      <c r="AC63" s="3">
        <v>-0.871759772</v>
      </c>
      <c r="AD63" s="3">
        <v>-0.405386388</v>
      </c>
      <c r="AE63" s="3">
        <v>6.63</v>
      </c>
      <c r="AF63" s="2" t="s">
        <v>34</v>
      </c>
      <c r="AG63" s="3">
        <v>0.29908859</v>
      </c>
    </row>
    <row r="64">
      <c r="A64" s="2" t="s">
        <v>36</v>
      </c>
      <c r="B64" s="3">
        <v>2014.0</v>
      </c>
      <c r="C64" s="5">
        <v>1.73E11</v>
      </c>
      <c r="D64" s="3">
        <v>6.061059359</v>
      </c>
      <c r="E64" s="3">
        <v>1108.522513</v>
      </c>
      <c r="F64" s="3">
        <v>4.406</v>
      </c>
      <c r="G64" s="3">
        <v>6.991638892</v>
      </c>
      <c r="H64" s="3">
        <v>1.468703055</v>
      </c>
      <c r="I64" s="3">
        <v>44.5140802</v>
      </c>
      <c r="J64" s="4"/>
      <c r="K64" s="3">
        <v>1.55961299E8</v>
      </c>
      <c r="L64" s="3">
        <v>1.245960208</v>
      </c>
      <c r="M64" s="2" t="s">
        <v>34</v>
      </c>
      <c r="N64" s="3">
        <v>69.986</v>
      </c>
      <c r="O64" s="3">
        <v>32.7</v>
      </c>
      <c r="P64" s="3">
        <v>61.0</v>
      </c>
      <c r="Q64" s="2" t="s">
        <v>34</v>
      </c>
      <c r="R64" s="3">
        <v>33.535</v>
      </c>
      <c r="S64" s="3">
        <v>62.4</v>
      </c>
      <c r="T64" s="3">
        <v>97.15966368</v>
      </c>
      <c r="U64" s="3">
        <v>47.09553667</v>
      </c>
      <c r="V64" s="3">
        <v>0.48504469</v>
      </c>
      <c r="W64" s="3">
        <v>68.32836451</v>
      </c>
      <c r="X64" s="3">
        <v>35.4</v>
      </c>
      <c r="Y64" s="3">
        <v>14.47636475</v>
      </c>
      <c r="Z64" s="3">
        <v>18.75</v>
      </c>
      <c r="AA64" s="3">
        <v>-0.895563185</v>
      </c>
      <c r="AB64" s="3">
        <v>-0.955160499</v>
      </c>
      <c r="AC64" s="3">
        <v>-0.782509089</v>
      </c>
      <c r="AD64" s="3">
        <v>-0.473918706</v>
      </c>
      <c r="AE64" s="3">
        <v>11.9</v>
      </c>
      <c r="AF64" s="2" t="s">
        <v>34</v>
      </c>
      <c r="AG64" s="2" t="s">
        <v>34</v>
      </c>
    </row>
    <row r="65">
      <c r="A65" s="2" t="s">
        <v>36</v>
      </c>
      <c r="B65" s="3">
        <v>2015.0</v>
      </c>
      <c r="C65" s="5">
        <v>1.95E11</v>
      </c>
      <c r="D65" s="3">
        <v>6.552639878</v>
      </c>
      <c r="E65" s="3">
        <v>1236.435456</v>
      </c>
      <c r="F65" s="3">
        <v>4.382</v>
      </c>
      <c r="G65" s="3">
        <v>6.19428023</v>
      </c>
      <c r="H65" s="3">
        <v>1.450782463</v>
      </c>
      <c r="I65" s="3">
        <v>42.08599631</v>
      </c>
      <c r="J65" s="4"/>
      <c r="K65" s="3">
        <v>1.5783E8</v>
      </c>
      <c r="L65" s="3">
        <v>1.191061127</v>
      </c>
      <c r="M65" s="2" t="s">
        <v>34</v>
      </c>
      <c r="N65" s="3">
        <v>70.491</v>
      </c>
      <c r="O65" s="3">
        <v>31.4</v>
      </c>
      <c r="P65" s="3">
        <v>65.0</v>
      </c>
      <c r="Q65" s="2" t="s">
        <v>34</v>
      </c>
      <c r="R65" s="3">
        <v>34.308</v>
      </c>
      <c r="S65" s="3">
        <v>74.0</v>
      </c>
      <c r="T65" s="3">
        <v>97.30110109</v>
      </c>
      <c r="U65" s="3">
        <v>48.68381585</v>
      </c>
      <c r="V65" s="3">
        <v>0.536230755</v>
      </c>
      <c r="W65" s="3">
        <v>64.10842952</v>
      </c>
      <c r="X65" s="3">
        <v>33.1</v>
      </c>
      <c r="Y65" s="3">
        <v>14.46877161</v>
      </c>
      <c r="Z65" s="3">
        <v>21.90476227</v>
      </c>
      <c r="AA65" s="3">
        <v>-1.209773779</v>
      </c>
      <c r="AB65" s="3">
        <v>-0.920240402</v>
      </c>
      <c r="AC65" s="3">
        <v>-0.770436168</v>
      </c>
      <c r="AD65" s="3">
        <v>-0.512037396</v>
      </c>
      <c r="AE65" s="3">
        <v>12.9</v>
      </c>
      <c r="AF65" s="2" t="s">
        <v>34</v>
      </c>
      <c r="AG65" s="3">
        <v>0.307867108</v>
      </c>
    </row>
    <row r="66">
      <c r="A66" s="2" t="s">
        <v>36</v>
      </c>
      <c r="B66" s="3">
        <v>2016.0</v>
      </c>
      <c r="C66" s="5">
        <v>2.65E11</v>
      </c>
      <c r="D66" s="3">
        <v>7.113478213</v>
      </c>
      <c r="E66" s="3">
        <v>1659.888173</v>
      </c>
      <c r="F66" s="3">
        <v>4.35</v>
      </c>
      <c r="G66" s="3">
        <v>5.513525727</v>
      </c>
      <c r="H66" s="3">
        <v>0.879528344</v>
      </c>
      <c r="I66" s="3">
        <v>31.33415013</v>
      </c>
      <c r="J66" s="3">
        <v>32.4</v>
      </c>
      <c r="K66" s="3">
        <v>1.59784568E8</v>
      </c>
      <c r="L66" s="3">
        <v>1.230795354</v>
      </c>
      <c r="M66" s="3">
        <v>13.5</v>
      </c>
      <c r="N66" s="3">
        <v>71.09</v>
      </c>
      <c r="O66" s="3">
        <v>30.1</v>
      </c>
      <c r="P66" s="3">
        <v>73.0</v>
      </c>
      <c r="Q66" s="2" t="s">
        <v>34</v>
      </c>
      <c r="R66" s="3">
        <v>35.083</v>
      </c>
      <c r="S66" s="3">
        <v>75.9</v>
      </c>
      <c r="T66" s="3">
        <v>97.43839091</v>
      </c>
      <c r="U66" s="3">
        <v>50.26029221</v>
      </c>
      <c r="V66" s="3">
        <v>0.581254505</v>
      </c>
      <c r="W66" s="3">
        <v>63.67841413</v>
      </c>
      <c r="X66" s="3">
        <v>30.2</v>
      </c>
      <c r="Y66" s="3">
        <v>14.46877161</v>
      </c>
      <c r="Z66" s="3">
        <v>18.5714283</v>
      </c>
      <c r="AA66" s="3">
        <v>-1.259732962</v>
      </c>
      <c r="AB66" s="3">
        <v>-0.811327994</v>
      </c>
      <c r="AC66" s="3">
        <v>-0.670857012</v>
      </c>
      <c r="AD66" s="3">
        <v>-0.583839417</v>
      </c>
      <c r="AE66" s="3">
        <v>18.1</v>
      </c>
      <c r="AF66" s="2" t="s">
        <v>34</v>
      </c>
      <c r="AG66" s="2" t="s">
        <v>34</v>
      </c>
    </row>
    <row r="67">
      <c r="A67" s="2" t="s">
        <v>36</v>
      </c>
      <c r="B67" s="3">
        <v>2017.0</v>
      </c>
      <c r="C67" s="5">
        <v>2.94E11</v>
      </c>
      <c r="D67" s="3">
        <v>6.590249998</v>
      </c>
      <c r="E67" s="3">
        <v>1815.47222</v>
      </c>
      <c r="F67" s="3">
        <v>4.372</v>
      </c>
      <c r="G67" s="3">
        <v>5.702070157</v>
      </c>
      <c r="H67" s="3">
        <v>0.616341784</v>
      </c>
      <c r="I67" s="3">
        <v>29.99973067</v>
      </c>
      <c r="J67" s="4"/>
      <c r="K67" s="3">
        <v>1.61793964E8</v>
      </c>
      <c r="L67" s="3">
        <v>1.249724066</v>
      </c>
      <c r="M67" s="2" t="s">
        <v>34</v>
      </c>
      <c r="N67" s="3">
        <v>71.788</v>
      </c>
      <c r="O67" s="3">
        <v>28.9</v>
      </c>
      <c r="P67" s="3">
        <v>73.0</v>
      </c>
      <c r="Q67" s="3">
        <v>109.1253603</v>
      </c>
      <c r="R67" s="3">
        <v>35.858</v>
      </c>
      <c r="S67" s="3">
        <v>88.0</v>
      </c>
      <c r="T67" s="3">
        <v>97.57149329</v>
      </c>
      <c r="U67" s="3">
        <v>51.82403595</v>
      </c>
      <c r="V67" s="3">
        <v>0.619278356</v>
      </c>
      <c r="W67" s="3">
        <v>58.34397664</v>
      </c>
      <c r="X67" s="3">
        <v>28.1</v>
      </c>
      <c r="Y67" s="3">
        <v>14.46877161</v>
      </c>
      <c r="Z67" s="3">
        <v>18.5714283</v>
      </c>
      <c r="AA67" s="3">
        <v>-1.253626704</v>
      </c>
      <c r="AB67" s="3">
        <v>-0.826628149</v>
      </c>
      <c r="AC67" s="3">
        <v>-0.681922019</v>
      </c>
      <c r="AD67" s="3">
        <v>-0.615030944</v>
      </c>
      <c r="AE67" s="3">
        <v>21.5</v>
      </c>
      <c r="AF67" s="2" t="s">
        <v>34</v>
      </c>
      <c r="AG67" s="2" t="s">
        <v>34</v>
      </c>
    </row>
    <row r="68">
      <c r="A68" s="2" t="s">
        <v>36</v>
      </c>
      <c r="B68" s="3">
        <v>2018.0</v>
      </c>
      <c r="C68" s="5">
        <v>3.21E11</v>
      </c>
      <c r="D68" s="3">
        <v>7.31941263</v>
      </c>
      <c r="E68" s="3">
        <v>1963.312441</v>
      </c>
      <c r="F68" s="3">
        <v>4.532</v>
      </c>
      <c r="G68" s="3">
        <v>5.543621395</v>
      </c>
      <c r="H68" s="3">
        <v>0.753549137</v>
      </c>
      <c r="I68" s="3">
        <v>32.51463172</v>
      </c>
      <c r="J68" s="4"/>
      <c r="K68" s="3">
        <v>1.63683958E8</v>
      </c>
      <c r="L68" s="3">
        <v>1.161378463</v>
      </c>
      <c r="M68" s="2" t="s">
        <v>34</v>
      </c>
      <c r="N68" s="3">
        <v>72.567</v>
      </c>
      <c r="O68" s="3">
        <v>27.8</v>
      </c>
      <c r="P68" s="3">
        <v>74.0</v>
      </c>
      <c r="Q68" s="3">
        <v>112.4276954</v>
      </c>
      <c r="R68" s="3">
        <v>36.632</v>
      </c>
      <c r="S68" s="3">
        <v>86.9</v>
      </c>
      <c r="T68" s="3">
        <v>97.70041155</v>
      </c>
      <c r="U68" s="3">
        <v>53.37426479</v>
      </c>
      <c r="V68" s="3">
        <v>0.671929011</v>
      </c>
      <c r="W68" s="3">
        <v>59.51357785</v>
      </c>
      <c r="X68" s="3">
        <v>27.0</v>
      </c>
      <c r="Y68" s="3">
        <v>14.46877161</v>
      </c>
      <c r="Z68" s="3">
        <v>17.1428566</v>
      </c>
      <c r="AA68" s="3">
        <v>-0.985568643</v>
      </c>
      <c r="AB68" s="3">
        <v>-0.849186778</v>
      </c>
      <c r="AC68" s="3">
        <v>-0.649730861</v>
      </c>
      <c r="AD68" s="3">
        <v>-0.742027104</v>
      </c>
      <c r="AE68" s="3">
        <v>25.6</v>
      </c>
      <c r="AF68" s="2" t="s">
        <v>34</v>
      </c>
      <c r="AG68" s="2" t="s">
        <v>34</v>
      </c>
    </row>
    <row r="69">
      <c r="A69" s="2" t="s">
        <v>36</v>
      </c>
      <c r="B69" s="3">
        <v>2019.0</v>
      </c>
      <c r="C69" s="5">
        <v>3.51E11</v>
      </c>
      <c r="D69" s="3">
        <v>7.881915151</v>
      </c>
      <c r="E69" s="3">
        <v>2122.037652</v>
      </c>
      <c r="F69" s="3">
        <v>4.693</v>
      </c>
      <c r="G69" s="3">
        <v>5.591996399</v>
      </c>
      <c r="H69" s="3">
        <v>0.543244141</v>
      </c>
      <c r="I69" s="3">
        <v>31.57805449</v>
      </c>
      <c r="J69" s="4"/>
      <c r="K69" s="3">
        <v>1.65516222E8</v>
      </c>
      <c r="L69" s="3">
        <v>1.11317249</v>
      </c>
      <c r="M69" s="2" t="s">
        <v>34</v>
      </c>
      <c r="N69" s="3">
        <v>72.806</v>
      </c>
      <c r="O69" s="3">
        <v>26.7</v>
      </c>
      <c r="P69" s="3">
        <v>75.0</v>
      </c>
      <c r="Q69" s="2" t="s">
        <v>34</v>
      </c>
      <c r="R69" s="3">
        <v>37.405</v>
      </c>
      <c r="S69" s="3">
        <v>92.2</v>
      </c>
      <c r="T69" s="3">
        <v>97.82513657</v>
      </c>
      <c r="U69" s="3">
        <v>54.91023996</v>
      </c>
      <c r="V69" s="3">
        <v>0.647432612</v>
      </c>
      <c r="W69" s="3">
        <v>50.36452654</v>
      </c>
      <c r="X69" s="3">
        <v>26.1</v>
      </c>
      <c r="Y69" s="3">
        <v>14.46877161</v>
      </c>
      <c r="Z69" s="3">
        <v>16.19047546</v>
      </c>
      <c r="AA69" s="3">
        <v>-0.928613365</v>
      </c>
      <c r="AB69" s="3">
        <v>-0.937222183</v>
      </c>
      <c r="AC69" s="3">
        <v>-0.644387662</v>
      </c>
      <c r="AD69" s="3">
        <v>-0.741844893</v>
      </c>
      <c r="AE69" s="3">
        <v>30.4</v>
      </c>
      <c r="AF69" s="2" t="s">
        <v>34</v>
      </c>
      <c r="AG69" s="2" t="s">
        <v>34</v>
      </c>
    </row>
    <row r="70">
      <c r="A70" s="2" t="s">
        <v>36</v>
      </c>
      <c r="B70" s="3">
        <v>2020.0</v>
      </c>
      <c r="C70" s="5">
        <v>3.74E11</v>
      </c>
      <c r="D70" s="3">
        <v>3.448017551</v>
      </c>
      <c r="E70" s="3">
        <v>2233.767282</v>
      </c>
      <c r="F70" s="3">
        <v>5.828</v>
      </c>
      <c r="G70" s="3">
        <v>5.691074747</v>
      </c>
      <c r="H70" s="3">
        <v>0.407859895</v>
      </c>
      <c r="I70" s="3">
        <v>26.27144738</v>
      </c>
      <c r="J70" s="4"/>
      <c r="K70" s="3">
        <v>1.67420951E8</v>
      </c>
      <c r="L70" s="3">
        <v>1.14420974</v>
      </c>
      <c r="M70" s="2" t="s">
        <v>34</v>
      </c>
      <c r="N70" s="3">
        <v>71.968</v>
      </c>
      <c r="O70" s="3">
        <v>25.7</v>
      </c>
      <c r="P70" s="3">
        <v>75.0</v>
      </c>
      <c r="Q70" s="3">
        <v>118.4292374</v>
      </c>
      <c r="R70" s="3">
        <v>38.177</v>
      </c>
      <c r="S70" s="3">
        <v>96.2</v>
      </c>
      <c r="T70" s="3">
        <v>97.94567602</v>
      </c>
      <c r="U70" s="3">
        <v>56.43123343</v>
      </c>
      <c r="V70" s="3">
        <v>0.595972006</v>
      </c>
      <c r="W70" s="3">
        <v>42.38137624</v>
      </c>
      <c r="X70" s="3">
        <v>27.2</v>
      </c>
      <c r="Y70" s="3">
        <v>14.46877161</v>
      </c>
      <c r="Z70" s="3">
        <v>17.1428566</v>
      </c>
      <c r="AA70" s="3">
        <v>-0.915807784</v>
      </c>
      <c r="AB70" s="3">
        <v>-0.906213522</v>
      </c>
      <c r="AC70" s="3">
        <v>-0.56792897</v>
      </c>
      <c r="AD70" s="3">
        <v>-0.769557953</v>
      </c>
      <c r="AE70" s="3">
        <v>36.1091</v>
      </c>
      <c r="AF70" s="2" t="s">
        <v>34</v>
      </c>
      <c r="AG70" s="2" t="s">
        <v>34</v>
      </c>
    </row>
    <row r="71">
      <c r="A71" s="2" t="s">
        <v>36</v>
      </c>
      <c r="B71" s="3">
        <v>2021.0</v>
      </c>
      <c r="C71" s="5">
        <v>4.16E11</v>
      </c>
      <c r="D71" s="3">
        <v>6.938679124</v>
      </c>
      <c r="E71" s="3">
        <v>2457.964466</v>
      </c>
      <c r="F71" s="3">
        <v>5.815</v>
      </c>
      <c r="G71" s="3">
        <v>5.545654308</v>
      </c>
      <c r="H71" s="3">
        <v>0.414118155</v>
      </c>
      <c r="I71" s="3">
        <v>27.7240047</v>
      </c>
      <c r="J71" s="4"/>
      <c r="K71" s="3">
        <v>1.69356251E8</v>
      </c>
      <c r="L71" s="3">
        <v>1.149318476</v>
      </c>
      <c r="M71" s="2" t="s">
        <v>34</v>
      </c>
      <c r="N71" s="3">
        <v>72.381</v>
      </c>
      <c r="O71" s="3">
        <v>24.9</v>
      </c>
      <c r="P71" s="3">
        <v>76.0</v>
      </c>
      <c r="Q71" s="3">
        <v>115.4481807</v>
      </c>
      <c r="R71" s="3">
        <v>38.946</v>
      </c>
      <c r="S71" s="3">
        <v>99.0</v>
      </c>
      <c r="T71" s="3">
        <v>98.03301971</v>
      </c>
      <c r="U71" s="3">
        <v>57.93662462</v>
      </c>
      <c r="V71" s="3">
        <v>0.621865443</v>
      </c>
      <c r="W71" s="2" t="s">
        <v>34</v>
      </c>
      <c r="X71" s="3">
        <v>25.0</v>
      </c>
      <c r="Y71" s="3">
        <v>14.46877161</v>
      </c>
      <c r="Z71" s="3">
        <v>18.09523773</v>
      </c>
      <c r="AA71" s="3">
        <v>-1.036632776</v>
      </c>
      <c r="AB71" s="3">
        <v>-0.846353292</v>
      </c>
      <c r="AC71" s="3">
        <v>-0.625113249</v>
      </c>
      <c r="AD71" s="3">
        <v>-0.77454257</v>
      </c>
      <c r="AE71" s="3">
        <v>38.9174</v>
      </c>
      <c r="AF71" s="2" t="s">
        <v>34</v>
      </c>
      <c r="AG71" s="2" t="s">
        <v>34</v>
      </c>
    </row>
    <row r="72">
      <c r="A72" s="2" t="s">
        <v>36</v>
      </c>
      <c r="B72" s="3">
        <v>2022.0</v>
      </c>
      <c r="C72" s="5">
        <v>4.6E11</v>
      </c>
      <c r="D72" s="3">
        <v>7.099828776</v>
      </c>
      <c r="E72" s="3">
        <v>2687.899063</v>
      </c>
      <c r="F72" s="3">
        <v>5.247</v>
      </c>
      <c r="G72" s="3">
        <v>7.696954372</v>
      </c>
      <c r="H72" s="3">
        <v>0.355308724</v>
      </c>
      <c r="I72" s="3">
        <v>33.77996727</v>
      </c>
      <c r="J72" s="3">
        <v>33.4</v>
      </c>
      <c r="K72" s="3">
        <v>1.71186372E8</v>
      </c>
      <c r="L72" s="3">
        <v>1.074836743</v>
      </c>
      <c r="M72" s="3">
        <v>5.0</v>
      </c>
      <c r="N72" s="3">
        <v>73.698</v>
      </c>
      <c r="O72" s="3">
        <v>24.1</v>
      </c>
      <c r="P72" s="2" t="s">
        <v>34</v>
      </c>
      <c r="Q72" s="3">
        <v>117.6594575</v>
      </c>
      <c r="R72" s="3">
        <v>39.711</v>
      </c>
      <c r="S72" s="3">
        <v>99.4</v>
      </c>
      <c r="T72" s="3">
        <v>98.09706298</v>
      </c>
      <c r="U72" s="3">
        <v>59.29519147</v>
      </c>
      <c r="V72" s="3">
        <v>0.6371728</v>
      </c>
      <c r="W72" s="2" t="s">
        <v>34</v>
      </c>
      <c r="X72" s="2" t="s">
        <v>34</v>
      </c>
      <c r="Y72" s="2" t="s">
        <v>34</v>
      </c>
      <c r="Z72" s="3">
        <v>15.56603813</v>
      </c>
      <c r="AA72" s="3">
        <v>-1.092371106</v>
      </c>
      <c r="AB72" s="3">
        <v>-0.927658916</v>
      </c>
      <c r="AC72" s="3">
        <v>-0.60133934</v>
      </c>
      <c r="AD72" s="3">
        <v>-0.752661884</v>
      </c>
      <c r="AE72" s="3">
        <v>41.6152</v>
      </c>
      <c r="AF72" s="2" t="s">
        <v>34</v>
      </c>
      <c r="AG72" s="2" t="s">
        <v>34</v>
      </c>
    </row>
    <row r="73">
      <c r="A73" s="2" t="s">
        <v>36</v>
      </c>
      <c r="B73" s="3">
        <v>2023.0</v>
      </c>
      <c r="C73" s="5">
        <v>4.37E11</v>
      </c>
      <c r="D73" s="3">
        <v>5.77511237</v>
      </c>
      <c r="E73" s="3">
        <v>2529.080127</v>
      </c>
      <c r="F73" s="3">
        <v>5.06</v>
      </c>
      <c r="G73" s="3">
        <v>9.883503038</v>
      </c>
      <c r="H73" s="3">
        <v>0.316668222</v>
      </c>
      <c r="I73" s="3">
        <v>30.98297141</v>
      </c>
      <c r="J73" s="4"/>
      <c r="K73" s="3">
        <v>1.72954319E8</v>
      </c>
      <c r="L73" s="3">
        <v>1.027464987</v>
      </c>
      <c r="M73" s="2" t="s">
        <v>34</v>
      </c>
      <c r="N73" s="2" t="s">
        <v>34</v>
      </c>
      <c r="O73" s="2" t="s">
        <v>34</v>
      </c>
      <c r="P73" s="2" t="s">
        <v>34</v>
      </c>
      <c r="Q73" s="3">
        <v>111.5953844</v>
      </c>
      <c r="R73" s="3">
        <v>40.473</v>
      </c>
      <c r="S73" s="2" t="s">
        <v>34</v>
      </c>
      <c r="T73" s="2" t="s">
        <v>34</v>
      </c>
      <c r="U73" s="2" t="s">
        <v>34</v>
      </c>
      <c r="V73" s="2" t="s">
        <v>34</v>
      </c>
      <c r="W73" s="2" t="s">
        <v>34</v>
      </c>
      <c r="X73" s="2" t="s">
        <v>34</v>
      </c>
      <c r="Y73" s="2" t="s">
        <v>34</v>
      </c>
      <c r="Z73" s="2" t="s">
        <v>34</v>
      </c>
      <c r="AA73" s="2" t="s">
        <v>34</v>
      </c>
      <c r="AB73" s="2" t="s">
        <v>34</v>
      </c>
      <c r="AC73" s="2" t="s">
        <v>34</v>
      </c>
      <c r="AD73" s="2" t="s">
        <v>34</v>
      </c>
      <c r="AE73" s="3">
        <v>44.5027</v>
      </c>
      <c r="AF73" s="2" t="s">
        <v>34</v>
      </c>
      <c r="AG73" s="2" t="s">
        <v>34</v>
      </c>
    </row>
    <row r="74">
      <c r="A74" s="2" t="s">
        <v>37</v>
      </c>
      <c r="B74" s="3">
        <v>2000.0</v>
      </c>
      <c r="C74" s="5">
        <v>4.68E11</v>
      </c>
      <c r="D74" s="3">
        <v>3.840991157</v>
      </c>
      <c r="E74" s="3">
        <v>442.0353304</v>
      </c>
      <c r="F74" s="3">
        <v>7.856</v>
      </c>
      <c r="G74" s="3">
        <v>4.00943591</v>
      </c>
      <c r="H74" s="3">
        <v>0.765211694</v>
      </c>
      <c r="I74" s="3">
        <v>26.90092291</v>
      </c>
      <c r="J74" s="4"/>
      <c r="K74" s="3">
        <v>1.059633675E9</v>
      </c>
      <c r="L74" s="3">
        <v>1.822184002</v>
      </c>
      <c r="M74" s="2" t="s">
        <v>34</v>
      </c>
      <c r="N74" s="3">
        <v>62.669</v>
      </c>
      <c r="O74" s="3">
        <v>66.4</v>
      </c>
      <c r="P74" s="2" t="s">
        <v>34</v>
      </c>
      <c r="Q74" s="3">
        <v>93.99777222</v>
      </c>
      <c r="R74" s="3">
        <v>27.667</v>
      </c>
      <c r="S74" s="3">
        <v>60.3</v>
      </c>
      <c r="T74" s="3">
        <v>79.87927122</v>
      </c>
      <c r="U74" s="3">
        <v>14.08576181</v>
      </c>
      <c r="V74" s="3">
        <v>0.939598867</v>
      </c>
      <c r="W74" s="3">
        <v>61.51144978</v>
      </c>
      <c r="X74" s="3">
        <v>46.9</v>
      </c>
      <c r="Y74" s="3">
        <v>22.733495</v>
      </c>
      <c r="Z74" s="3">
        <v>43.61701965</v>
      </c>
      <c r="AA74" s="3">
        <v>-1.00120759</v>
      </c>
      <c r="AB74" s="3">
        <v>-0.159504071</v>
      </c>
      <c r="AC74" s="3">
        <v>0.348079592</v>
      </c>
      <c r="AD74" s="3">
        <v>0.352063388</v>
      </c>
      <c r="AE74" s="3">
        <v>0.527532</v>
      </c>
      <c r="AF74" s="3">
        <v>0.756990016</v>
      </c>
      <c r="AG74" s="2" t="s">
        <v>34</v>
      </c>
    </row>
    <row r="75">
      <c r="A75" s="2" t="s">
        <v>37</v>
      </c>
      <c r="B75" s="3">
        <v>2001.0</v>
      </c>
      <c r="C75" s="5">
        <v>4.85E11</v>
      </c>
      <c r="D75" s="3">
        <v>4.823966266</v>
      </c>
      <c r="E75" s="3">
        <v>449.9103137</v>
      </c>
      <c r="F75" s="3">
        <v>8.039</v>
      </c>
      <c r="G75" s="3">
        <v>3.779293122</v>
      </c>
      <c r="H75" s="3">
        <v>1.05638021</v>
      </c>
      <c r="I75" s="3">
        <v>25.99325475</v>
      </c>
      <c r="J75" s="4"/>
      <c r="K75" s="3">
        <v>1.078970907E9</v>
      </c>
      <c r="L75" s="3">
        <v>1.808446421</v>
      </c>
      <c r="M75" s="2" t="s">
        <v>34</v>
      </c>
      <c r="N75" s="3">
        <v>63.091</v>
      </c>
      <c r="O75" s="3">
        <v>64.5</v>
      </c>
      <c r="P75" s="3">
        <v>61.0</v>
      </c>
      <c r="Q75" s="3">
        <v>98.99546814</v>
      </c>
      <c r="R75" s="3">
        <v>27.918</v>
      </c>
      <c r="S75" s="3">
        <v>62.0</v>
      </c>
      <c r="T75" s="3">
        <v>80.4891123</v>
      </c>
      <c r="U75" s="3">
        <v>16.72348555</v>
      </c>
      <c r="V75" s="3">
        <v>0.937729733</v>
      </c>
      <c r="W75" s="3">
        <v>61.90683477</v>
      </c>
      <c r="X75" s="3">
        <v>47.1</v>
      </c>
      <c r="Y75" s="3">
        <v>22.7975676</v>
      </c>
      <c r="Z75" s="2" t="s">
        <v>34</v>
      </c>
      <c r="AA75" s="2" t="s">
        <v>34</v>
      </c>
      <c r="AB75" s="2" t="s">
        <v>34</v>
      </c>
      <c r="AC75" s="2" t="s">
        <v>34</v>
      </c>
      <c r="AD75" s="2" t="s">
        <v>34</v>
      </c>
      <c r="AE75" s="3">
        <v>0.660146</v>
      </c>
      <c r="AF75" s="3">
        <v>0.735909998</v>
      </c>
      <c r="AG75" s="2" t="s">
        <v>34</v>
      </c>
    </row>
    <row r="76">
      <c r="A76" s="2" t="s">
        <v>37</v>
      </c>
      <c r="B76" s="3">
        <v>2002.0</v>
      </c>
      <c r="C76" s="5">
        <v>5.15E11</v>
      </c>
      <c r="D76" s="3">
        <v>3.803975321</v>
      </c>
      <c r="E76" s="3">
        <v>468.8455131</v>
      </c>
      <c r="F76" s="3">
        <v>8.248</v>
      </c>
      <c r="G76" s="3">
        <v>4.297152039</v>
      </c>
      <c r="H76" s="3">
        <v>1.011569465</v>
      </c>
      <c r="I76" s="3">
        <v>29.50866294</v>
      </c>
      <c r="J76" s="4"/>
      <c r="K76" s="3">
        <v>1.098313039E9</v>
      </c>
      <c r="L76" s="3">
        <v>1.776767874</v>
      </c>
      <c r="M76" s="2" t="s">
        <v>34</v>
      </c>
      <c r="N76" s="3">
        <v>63.616</v>
      </c>
      <c r="O76" s="3">
        <v>62.6</v>
      </c>
      <c r="P76" s="2" t="s">
        <v>34</v>
      </c>
      <c r="Q76" s="3">
        <v>98.06572723</v>
      </c>
      <c r="R76" s="3">
        <v>28.244</v>
      </c>
      <c r="S76" s="3">
        <v>62.3</v>
      </c>
      <c r="T76" s="3">
        <v>81.13055718</v>
      </c>
      <c r="U76" s="3">
        <v>19.5366221</v>
      </c>
      <c r="V76" s="3">
        <v>0.955881759</v>
      </c>
      <c r="W76" s="3">
        <v>62.37252215</v>
      </c>
      <c r="X76" s="3">
        <v>45.8</v>
      </c>
      <c r="Y76" s="3">
        <v>22.86164019</v>
      </c>
      <c r="Z76" s="3">
        <v>36.50793839</v>
      </c>
      <c r="AA76" s="3">
        <v>-1.210664988</v>
      </c>
      <c r="AB76" s="3">
        <v>-0.381400049</v>
      </c>
      <c r="AC76" s="3">
        <v>-0.017395871</v>
      </c>
      <c r="AD76" s="3">
        <v>0.426245898</v>
      </c>
      <c r="AE76" s="3">
        <v>1.53788</v>
      </c>
      <c r="AF76" s="3">
        <v>0.72566998</v>
      </c>
      <c r="AG76" s="2" t="s">
        <v>34</v>
      </c>
    </row>
    <row r="77">
      <c r="A77" s="2" t="s">
        <v>37</v>
      </c>
      <c r="B77" s="3">
        <v>2003.0</v>
      </c>
      <c r="C77" s="5">
        <v>6.08E11</v>
      </c>
      <c r="D77" s="3">
        <v>7.860381476</v>
      </c>
      <c r="E77" s="3">
        <v>543.8450534</v>
      </c>
      <c r="F77" s="3">
        <v>8.397</v>
      </c>
      <c r="G77" s="3">
        <v>3.805858995</v>
      </c>
      <c r="H77" s="3">
        <v>0.605887857</v>
      </c>
      <c r="I77" s="3">
        <v>30.59243613</v>
      </c>
      <c r="J77" s="4"/>
      <c r="K77" s="3">
        <v>1.117415123E9</v>
      </c>
      <c r="L77" s="3">
        <v>1.724269032</v>
      </c>
      <c r="M77" s="2" t="s">
        <v>34</v>
      </c>
      <c r="N77" s="3">
        <v>64.094</v>
      </c>
      <c r="O77" s="3">
        <v>60.6</v>
      </c>
      <c r="P77" s="2" t="s">
        <v>34</v>
      </c>
      <c r="Q77" s="3">
        <v>106.2232285</v>
      </c>
      <c r="R77" s="3">
        <v>28.572</v>
      </c>
      <c r="S77" s="3">
        <v>65.4</v>
      </c>
      <c r="T77" s="3">
        <v>81.7689909</v>
      </c>
      <c r="U77" s="3">
        <v>22.36876586</v>
      </c>
      <c r="V77" s="3">
        <v>0.968093305</v>
      </c>
      <c r="W77" s="3">
        <v>62.76635396</v>
      </c>
      <c r="X77" s="3">
        <v>45.6</v>
      </c>
      <c r="Y77" s="3">
        <v>22.92571279</v>
      </c>
      <c r="Z77" s="3">
        <v>40.74074173</v>
      </c>
      <c r="AA77" s="3">
        <v>-1.50999701</v>
      </c>
      <c r="AB77" s="3">
        <v>-0.38163045</v>
      </c>
      <c r="AC77" s="3">
        <v>0.120161645</v>
      </c>
      <c r="AD77" s="3">
        <v>0.454564899</v>
      </c>
      <c r="AE77" s="3">
        <v>1.68649</v>
      </c>
      <c r="AF77" s="3">
        <v>0.719290018</v>
      </c>
      <c r="AG77" s="2" t="s">
        <v>34</v>
      </c>
    </row>
    <row r="78">
      <c r="A78" s="2" t="s">
        <v>37</v>
      </c>
      <c r="B78" s="3">
        <v>2004.0</v>
      </c>
      <c r="C78" s="5">
        <v>7.09E11</v>
      </c>
      <c r="D78" s="3">
        <v>7.922936612</v>
      </c>
      <c r="E78" s="3">
        <v>624.108803</v>
      </c>
      <c r="F78" s="3">
        <v>8.551</v>
      </c>
      <c r="G78" s="3">
        <v>3.767251735</v>
      </c>
      <c r="H78" s="3">
        <v>0.765596855</v>
      </c>
      <c r="I78" s="3">
        <v>37.50381406</v>
      </c>
      <c r="J78" s="3">
        <v>34.0</v>
      </c>
      <c r="K78" s="3">
        <v>1.136264583E9</v>
      </c>
      <c r="L78" s="3">
        <v>1.67281087</v>
      </c>
      <c r="M78" s="3">
        <v>40.6</v>
      </c>
      <c r="N78" s="3">
        <v>64.524</v>
      </c>
      <c r="O78" s="3">
        <v>58.7</v>
      </c>
      <c r="P78" s="2" t="s">
        <v>34</v>
      </c>
      <c r="Q78" s="2" t="s">
        <v>34</v>
      </c>
      <c r="R78" s="3">
        <v>28.903</v>
      </c>
      <c r="S78" s="3">
        <v>64.4</v>
      </c>
      <c r="T78" s="3">
        <v>82.40450807</v>
      </c>
      <c r="U78" s="3">
        <v>25.22008398</v>
      </c>
      <c r="V78" s="3">
        <v>1.026867261</v>
      </c>
      <c r="W78" s="3">
        <v>62.94617225</v>
      </c>
      <c r="X78" s="3">
        <v>44.9</v>
      </c>
      <c r="Y78" s="3">
        <v>22.98978538</v>
      </c>
      <c r="Z78" s="3">
        <v>37.93103409</v>
      </c>
      <c r="AA78" s="3">
        <v>-1.28043294</v>
      </c>
      <c r="AB78" s="3">
        <v>-0.37812984</v>
      </c>
      <c r="AC78" s="3">
        <v>0.053356059</v>
      </c>
      <c r="AD78" s="3">
        <v>0.399967372</v>
      </c>
      <c r="AE78" s="3">
        <v>1.97614</v>
      </c>
      <c r="AF78" s="3">
        <v>0.756900012</v>
      </c>
      <c r="AG78" s="2" t="s">
        <v>34</v>
      </c>
    </row>
    <row r="79">
      <c r="A79" s="2" t="s">
        <v>37</v>
      </c>
      <c r="B79" s="3">
        <v>2005.0</v>
      </c>
      <c r="C79" s="5">
        <v>8.2E11</v>
      </c>
      <c r="D79" s="3">
        <v>7.923430621</v>
      </c>
      <c r="E79" s="3">
        <v>710.5112225</v>
      </c>
      <c r="F79" s="3">
        <v>8.697</v>
      </c>
      <c r="G79" s="3">
        <v>4.24634362</v>
      </c>
      <c r="H79" s="3">
        <v>0.886098378</v>
      </c>
      <c r="I79" s="3">
        <v>42.00166961</v>
      </c>
      <c r="J79" s="4"/>
      <c r="K79" s="3">
        <v>1.154638713E9</v>
      </c>
      <c r="L79" s="3">
        <v>1.604129169</v>
      </c>
      <c r="M79" s="2" t="s">
        <v>34</v>
      </c>
      <c r="N79" s="3">
        <v>64.996</v>
      </c>
      <c r="O79" s="3">
        <v>56.8</v>
      </c>
      <c r="P79" s="2" t="s">
        <v>34</v>
      </c>
      <c r="Q79" s="2" t="s">
        <v>34</v>
      </c>
      <c r="R79" s="3">
        <v>29.235</v>
      </c>
      <c r="S79" s="3">
        <v>68.8</v>
      </c>
      <c r="T79" s="3">
        <v>83.0367817</v>
      </c>
      <c r="U79" s="3">
        <v>28.08953667</v>
      </c>
      <c r="V79" s="3">
        <v>1.053586967</v>
      </c>
      <c r="W79" s="3">
        <v>62.76981905</v>
      </c>
      <c r="X79" s="3">
        <v>44.2</v>
      </c>
      <c r="Y79" s="3">
        <v>23.05385798</v>
      </c>
      <c r="Z79" s="3">
        <v>44.87804794</v>
      </c>
      <c r="AA79" s="3">
        <v>-1.013880491</v>
      </c>
      <c r="AB79" s="3">
        <v>-0.291889518</v>
      </c>
      <c r="AC79" s="3">
        <v>0.133130163</v>
      </c>
      <c r="AD79" s="3">
        <v>0.41368565</v>
      </c>
      <c r="AE79" s="3">
        <v>2.38807</v>
      </c>
      <c r="AF79" s="3">
        <v>0.824109972</v>
      </c>
      <c r="AG79" s="2" t="s">
        <v>34</v>
      </c>
    </row>
    <row r="80">
      <c r="A80" s="2" t="s">
        <v>37</v>
      </c>
      <c r="B80" s="3">
        <v>2006.0</v>
      </c>
      <c r="C80" s="5">
        <v>9.4E11</v>
      </c>
      <c r="D80" s="3">
        <v>8.060732572</v>
      </c>
      <c r="E80" s="3">
        <v>802.013742</v>
      </c>
      <c r="F80" s="3">
        <v>8.614</v>
      </c>
      <c r="G80" s="3">
        <v>5.796523376</v>
      </c>
      <c r="H80" s="3">
        <v>2.130168425</v>
      </c>
      <c r="I80" s="3">
        <v>45.7244805</v>
      </c>
      <c r="J80" s="4"/>
      <c r="K80" s="3">
        <v>1.172373788E9</v>
      </c>
      <c r="L80" s="3">
        <v>1.52430796</v>
      </c>
      <c r="M80" s="2" t="s">
        <v>34</v>
      </c>
      <c r="N80" s="3">
        <v>65.412</v>
      </c>
      <c r="O80" s="3">
        <v>54.8</v>
      </c>
      <c r="P80" s="3">
        <v>63.0</v>
      </c>
      <c r="Q80" s="2" t="s">
        <v>34</v>
      </c>
      <c r="R80" s="3">
        <v>29.569</v>
      </c>
      <c r="S80" s="3">
        <v>67.9</v>
      </c>
      <c r="T80" s="3">
        <v>83.6659241</v>
      </c>
      <c r="U80" s="3">
        <v>30.9773053</v>
      </c>
      <c r="V80" s="3">
        <v>1.107472389</v>
      </c>
      <c r="W80" s="3">
        <v>61.19510992</v>
      </c>
      <c r="X80" s="3">
        <v>43.2</v>
      </c>
      <c r="Y80" s="3">
        <v>23.11793057</v>
      </c>
      <c r="Z80" s="3">
        <v>47.31707382</v>
      </c>
      <c r="AA80" s="3">
        <v>-1.065184236</v>
      </c>
      <c r="AB80" s="3">
        <v>-0.283315152</v>
      </c>
      <c r="AC80" s="3">
        <v>0.178989619</v>
      </c>
      <c r="AD80" s="3">
        <v>0.437193722</v>
      </c>
      <c r="AE80" s="3">
        <v>2.8055</v>
      </c>
      <c r="AF80" s="3">
        <v>0.804729998</v>
      </c>
      <c r="AG80" s="2" t="s">
        <v>34</v>
      </c>
    </row>
    <row r="81">
      <c r="A81" s="2" t="s">
        <v>37</v>
      </c>
      <c r="B81" s="3">
        <v>2007.0</v>
      </c>
      <c r="C81" s="5">
        <v>1.22E12</v>
      </c>
      <c r="D81" s="3">
        <v>7.660815067</v>
      </c>
      <c r="E81" s="3">
        <v>1022.732467</v>
      </c>
      <c r="F81" s="3">
        <v>8.534</v>
      </c>
      <c r="G81" s="3">
        <v>6.372881356</v>
      </c>
      <c r="H81" s="3">
        <v>2.073394047</v>
      </c>
      <c r="I81" s="3">
        <v>45.68626868</v>
      </c>
      <c r="J81" s="4"/>
      <c r="K81" s="3">
        <v>1.189691809E9</v>
      </c>
      <c r="L81" s="3">
        <v>1.46637175</v>
      </c>
      <c r="M81" s="2" t="s">
        <v>34</v>
      </c>
      <c r="N81" s="3">
        <v>65.788</v>
      </c>
      <c r="O81" s="3">
        <v>52.8</v>
      </c>
      <c r="P81" s="2" t="s">
        <v>34</v>
      </c>
      <c r="Q81" s="3">
        <v>114.1143188</v>
      </c>
      <c r="R81" s="3">
        <v>29.906</v>
      </c>
      <c r="S81" s="3">
        <v>72.3</v>
      </c>
      <c r="T81" s="3">
        <v>84.2920134</v>
      </c>
      <c r="U81" s="3">
        <v>33.88350114</v>
      </c>
      <c r="V81" s="3">
        <v>1.188409712</v>
      </c>
      <c r="W81" s="3">
        <v>58.02113499</v>
      </c>
      <c r="X81" s="3">
        <v>41.5</v>
      </c>
      <c r="Y81" s="3">
        <v>23.18200317</v>
      </c>
      <c r="Z81" s="3">
        <v>41.26213455</v>
      </c>
      <c r="AA81" s="3">
        <v>-1.154295802</v>
      </c>
      <c r="AB81" s="3">
        <v>-0.313716233</v>
      </c>
      <c r="AC81" s="3">
        <v>0.096898161</v>
      </c>
      <c r="AD81" s="3">
        <v>0.453963935</v>
      </c>
      <c r="AE81" s="3">
        <v>3.95</v>
      </c>
      <c r="AF81" s="3">
        <v>0.805069983</v>
      </c>
      <c r="AG81" s="2" t="s">
        <v>34</v>
      </c>
    </row>
    <row r="82">
      <c r="A82" s="2" t="s">
        <v>37</v>
      </c>
      <c r="B82" s="3">
        <v>2008.0</v>
      </c>
      <c r="C82" s="5">
        <v>1.2E12</v>
      </c>
      <c r="D82" s="3">
        <v>3.086698059</v>
      </c>
      <c r="E82" s="3">
        <v>993.5034053</v>
      </c>
      <c r="F82" s="3">
        <v>8.486</v>
      </c>
      <c r="G82" s="3">
        <v>8.349267049</v>
      </c>
      <c r="H82" s="3">
        <v>3.620523235</v>
      </c>
      <c r="I82" s="3">
        <v>53.36822044</v>
      </c>
      <c r="J82" s="4"/>
      <c r="K82" s="3">
        <v>1.206734806E9</v>
      </c>
      <c r="L82" s="3">
        <v>1.422391509</v>
      </c>
      <c r="M82" s="2" t="s">
        <v>34</v>
      </c>
      <c r="N82" s="3">
        <v>66.149</v>
      </c>
      <c r="O82" s="3">
        <v>50.8</v>
      </c>
      <c r="P82" s="2" t="s">
        <v>34</v>
      </c>
      <c r="Q82" s="3">
        <v>114.6265564</v>
      </c>
      <c r="R82" s="3">
        <v>30.246</v>
      </c>
      <c r="S82" s="3">
        <v>74.1</v>
      </c>
      <c r="T82" s="3">
        <v>84.91499745</v>
      </c>
      <c r="U82" s="3">
        <v>36.80784258</v>
      </c>
      <c r="V82" s="3">
        <v>1.245997292</v>
      </c>
      <c r="W82" s="3">
        <v>54.3676481</v>
      </c>
      <c r="X82" s="3">
        <v>39.4</v>
      </c>
      <c r="Y82" s="3">
        <v>23.24607576</v>
      </c>
      <c r="Z82" s="3">
        <v>43.68931961</v>
      </c>
      <c r="AA82" s="3">
        <v>-1.109707355</v>
      </c>
      <c r="AB82" s="3">
        <v>-0.413643241</v>
      </c>
      <c r="AC82" s="3">
        <v>0.09585046</v>
      </c>
      <c r="AD82" s="3">
        <v>0.462193102</v>
      </c>
      <c r="AE82" s="3">
        <v>4.38</v>
      </c>
      <c r="AF82" s="3">
        <v>0.858759999</v>
      </c>
      <c r="AG82" s="2" t="s">
        <v>34</v>
      </c>
    </row>
    <row r="83">
      <c r="A83" s="2" t="s">
        <v>37</v>
      </c>
      <c r="B83" s="3">
        <v>2009.0</v>
      </c>
      <c r="C83" s="5">
        <v>1.34E12</v>
      </c>
      <c r="D83" s="3">
        <v>7.861888833</v>
      </c>
      <c r="E83" s="3">
        <v>1096.636136</v>
      </c>
      <c r="F83" s="3">
        <v>8.406</v>
      </c>
      <c r="G83" s="3">
        <v>10.88235294</v>
      </c>
      <c r="H83" s="3">
        <v>2.651590332</v>
      </c>
      <c r="I83" s="3">
        <v>46.27286964</v>
      </c>
      <c r="J83" s="3">
        <v>34.9</v>
      </c>
      <c r="K83" s="3">
        <v>1.22364016E9</v>
      </c>
      <c r="L83" s="3">
        <v>1.39119493</v>
      </c>
      <c r="M83" s="3">
        <v>33.5</v>
      </c>
      <c r="N83" s="3">
        <v>66.513</v>
      </c>
      <c r="O83" s="3">
        <v>48.7</v>
      </c>
      <c r="P83" s="2" t="s">
        <v>34</v>
      </c>
      <c r="Q83" s="3">
        <v>113.0516815</v>
      </c>
      <c r="R83" s="3">
        <v>30.587</v>
      </c>
      <c r="S83" s="3">
        <v>75.0</v>
      </c>
      <c r="T83" s="3">
        <v>85.53459122</v>
      </c>
      <c r="U83" s="3">
        <v>39.74941111</v>
      </c>
      <c r="V83" s="3">
        <v>1.34315165</v>
      </c>
      <c r="W83" s="3">
        <v>51.35440313</v>
      </c>
      <c r="X83" s="3">
        <v>37.4</v>
      </c>
      <c r="Y83" s="3">
        <v>23.31014836</v>
      </c>
      <c r="Z83" s="3">
        <v>39.23445129</v>
      </c>
      <c r="AA83" s="3">
        <v>-1.355547905</v>
      </c>
      <c r="AB83" s="3">
        <v>-0.34953326</v>
      </c>
      <c r="AC83" s="3">
        <v>0.017980825</v>
      </c>
      <c r="AD83" s="3">
        <v>0.46074909</v>
      </c>
      <c r="AE83" s="3">
        <v>5.12</v>
      </c>
      <c r="AF83" s="3">
        <v>0.833140016</v>
      </c>
      <c r="AG83" s="3">
        <v>9.56530523</v>
      </c>
    </row>
    <row r="84">
      <c r="A84" s="2" t="s">
        <v>37</v>
      </c>
      <c r="B84" s="3">
        <v>2010.0</v>
      </c>
      <c r="C84" s="5">
        <v>1.68E12</v>
      </c>
      <c r="D84" s="3">
        <v>8.497584702</v>
      </c>
      <c r="E84" s="3">
        <v>1350.63447</v>
      </c>
      <c r="F84" s="3">
        <v>8.318</v>
      </c>
      <c r="G84" s="3">
        <v>11.98938992</v>
      </c>
      <c r="H84" s="3">
        <v>1.635034094</v>
      </c>
      <c r="I84" s="3">
        <v>49.2552065</v>
      </c>
      <c r="J84" s="4"/>
      <c r="K84" s="3">
        <v>1.24061362E9</v>
      </c>
      <c r="L84" s="3">
        <v>1.377595812</v>
      </c>
      <c r="M84" s="2" t="s">
        <v>34</v>
      </c>
      <c r="N84" s="3">
        <v>66.909</v>
      </c>
      <c r="O84" s="3">
        <v>46.7</v>
      </c>
      <c r="P84" s="2" t="s">
        <v>34</v>
      </c>
      <c r="Q84" s="3">
        <v>112.5279465</v>
      </c>
      <c r="R84" s="3">
        <v>30.93</v>
      </c>
      <c r="S84" s="3">
        <v>76.3</v>
      </c>
      <c r="T84" s="3">
        <v>86.15087227</v>
      </c>
      <c r="U84" s="3">
        <v>42.70831536</v>
      </c>
      <c r="V84" s="3">
        <v>1.405909601</v>
      </c>
      <c r="W84" s="3">
        <v>50.10115395</v>
      </c>
      <c r="X84" s="3">
        <v>36.2</v>
      </c>
      <c r="Y84" s="3">
        <v>23.37422095</v>
      </c>
      <c r="Z84" s="3">
        <v>39.04761887</v>
      </c>
      <c r="AA84" s="3">
        <v>-1.2779845</v>
      </c>
      <c r="AB84" s="3">
        <v>-0.410472035</v>
      </c>
      <c r="AC84" s="3">
        <v>-0.035810821</v>
      </c>
      <c r="AD84" s="3">
        <v>0.443312973</v>
      </c>
      <c r="AE84" s="3">
        <v>7.5</v>
      </c>
      <c r="AF84" s="3">
        <v>0.788489997</v>
      </c>
      <c r="AG84" s="3">
        <v>7.72334081</v>
      </c>
    </row>
    <row r="85">
      <c r="A85" s="2" t="s">
        <v>37</v>
      </c>
      <c r="B85" s="3">
        <v>2011.0</v>
      </c>
      <c r="C85" s="5">
        <v>1.82E12</v>
      </c>
      <c r="D85" s="3">
        <v>5.241316199</v>
      </c>
      <c r="E85" s="3">
        <v>1449.603301</v>
      </c>
      <c r="F85" s="3">
        <v>8.222</v>
      </c>
      <c r="G85" s="3">
        <v>8.911793365</v>
      </c>
      <c r="H85" s="3">
        <v>2.002063463</v>
      </c>
      <c r="I85" s="3">
        <v>55.62388001</v>
      </c>
      <c r="J85" s="3">
        <v>35.4</v>
      </c>
      <c r="K85" s="3">
        <v>1.257621191E9</v>
      </c>
      <c r="L85" s="3">
        <v>1.361588085</v>
      </c>
      <c r="M85" s="3">
        <v>22.9</v>
      </c>
      <c r="N85" s="3">
        <v>67.359</v>
      </c>
      <c r="O85" s="3">
        <v>44.6</v>
      </c>
      <c r="P85" s="3">
        <v>69.0</v>
      </c>
      <c r="Q85" s="3">
        <v>109.7079029</v>
      </c>
      <c r="R85" s="3">
        <v>31.276</v>
      </c>
      <c r="S85" s="3">
        <v>79.5</v>
      </c>
      <c r="T85" s="3">
        <v>86.76390529</v>
      </c>
      <c r="U85" s="3">
        <v>45.68459284</v>
      </c>
      <c r="V85" s="3">
        <v>1.472025689</v>
      </c>
      <c r="W85" s="3">
        <v>61.70862421</v>
      </c>
      <c r="X85" s="3">
        <v>35.0</v>
      </c>
      <c r="Y85" s="3">
        <v>23.46382169</v>
      </c>
      <c r="Z85" s="3">
        <v>35.54502487</v>
      </c>
      <c r="AA85" s="3">
        <v>-1.32679534</v>
      </c>
      <c r="AB85" s="3">
        <v>-0.363154948</v>
      </c>
      <c r="AC85" s="3">
        <v>-0.08629714</v>
      </c>
      <c r="AD85" s="3">
        <v>0.435818583</v>
      </c>
      <c r="AE85" s="3">
        <v>10.07</v>
      </c>
      <c r="AF85" s="3">
        <v>0.755020022</v>
      </c>
      <c r="AG85" s="3">
        <v>7.868565007</v>
      </c>
    </row>
    <row r="86">
      <c r="A86" s="2" t="s">
        <v>37</v>
      </c>
      <c r="B86" s="3">
        <v>2012.0</v>
      </c>
      <c r="C86" s="5">
        <v>1.83E12</v>
      </c>
      <c r="D86" s="3">
        <v>5.456387552</v>
      </c>
      <c r="E86" s="3">
        <v>1434.017987</v>
      </c>
      <c r="F86" s="3">
        <v>8.156</v>
      </c>
      <c r="G86" s="3">
        <v>9.478996914</v>
      </c>
      <c r="H86" s="3">
        <v>1.31293453</v>
      </c>
      <c r="I86" s="3">
        <v>55.79372173</v>
      </c>
      <c r="J86" s="4"/>
      <c r="K86" s="3">
        <v>1.274487215E9</v>
      </c>
      <c r="L86" s="3">
        <v>1.33219205</v>
      </c>
      <c r="M86" s="2" t="s">
        <v>34</v>
      </c>
      <c r="N86" s="3">
        <v>67.887</v>
      </c>
      <c r="O86" s="3">
        <v>42.5</v>
      </c>
      <c r="P86" s="2" t="s">
        <v>34</v>
      </c>
      <c r="Q86" s="3">
        <v>111.7755737</v>
      </c>
      <c r="R86" s="3">
        <v>31.634</v>
      </c>
      <c r="S86" s="3">
        <v>79.9</v>
      </c>
      <c r="T86" s="3">
        <v>87.37450795</v>
      </c>
      <c r="U86" s="3">
        <v>48.6803119</v>
      </c>
      <c r="V86" s="3">
        <v>1.587754099</v>
      </c>
      <c r="W86" s="3">
        <v>74.00316075</v>
      </c>
      <c r="X86" s="3">
        <v>34.8</v>
      </c>
      <c r="Y86" s="3">
        <v>23.55342242</v>
      </c>
      <c r="Z86" s="3">
        <v>36.4928894</v>
      </c>
      <c r="AA86" s="3">
        <v>-1.289309859</v>
      </c>
      <c r="AB86" s="3">
        <v>-0.480885625</v>
      </c>
      <c r="AC86" s="3">
        <v>-0.062880747</v>
      </c>
      <c r="AD86" s="3">
        <v>0.399454206</v>
      </c>
      <c r="AE86" s="3">
        <v>11.1</v>
      </c>
      <c r="AF86" s="3">
        <v>0.743990004</v>
      </c>
      <c r="AG86" s="3">
        <v>7.699918013</v>
      </c>
    </row>
    <row r="87">
      <c r="A87" s="2" t="s">
        <v>37</v>
      </c>
      <c r="B87" s="3">
        <v>2013.0</v>
      </c>
      <c r="C87" s="5">
        <v>1.86E12</v>
      </c>
      <c r="D87" s="3">
        <v>6.386106401</v>
      </c>
      <c r="E87" s="3">
        <v>1438.057005</v>
      </c>
      <c r="F87" s="3">
        <v>8.088</v>
      </c>
      <c r="G87" s="3">
        <v>10.01787847</v>
      </c>
      <c r="H87" s="3">
        <v>1.516276467</v>
      </c>
      <c r="I87" s="3">
        <v>53.84413195</v>
      </c>
      <c r="J87" s="4"/>
      <c r="K87" s="3">
        <v>1.291132063E9</v>
      </c>
      <c r="L87" s="3">
        <v>1.297548835</v>
      </c>
      <c r="M87" s="2" t="s">
        <v>34</v>
      </c>
      <c r="N87" s="3">
        <v>68.46</v>
      </c>
      <c r="O87" s="3">
        <v>40.5</v>
      </c>
      <c r="P87" s="2" t="s">
        <v>34</v>
      </c>
      <c r="Q87" s="3">
        <v>113.4167786</v>
      </c>
      <c r="R87" s="3">
        <v>32.003</v>
      </c>
      <c r="S87" s="3">
        <v>83.1</v>
      </c>
      <c r="T87" s="3">
        <v>87.98236686</v>
      </c>
      <c r="U87" s="3">
        <v>51.69445375</v>
      </c>
      <c r="V87" s="3">
        <v>1.614204433</v>
      </c>
      <c r="W87" s="3">
        <v>76.25017683</v>
      </c>
      <c r="X87" s="3">
        <v>34.9</v>
      </c>
      <c r="Y87" s="3">
        <v>23.64302315</v>
      </c>
      <c r="Z87" s="3">
        <v>36.96682358</v>
      </c>
      <c r="AA87" s="3">
        <v>-1.229174137</v>
      </c>
      <c r="AB87" s="3">
        <v>-0.478094786</v>
      </c>
      <c r="AC87" s="3">
        <v>-0.045691311</v>
      </c>
      <c r="AD87" s="3">
        <v>0.432780147</v>
      </c>
      <c r="AE87" s="3">
        <v>12.3</v>
      </c>
      <c r="AF87" s="3">
        <v>0.706420004</v>
      </c>
      <c r="AG87" s="3">
        <v>8.86996678</v>
      </c>
    </row>
    <row r="88">
      <c r="A88" s="2" t="s">
        <v>37</v>
      </c>
      <c r="B88" s="3">
        <v>2014.0</v>
      </c>
      <c r="C88" s="5">
        <v>2.04E12</v>
      </c>
      <c r="D88" s="3">
        <v>7.410227605</v>
      </c>
      <c r="E88" s="3">
        <v>1559.863779</v>
      </c>
      <c r="F88" s="3">
        <v>7.992</v>
      </c>
      <c r="G88" s="3">
        <v>6.665656719</v>
      </c>
      <c r="H88" s="3">
        <v>1.69565959</v>
      </c>
      <c r="I88" s="3">
        <v>48.92218575</v>
      </c>
      <c r="J88" s="4"/>
      <c r="K88" s="3">
        <v>1.307246509E9</v>
      </c>
      <c r="L88" s="3">
        <v>1.240362184</v>
      </c>
      <c r="M88" s="2" t="s">
        <v>34</v>
      </c>
      <c r="N88" s="3">
        <v>69.074</v>
      </c>
      <c r="O88" s="3">
        <v>38.5</v>
      </c>
      <c r="P88" s="2" t="s">
        <v>34</v>
      </c>
      <c r="Q88" s="3">
        <v>111.5845413</v>
      </c>
      <c r="R88" s="3">
        <v>32.384</v>
      </c>
      <c r="S88" s="3">
        <v>85.1</v>
      </c>
      <c r="T88" s="3">
        <v>88.58737184</v>
      </c>
      <c r="U88" s="3">
        <v>54.72651883</v>
      </c>
      <c r="V88" s="3">
        <v>1.716173028</v>
      </c>
      <c r="W88" s="3">
        <v>79.03739571</v>
      </c>
      <c r="X88" s="3">
        <v>33.9</v>
      </c>
      <c r="Y88" s="3">
        <v>23.73262388</v>
      </c>
      <c r="Z88" s="3">
        <v>39.90384674</v>
      </c>
      <c r="AA88" s="3">
        <v>-0.99791199</v>
      </c>
      <c r="AB88" s="3">
        <v>-0.475076437</v>
      </c>
      <c r="AC88" s="3">
        <v>-0.068644837</v>
      </c>
      <c r="AD88" s="3">
        <v>0.41331318</v>
      </c>
      <c r="AE88" s="3">
        <v>13.5</v>
      </c>
      <c r="AF88" s="3">
        <v>0.701590002</v>
      </c>
      <c r="AG88" s="3">
        <v>9.217166203</v>
      </c>
    </row>
    <row r="89">
      <c r="A89" s="2" t="s">
        <v>37</v>
      </c>
      <c r="B89" s="3">
        <v>2015.0</v>
      </c>
      <c r="C89" s="5">
        <v>2.1E12</v>
      </c>
      <c r="D89" s="3">
        <v>7.996253786</v>
      </c>
      <c r="E89" s="3">
        <v>1590.174331</v>
      </c>
      <c r="F89" s="3">
        <v>7.894</v>
      </c>
      <c r="G89" s="3">
        <v>4.906973441</v>
      </c>
      <c r="H89" s="3">
        <v>2.092115214</v>
      </c>
      <c r="I89" s="3">
        <v>41.92291387</v>
      </c>
      <c r="J89" s="3">
        <v>34.7</v>
      </c>
      <c r="K89" s="3">
        <v>1.322866505E9</v>
      </c>
      <c r="L89" s="3">
        <v>1.18779532</v>
      </c>
      <c r="M89" s="3">
        <v>18.8</v>
      </c>
      <c r="N89" s="3">
        <v>69.636</v>
      </c>
      <c r="O89" s="3">
        <v>36.5</v>
      </c>
      <c r="P89" s="2" t="s">
        <v>34</v>
      </c>
      <c r="Q89" s="3">
        <v>112.9378433</v>
      </c>
      <c r="R89" s="3">
        <v>32.777</v>
      </c>
      <c r="S89" s="3">
        <v>88.0</v>
      </c>
      <c r="T89" s="3">
        <v>89.1893093</v>
      </c>
      <c r="U89" s="3">
        <v>57.77572014</v>
      </c>
      <c r="V89" s="3">
        <v>1.7087762</v>
      </c>
      <c r="W89" s="3">
        <v>73.81099141</v>
      </c>
      <c r="X89" s="3">
        <v>33.4</v>
      </c>
      <c r="Y89" s="3">
        <v>23.82222461</v>
      </c>
      <c r="Z89" s="3">
        <v>42.8571434</v>
      </c>
      <c r="AA89" s="3">
        <v>-0.954773545</v>
      </c>
      <c r="AB89" s="3">
        <v>-0.424956709</v>
      </c>
      <c r="AC89" s="3">
        <v>-0.069937095</v>
      </c>
      <c r="AD89" s="3">
        <v>0.427884758</v>
      </c>
      <c r="AE89" s="3">
        <v>14.9</v>
      </c>
      <c r="AF89" s="3">
        <v>0.693099976</v>
      </c>
      <c r="AG89" s="3">
        <v>8.021878855</v>
      </c>
    </row>
    <row r="90">
      <c r="A90" s="2" t="s">
        <v>37</v>
      </c>
      <c r="B90" s="3">
        <v>2016.0</v>
      </c>
      <c r="C90" s="5">
        <v>2.29E12</v>
      </c>
      <c r="D90" s="3">
        <v>8.256305502</v>
      </c>
      <c r="E90" s="3">
        <v>1714.279537</v>
      </c>
      <c r="F90" s="3">
        <v>7.8</v>
      </c>
      <c r="G90" s="3">
        <v>4.948216341</v>
      </c>
      <c r="H90" s="3">
        <v>1.937364122</v>
      </c>
      <c r="I90" s="3">
        <v>40.08248571</v>
      </c>
      <c r="J90" s="3">
        <v>34.7</v>
      </c>
      <c r="K90" s="3">
        <v>1.33863634E9</v>
      </c>
      <c r="L90" s="3">
        <v>1.185046229</v>
      </c>
      <c r="M90" s="3">
        <v>18.1</v>
      </c>
      <c r="N90" s="3">
        <v>70.117</v>
      </c>
      <c r="O90" s="3">
        <v>34.7</v>
      </c>
      <c r="P90" s="2" t="s">
        <v>34</v>
      </c>
      <c r="Q90" s="3">
        <v>119.5128326</v>
      </c>
      <c r="R90" s="3">
        <v>33.182</v>
      </c>
      <c r="S90" s="3">
        <v>89.6</v>
      </c>
      <c r="T90" s="3">
        <v>89.78796094</v>
      </c>
      <c r="U90" s="3">
        <v>60.84125721</v>
      </c>
      <c r="V90" s="3">
        <v>1.720957538</v>
      </c>
      <c r="W90" s="3">
        <v>75.78900353</v>
      </c>
      <c r="X90" s="3">
        <v>33.0</v>
      </c>
      <c r="Y90" s="3">
        <v>23.91182535</v>
      </c>
      <c r="Z90" s="3">
        <v>43.80952454</v>
      </c>
      <c r="AA90" s="3">
        <v>-0.960426509</v>
      </c>
      <c r="AB90" s="3">
        <v>-0.311531931</v>
      </c>
      <c r="AC90" s="3">
        <v>-0.055489417</v>
      </c>
      <c r="AD90" s="3">
        <v>0.440999389</v>
      </c>
      <c r="AE90" s="3">
        <v>16.5</v>
      </c>
      <c r="AF90" s="3">
        <v>0.669839978</v>
      </c>
      <c r="AG90" s="3">
        <v>7.660357231</v>
      </c>
    </row>
    <row r="91">
      <c r="A91" s="2" t="s">
        <v>37</v>
      </c>
      <c r="B91" s="3">
        <v>2017.0</v>
      </c>
      <c r="C91" s="5">
        <v>2.65E12</v>
      </c>
      <c r="D91" s="3">
        <v>6.795383419</v>
      </c>
      <c r="E91" s="3">
        <v>1957.969813</v>
      </c>
      <c r="F91" s="3">
        <v>7.723</v>
      </c>
      <c r="G91" s="3">
        <v>3.328173375</v>
      </c>
      <c r="H91" s="3">
        <v>1.507315833</v>
      </c>
      <c r="I91" s="3">
        <v>40.74249695</v>
      </c>
      <c r="J91" s="3">
        <v>35.9</v>
      </c>
      <c r="K91" s="3">
        <v>1.35419568E9</v>
      </c>
      <c r="L91" s="3">
        <v>1.155624491</v>
      </c>
      <c r="M91" s="3">
        <v>13.4</v>
      </c>
      <c r="N91" s="3">
        <v>70.467</v>
      </c>
      <c r="O91" s="3">
        <v>32.9</v>
      </c>
      <c r="P91" s="2" t="s">
        <v>34</v>
      </c>
      <c r="Q91" s="3">
        <v>117.8681717</v>
      </c>
      <c r="R91" s="3">
        <v>33.6</v>
      </c>
      <c r="S91" s="3">
        <v>91.8</v>
      </c>
      <c r="T91" s="3">
        <v>90.38318358</v>
      </c>
      <c r="U91" s="3">
        <v>63.83038915</v>
      </c>
      <c r="V91" s="3">
        <v>1.797468295</v>
      </c>
      <c r="W91" s="3">
        <v>67.31227139</v>
      </c>
      <c r="X91" s="3">
        <v>32.5</v>
      </c>
      <c r="Y91" s="3">
        <v>24.00142608</v>
      </c>
      <c r="Z91" s="3">
        <v>45.7142868</v>
      </c>
      <c r="AA91" s="3">
        <v>-0.774099052</v>
      </c>
      <c r="AB91" s="3">
        <v>-0.256514043</v>
      </c>
      <c r="AC91" s="3">
        <v>-0.029448533</v>
      </c>
      <c r="AD91" s="3">
        <v>0.387068421</v>
      </c>
      <c r="AE91" s="3">
        <v>18.2</v>
      </c>
      <c r="AF91" s="3">
        <v>0.66602999</v>
      </c>
      <c r="AG91" s="3">
        <v>7.360672823</v>
      </c>
    </row>
    <row r="92">
      <c r="A92" s="2" t="s">
        <v>37</v>
      </c>
      <c r="B92" s="3">
        <v>2018.0</v>
      </c>
      <c r="C92" s="5">
        <v>2.7E12</v>
      </c>
      <c r="D92" s="3">
        <v>6.453851345</v>
      </c>
      <c r="E92" s="3">
        <v>1974.377731</v>
      </c>
      <c r="F92" s="3">
        <v>7.652</v>
      </c>
      <c r="G92" s="3">
        <v>3.938826467</v>
      </c>
      <c r="H92" s="3">
        <v>1.558214838</v>
      </c>
      <c r="I92" s="3">
        <v>43.61696933</v>
      </c>
      <c r="J92" s="3">
        <v>34.5</v>
      </c>
      <c r="K92" s="3">
        <v>1.369003306E9</v>
      </c>
      <c r="L92" s="3">
        <v>1.087527722</v>
      </c>
      <c r="M92" s="3">
        <v>11.1</v>
      </c>
      <c r="N92" s="3">
        <v>70.71</v>
      </c>
      <c r="O92" s="3">
        <v>31.3</v>
      </c>
      <c r="P92" s="2" t="s">
        <v>34</v>
      </c>
      <c r="Q92" s="3">
        <v>101.097956</v>
      </c>
      <c r="R92" s="3">
        <v>34.03</v>
      </c>
      <c r="S92" s="3">
        <v>95.7</v>
      </c>
      <c r="T92" s="3">
        <v>90.97467558</v>
      </c>
      <c r="U92" s="3">
        <v>66.74811677</v>
      </c>
      <c r="V92" s="3">
        <v>1.879912407</v>
      </c>
      <c r="W92" s="3">
        <v>68.12095251</v>
      </c>
      <c r="X92" s="3">
        <v>32.9</v>
      </c>
      <c r="Y92" s="3">
        <v>24.09102681</v>
      </c>
      <c r="Z92" s="3">
        <v>47.61904907</v>
      </c>
      <c r="AA92" s="3">
        <v>-0.997705162</v>
      </c>
      <c r="AB92" s="3">
        <v>-0.225996733</v>
      </c>
      <c r="AC92" s="3">
        <v>-9.57083E-4</v>
      </c>
      <c r="AD92" s="3">
        <v>0.360433936</v>
      </c>
      <c r="AE92" s="3">
        <v>20.0813</v>
      </c>
      <c r="AF92" s="3">
        <v>0.66000998</v>
      </c>
      <c r="AG92" s="3">
        <v>9.03473422</v>
      </c>
    </row>
    <row r="93">
      <c r="A93" s="2" t="s">
        <v>37</v>
      </c>
      <c r="B93" s="3">
        <v>2019.0</v>
      </c>
      <c r="C93" s="5">
        <v>2.84E12</v>
      </c>
      <c r="D93" s="3">
        <v>3.871436941</v>
      </c>
      <c r="E93" s="3">
        <v>2050.1638</v>
      </c>
      <c r="F93" s="3">
        <v>6.51</v>
      </c>
      <c r="G93" s="3">
        <v>3.729505735</v>
      </c>
      <c r="H93" s="3">
        <v>1.78482634</v>
      </c>
      <c r="I93" s="3">
        <v>39.90540353</v>
      </c>
      <c r="J93" s="3">
        <v>33.8</v>
      </c>
      <c r="K93" s="3">
        <v>1.38311205E9</v>
      </c>
      <c r="L93" s="3">
        <v>1.025310772</v>
      </c>
      <c r="M93" s="3">
        <v>13.2</v>
      </c>
      <c r="N93" s="3">
        <v>70.91</v>
      </c>
      <c r="O93" s="3">
        <v>29.7</v>
      </c>
      <c r="P93" s="2" t="s">
        <v>34</v>
      </c>
      <c r="Q93" s="3">
        <v>99.50392361</v>
      </c>
      <c r="R93" s="3">
        <v>34.472</v>
      </c>
      <c r="S93" s="3">
        <v>95.9</v>
      </c>
      <c r="T93" s="3">
        <v>91.56222114</v>
      </c>
      <c r="U93" s="3">
        <v>69.66314609</v>
      </c>
      <c r="V93" s="3">
        <v>1.83742597</v>
      </c>
      <c r="W93" s="3">
        <v>59.89198088</v>
      </c>
      <c r="X93" s="3">
        <v>33.5</v>
      </c>
      <c r="Y93" s="3">
        <v>24.18062754</v>
      </c>
      <c r="Z93" s="3">
        <v>44.76190567</v>
      </c>
      <c r="AA93" s="3">
        <v>-0.796840608</v>
      </c>
      <c r="AB93" s="3">
        <v>-0.150565445</v>
      </c>
      <c r="AC93" s="3">
        <v>-0.06662368</v>
      </c>
      <c r="AD93" s="3">
        <v>0.268094271</v>
      </c>
      <c r="AE93" s="3">
        <v>29.5235</v>
      </c>
      <c r="AF93" s="3">
        <v>0.659420013</v>
      </c>
      <c r="AG93" s="3">
        <v>10.22349936</v>
      </c>
    </row>
    <row r="94">
      <c r="A94" s="2" t="s">
        <v>37</v>
      </c>
      <c r="B94" s="3">
        <v>2020.0</v>
      </c>
      <c r="C94" s="5">
        <v>2.67E12</v>
      </c>
      <c r="D94" s="3">
        <v>-5.777724707</v>
      </c>
      <c r="E94" s="3">
        <v>1915.551588</v>
      </c>
      <c r="F94" s="3">
        <v>7.859</v>
      </c>
      <c r="G94" s="3">
        <v>6.623436776</v>
      </c>
      <c r="H94" s="3">
        <v>2.406203227</v>
      </c>
      <c r="I94" s="3">
        <v>37.75810533</v>
      </c>
      <c r="J94" s="3">
        <v>33.8</v>
      </c>
      <c r="K94" s="3">
        <v>1.396387127E9</v>
      </c>
      <c r="L94" s="3">
        <v>0.955220858</v>
      </c>
      <c r="M94" s="3">
        <v>15.5</v>
      </c>
      <c r="N94" s="3">
        <v>70.15</v>
      </c>
      <c r="O94" s="3">
        <v>28.1</v>
      </c>
      <c r="P94" s="2" t="s">
        <v>34</v>
      </c>
      <c r="Q94" s="3">
        <v>101.2912534</v>
      </c>
      <c r="R94" s="3">
        <v>34.926</v>
      </c>
      <c r="S94" s="3">
        <v>96.5</v>
      </c>
      <c r="T94" s="3">
        <v>92.14560477</v>
      </c>
      <c r="U94" s="3">
        <v>72.57510232</v>
      </c>
      <c r="V94" s="3">
        <v>1.661916424</v>
      </c>
      <c r="W94" s="3">
        <v>48.39481152</v>
      </c>
      <c r="X94" s="3">
        <v>36.1</v>
      </c>
      <c r="Y94" s="3">
        <v>24.27022827</v>
      </c>
      <c r="Z94" s="3">
        <v>45.23809433</v>
      </c>
      <c r="AA94" s="3">
        <v>-0.841136158</v>
      </c>
      <c r="AB94" s="3">
        <v>-0.128488675</v>
      </c>
      <c r="AC94" s="3">
        <v>-0.057718564</v>
      </c>
      <c r="AD94" s="3">
        <v>0.126321062</v>
      </c>
      <c r="AE94" s="3">
        <v>43.4054</v>
      </c>
      <c r="AF94" s="3">
        <v>0.64635998</v>
      </c>
      <c r="AG94" s="3">
        <v>11.0322568</v>
      </c>
    </row>
    <row r="95">
      <c r="A95" s="2" t="s">
        <v>37</v>
      </c>
      <c r="B95" s="3">
        <v>2021.0</v>
      </c>
      <c r="C95" s="5">
        <v>3.17E12</v>
      </c>
      <c r="D95" s="3">
        <v>9.689592492</v>
      </c>
      <c r="E95" s="3">
        <v>2250.179018</v>
      </c>
      <c r="F95" s="3">
        <v>6.38</v>
      </c>
      <c r="G95" s="3">
        <v>5.131407472</v>
      </c>
      <c r="H95" s="3">
        <v>1.41217101</v>
      </c>
      <c r="I95" s="3">
        <v>45.42308878</v>
      </c>
      <c r="J95" s="3">
        <v>32.8</v>
      </c>
      <c r="K95" s="3">
        <v>1.407563842E9</v>
      </c>
      <c r="L95" s="3">
        <v>0.797216094</v>
      </c>
      <c r="M95" s="3">
        <v>12.9</v>
      </c>
      <c r="N95" s="3">
        <v>67.24</v>
      </c>
      <c r="O95" s="3">
        <v>26.8</v>
      </c>
      <c r="P95" s="2" t="s">
        <v>34</v>
      </c>
      <c r="Q95" s="3">
        <v>102.3161233</v>
      </c>
      <c r="R95" s="3">
        <v>35.393</v>
      </c>
      <c r="S95" s="3">
        <v>99.6</v>
      </c>
      <c r="T95" s="3">
        <v>92.72465388</v>
      </c>
      <c r="U95" s="3">
        <v>75.48373765</v>
      </c>
      <c r="V95" s="3">
        <v>1.796105743</v>
      </c>
      <c r="W95" s="2" t="s">
        <v>34</v>
      </c>
      <c r="X95" s="3">
        <v>34.9</v>
      </c>
      <c r="Y95" s="3">
        <v>24.35982901</v>
      </c>
      <c r="Z95" s="3">
        <v>45.23809433</v>
      </c>
      <c r="AA95" s="3">
        <v>-0.691997945</v>
      </c>
      <c r="AB95" s="3">
        <v>-0.090854593</v>
      </c>
      <c r="AC95" s="3">
        <v>-0.108277</v>
      </c>
      <c r="AD95" s="3">
        <v>0.090988867</v>
      </c>
      <c r="AE95" s="2" t="s">
        <v>34</v>
      </c>
      <c r="AF95" s="2" t="s">
        <v>34</v>
      </c>
      <c r="AG95" s="3">
        <v>10.21221554</v>
      </c>
    </row>
    <row r="96">
      <c r="A96" s="2" t="s">
        <v>37</v>
      </c>
      <c r="B96" s="3">
        <v>2022.0</v>
      </c>
      <c r="C96" s="5">
        <v>3.35E12</v>
      </c>
      <c r="D96" s="3">
        <v>6.987039326</v>
      </c>
      <c r="E96" s="3">
        <v>2366.309609</v>
      </c>
      <c r="F96" s="3">
        <v>4.822</v>
      </c>
      <c r="G96" s="3">
        <v>6.699034141</v>
      </c>
      <c r="H96" s="3">
        <v>1.489211205</v>
      </c>
      <c r="I96" s="3">
        <v>49.96531997</v>
      </c>
      <c r="J96" s="4"/>
      <c r="K96" s="3">
        <v>1.417173173E9</v>
      </c>
      <c r="L96" s="3">
        <v>0.680372581</v>
      </c>
      <c r="M96" s="2" t="s">
        <v>34</v>
      </c>
      <c r="N96" s="3">
        <v>67.744</v>
      </c>
      <c r="O96" s="3">
        <v>25.5</v>
      </c>
      <c r="P96" s="3">
        <v>76.0</v>
      </c>
      <c r="Q96" s="3">
        <v>111.0844556</v>
      </c>
      <c r="R96" s="3">
        <v>35.872</v>
      </c>
      <c r="S96" s="3">
        <v>99.2</v>
      </c>
      <c r="T96" s="3">
        <v>93.29909578</v>
      </c>
      <c r="U96" s="3">
        <v>78.38855995</v>
      </c>
      <c r="V96" s="3">
        <v>1.90028583</v>
      </c>
      <c r="W96" s="2" t="s">
        <v>34</v>
      </c>
      <c r="X96" s="2" t="s">
        <v>34</v>
      </c>
      <c r="Y96" s="2" t="s">
        <v>34</v>
      </c>
      <c r="Z96" s="3">
        <v>44.3396225</v>
      </c>
      <c r="AA96" s="3">
        <v>-0.568608165</v>
      </c>
      <c r="AB96" s="3">
        <v>-0.050446417</v>
      </c>
      <c r="AC96" s="3">
        <v>0.114700042</v>
      </c>
      <c r="AD96" s="3">
        <v>0.050905809</v>
      </c>
      <c r="AE96" s="2" t="s">
        <v>34</v>
      </c>
      <c r="AF96" s="2" t="s">
        <v>34</v>
      </c>
      <c r="AG96" s="3">
        <v>12.48172802</v>
      </c>
    </row>
    <row r="97">
      <c r="A97" s="2" t="s">
        <v>37</v>
      </c>
      <c r="B97" s="3">
        <v>2023.0</v>
      </c>
      <c r="C97" s="5">
        <v>3.55E12</v>
      </c>
      <c r="D97" s="3">
        <v>7.583971124</v>
      </c>
      <c r="E97" s="3">
        <v>2484.845429</v>
      </c>
      <c r="F97" s="3">
        <v>4.172</v>
      </c>
      <c r="G97" s="3">
        <v>5.649143189</v>
      </c>
      <c r="H97" s="3">
        <v>0.7907283</v>
      </c>
      <c r="I97" s="3">
        <v>45.85392815</v>
      </c>
      <c r="J97" s="4"/>
      <c r="K97" s="3">
        <v>1.428627663E9</v>
      </c>
      <c r="L97" s="3">
        <v>0.805014301</v>
      </c>
      <c r="M97" s="2" t="s">
        <v>34</v>
      </c>
      <c r="N97" s="2" t="s">
        <v>34</v>
      </c>
      <c r="O97" s="2" t="s">
        <v>34</v>
      </c>
      <c r="P97" s="3">
        <v>77.0</v>
      </c>
      <c r="Q97" s="3">
        <v>112.0312309</v>
      </c>
      <c r="R97" s="3">
        <v>36.364</v>
      </c>
      <c r="S97" s="2" t="s">
        <v>34</v>
      </c>
      <c r="T97" s="2" t="s">
        <v>34</v>
      </c>
      <c r="U97" s="2" t="s">
        <v>34</v>
      </c>
      <c r="V97" s="2" t="s">
        <v>34</v>
      </c>
      <c r="W97" s="2" t="s">
        <v>34</v>
      </c>
      <c r="X97" s="2" t="s">
        <v>34</v>
      </c>
      <c r="Y97" s="2" t="s">
        <v>34</v>
      </c>
      <c r="Z97" s="2" t="s">
        <v>34</v>
      </c>
      <c r="AA97" s="2" t="s">
        <v>34</v>
      </c>
      <c r="AB97" s="2" t="s">
        <v>34</v>
      </c>
      <c r="AC97" s="2" t="s">
        <v>34</v>
      </c>
      <c r="AD97" s="2" t="s">
        <v>34</v>
      </c>
      <c r="AE97" s="2" t="s">
        <v>34</v>
      </c>
      <c r="AF97" s="2" t="s">
        <v>34</v>
      </c>
      <c r="AG97" s="2" t="s">
        <v>34</v>
      </c>
    </row>
    <row r="98">
      <c r="A98" s="2" t="s">
        <v>38</v>
      </c>
      <c r="B98" s="3">
        <v>2000.0</v>
      </c>
      <c r="C98" s="3">
        <v>6.243371453E8</v>
      </c>
      <c r="D98" s="3">
        <v>3.845810232</v>
      </c>
      <c r="E98" s="3">
        <v>2209.988231</v>
      </c>
      <c r="F98" s="3">
        <v>1.97</v>
      </c>
      <c r="G98" s="3">
        <v>-1.174756812</v>
      </c>
      <c r="H98" s="3">
        <v>3.573781889</v>
      </c>
      <c r="I98" s="4"/>
      <c r="J98" s="4"/>
      <c r="K98" s="3">
        <v>282507.0</v>
      </c>
      <c r="L98" s="3">
        <v>1.568301447</v>
      </c>
      <c r="M98" s="2" t="s">
        <v>34</v>
      </c>
      <c r="N98" s="3">
        <v>70.876</v>
      </c>
      <c r="O98" s="3">
        <v>31.8</v>
      </c>
      <c r="P98" s="3">
        <v>96.0</v>
      </c>
      <c r="Q98" s="3">
        <v>127.2887802</v>
      </c>
      <c r="R98" s="3">
        <v>27.706</v>
      </c>
      <c r="S98" s="3">
        <v>83.8</v>
      </c>
      <c r="T98" s="3">
        <v>93.81617524</v>
      </c>
      <c r="U98" s="3">
        <v>74.85341458</v>
      </c>
      <c r="V98" s="3">
        <v>2.484186233</v>
      </c>
      <c r="W98" s="3">
        <v>16.80604798</v>
      </c>
      <c r="X98" s="3">
        <v>2.3</v>
      </c>
      <c r="Y98" s="3">
        <v>2.733333333</v>
      </c>
      <c r="Z98" s="3">
        <v>47.3404274</v>
      </c>
      <c r="AA98" s="3">
        <v>1.180719733</v>
      </c>
      <c r="AB98" s="3">
        <v>0.98718679</v>
      </c>
      <c r="AC98" s="3">
        <v>0.253678381</v>
      </c>
      <c r="AD98" s="3">
        <v>-0.758386791</v>
      </c>
      <c r="AE98" s="3">
        <v>2.20387</v>
      </c>
      <c r="AF98" s="2" t="s">
        <v>34</v>
      </c>
      <c r="AG98" s="2" t="s">
        <v>34</v>
      </c>
    </row>
    <row r="99">
      <c r="A99" s="2" t="s">
        <v>38</v>
      </c>
      <c r="B99" s="3">
        <v>2001.0</v>
      </c>
      <c r="C99" s="3">
        <v>8.700316768E8</v>
      </c>
      <c r="D99" s="3">
        <v>-3.943634289</v>
      </c>
      <c r="E99" s="3">
        <v>3028.05083</v>
      </c>
      <c r="F99" s="3">
        <v>3.062</v>
      </c>
      <c r="G99" s="3">
        <v>0.67257737</v>
      </c>
      <c r="H99" s="3">
        <v>2.360954642</v>
      </c>
      <c r="I99" s="4"/>
      <c r="J99" s="4"/>
      <c r="K99" s="3">
        <v>287324.0</v>
      </c>
      <c r="L99" s="3">
        <v>1.690716983</v>
      </c>
      <c r="M99" s="2" t="s">
        <v>34</v>
      </c>
      <c r="N99" s="3">
        <v>72.181</v>
      </c>
      <c r="O99" s="3">
        <v>28.7</v>
      </c>
      <c r="P99" s="2" t="s">
        <v>34</v>
      </c>
      <c r="Q99" s="3">
        <v>124.8510818</v>
      </c>
      <c r="R99" s="3">
        <v>28.859</v>
      </c>
      <c r="S99" s="3">
        <v>87.5</v>
      </c>
      <c r="T99" s="3">
        <v>94.19996753</v>
      </c>
      <c r="U99" s="3">
        <v>76.26215418</v>
      </c>
      <c r="V99" s="3">
        <v>2.100068216</v>
      </c>
      <c r="W99" s="3">
        <v>16.56951346</v>
      </c>
      <c r="X99" s="3">
        <v>2.3</v>
      </c>
      <c r="Y99" s="3">
        <v>2.733333333</v>
      </c>
      <c r="Z99" s="2" t="s">
        <v>34</v>
      </c>
      <c r="AA99" s="2" t="s">
        <v>34</v>
      </c>
      <c r="AB99" s="2" t="s">
        <v>34</v>
      </c>
      <c r="AC99" s="2" t="s">
        <v>34</v>
      </c>
      <c r="AD99" s="2" t="s">
        <v>34</v>
      </c>
      <c r="AE99" s="3">
        <v>3.61729</v>
      </c>
      <c r="AF99" s="2" t="s">
        <v>34</v>
      </c>
      <c r="AG99" s="2" t="s">
        <v>34</v>
      </c>
    </row>
    <row r="100">
      <c r="A100" s="2" t="s">
        <v>38</v>
      </c>
      <c r="B100" s="3">
        <v>2002.0</v>
      </c>
      <c r="C100" s="3">
        <v>8.9703125E8</v>
      </c>
      <c r="D100" s="3">
        <v>7.26838641</v>
      </c>
      <c r="E100" s="3">
        <v>3069.039872</v>
      </c>
      <c r="F100" s="3">
        <v>4.142</v>
      </c>
      <c r="G100" s="3">
        <v>4.178672399</v>
      </c>
      <c r="H100" s="3">
        <v>2.755600741</v>
      </c>
      <c r="I100" s="4"/>
      <c r="J100" s="3">
        <v>41.3</v>
      </c>
      <c r="K100" s="3">
        <v>292284.0</v>
      </c>
      <c r="L100" s="3">
        <v>1.711543347</v>
      </c>
      <c r="M100" s="3">
        <v>6.6</v>
      </c>
      <c r="N100" s="3">
        <v>73.291</v>
      </c>
      <c r="O100" s="3">
        <v>25.6</v>
      </c>
      <c r="P100" s="2" t="s">
        <v>34</v>
      </c>
      <c r="Q100" s="3">
        <v>122.174881</v>
      </c>
      <c r="R100" s="3">
        <v>30.042</v>
      </c>
      <c r="S100" s="3">
        <v>88.3</v>
      </c>
      <c r="T100" s="3">
        <v>94.57652949</v>
      </c>
      <c r="U100" s="3">
        <v>77.65151251</v>
      </c>
      <c r="V100" s="3">
        <v>2.46609462</v>
      </c>
      <c r="W100" s="3">
        <v>16.42794891</v>
      </c>
      <c r="X100" s="3">
        <v>1.8</v>
      </c>
      <c r="Y100" s="3">
        <v>2.733333333</v>
      </c>
      <c r="Z100" s="3">
        <v>52.38095093</v>
      </c>
      <c r="AA100" s="3">
        <v>1.07719624</v>
      </c>
      <c r="AB100" s="3">
        <v>0.939704359</v>
      </c>
      <c r="AC100" s="3">
        <v>-0.069341622</v>
      </c>
      <c r="AD100" s="3">
        <v>-0.839590251</v>
      </c>
      <c r="AE100" s="3">
        <v>5.34777</v>
      </c>
      <c r="AF100" s="2" t="s">
        <v>34</v>
      </c>
      <c r="AG100" s="2" t="s">
        <v>34</v>
      </c>
    </row>
    <row r="101">
      <c r="A101" s="2" t="s">
        <v>38</v>
      </c>
      <c r="B101" s="3">
        <v>2003.0</v>
      </c>
      <c r="C101" s="3">
        <v>1.052121055E9</v>
      </c>
      <c r="D101" s="3">
        <v>13.75004966</v>
      </c>
      <c r="E101" s="3">
        <v>3539.801547</v>
      </c>
      <c r="F101" s="3">
        <v>5.201</v>
      </c>
      <c r="G101" s="3">
        <v>-1.260651135</v>
      </c>
      <c r="H101" s="3">
        <v>3.020036091</v>
      </c>
      <c r="I101" s="4"/>
      <c r="J101" s="4"/>
      <c r="K101" s="3">
        <v>297226.0</v>
      </c>
      <c r="L101" s="3">
        <v>1.676685986</v>
      </c>
      <c r="M101" s="2" t="s">
        <v>34</v>
      </c>
      <c r="N101" s="3">
        <v>74.06</v>
      </c>
      <c r="O101" s="3">
        <v>22.9</v>
      </c>
      <c r="P101" s="2" t="s">
        <v>34</v>
      </c>
      <c r="Q101" s="3">
        <v>121.5269623</v>
      </c>
      <c r="R101" s="3">
        <v>31.252</v>
      </c>
      <c r="S101" s="3">
        <v>89.1</v>
      </c>
      <c r="T101" s="3">
        <v>94.94539745</v>
      </c>
      <c r="U101" s="3">
        <v>79.01984957</v>
      </c>
      <c r="V101" s="3">
        <v>2.068123246</v>
      </c>
      <c r="W101" s="3">
        <v>16.32516338</v>
      </c>
      <c r="X101" s="3">
        <v>2.2</v>
      </c>
      <c r="Y101" s="3">
        <v>2.733333333</v>
      </c>
      <c r="Z101" s="3">
        <v>57.1428566</v>
      </c>
      <c r="AA101" s="3">
        <v>1.032264709</v>
      </c>
      <c r="AB101" s="3">
        <v>0.926884115</v>
      </c>
      <c r="AC101" s="3">
        <v>0.079446733</v>
      </c>
      <c r="AD101" s="3">
        <v>-0.999485612</v>
      </c>
      <c r="AE101" s="3">
        <v>5.97659</v>
      </c>
      <c r="AF101" s="2" t="s">
        <v>34</v>
      </c>
      <c r="AG101" s="2" t="s">
        <v>34</v>
      </c>
    </row>
    <row r="102">
      <c r="A102" s="2" t="s">
        <v>38</v>
      </c>
      <c r="B102" s="3">
        <v>2004.0</v>
      </c>
      <c r="C102" s="3">
        <v>1.226829563E9</v>
      </c>
      <c r="D102" s="3">
        <v>5.816366933</v>
      </c>
      <c r="E102" s="3">
        <v>4060.534405</v>
      </c>
      <c r="F102" s="3">
        <v>6.256</v>
      </c>
      <c r="G102" s="3">
        <v>-1.685412125</v>
      </c>
      <c r="H102" s="3">
        <v>4.314674454</v>
      </c>
      <c r="I102" s="4"/>
      <c r="J102" s="4"/>
      <c r="K102" s="3">
        <v>302135.0</v>
      </c>
      <c r="L102" s="3">
        <v>1.638114517</v>
      </c>
      <c r="M102" s="2" t="s">
        <v>34</v>
      </c>
      <c r="N102" s="3">
        <v>73.538</v>
      </c>
      <c r="O102" s="3">
        <v>21.5</v>
      </c>
      <c r="P102" s="2" t="s">
        <v>34</v>
      </c>
      <c r="Q102" s="3">
        <v>120.154892</v>
      </c>
      <c r="R102" s="3">
        <v>32.49</v>
      </c>
      <c r="S102" s="3">
        <v>90.0</v>
      </c>
      <c r="T102" s="3">
        <v>95.30630475</v>
      </c>
      <c r="U102" s="3">
        <v>80.3664466</v>
      </c>
      <c r="V102" s="3">
        <v>2.596190445</v>
      </c>
      <c r="W102" s="3">
        <v>16.20496593</v>
      </c>
      <c r="X102" s="3">
        <v>1.7</v>
      </c>
      <c r="Y102" s="3">
        <v>2.733333333</v>
      </c>
      <c r="Z102" s="3">
        <v>46.79803085</v>
      </c>
      <c r="AA102" s="3">
        <v>0.501932442</v>
      </c>
      <c r="AB102" s="3">
        <v>-0.015420588</v>
      </c>
      <c r="AC102" s="3">
        <v>-0.298393637</v>
      </c>
      <c r="AD102" s="3">
        <v>-1.19482708</v>
      </c>
      <c r="AE102" s="3">
        <v>6.58825</v>
      </c>
      <c r="AF102" s="2" t="s">
        <v>34</v>
      </c>
      <c r="AG102" s="2" t="s">
        <v>34</v>
      </c>
    </row>
    <row r="103">
      <c r="A103" s="2" t="s">
        <v>38</v>
      </c>
      <c r="B103" s="3">
        <v>2005.0</v>
      </c>
      <c r="C103" s="3">
        <v>1.163362438E9</v>
      </c>
      <c r="D103" s="3">
        <v>-11.22316621</v>
      </c>
      <c r="E103" s="3">
        <v>3789.232024</v>
      </c>
      <c r="F103" s="3">
        <v>7.394</v>
      </c>
      <c r="G103" s="3">
        <v>1.300275009</v>
      </c>
      <c r="H103" s="3">
        <v>4.554996736</v>
      </c>
      <c r="I103" s="4"/>
      <c r="J103" s="4"/>
      <c r="K103" s="3">
        <v>307018.0</v>
      </c>
      <c r="L103" s="3">
        <v>1.603244043</v>
      </c>
      <c r="M103" s="2" t="s">
        <v>34</v>
      </c>
      <c r="N103" s="3">
        <v>74.751</v>
      </c>
      <c r="O103" s="3">
        <v>18.4</v>
      </c>
      <c r="P103" s="2" t="s">
        <v>34</v>
      </c>
      <c r="Q103" s="3">
        <v>114.2222672</v>
      </c>
      <c r="R103" s="3">
        <v>33.75</v>
      </c>
      <c r="S103" s="3">
        <v>90.9</v>
      </c>
      <c r="T103" s="3">
        <v>95.6587151</v>
      </c>
      <c r="U103" s="3">
        <v>81.68922835</v>
      </c>
      <c r="V103" s="3">
        <v>2.369567908</v>
      </c>
      <c r="W103" s="3">
        <v>16.01116561</v>
      </c>
      <c r="X103" s="3">
        <v>2.0</v>
      </c>
      <c r="Y103" s="3">
        <v>2.733333333</v>
      </c>
      <c r="Z103" s="3">
        <v>41.46341324</v>
      </c>
      <c r="AA103" s="3">
        <v>0.811711967</v>
      </c>
      <c r="AB103" s="3">
        <v>0.516670823</v>
      </c>
      <c r="AC103" s="3">
        <v>0.09036915</v>
      </c>
      <c r="AD103" s="3">
        <v>-0.979869902</v>
      </c>
      <c r="AE103" s="3">
        <v>6.86961</v>
      </c>
      <c r="AF103" s="2" t="s">
        <v>34</v>
      </c>
      <c r="AG103" s="2" t="s">
        <v>34</v>
      </c>
    </row>
    <row r="104">
      <c r="A104" s="2" t="s">
        <v>38</v>
      </c>
      <c r="B104" s="3">
        <v>2006.0</v>
      </c>
      <c r="C104" s="3">
        <v>1.575200391E9</v>
      </c>
      <c r="D104" s="3">
        <v>23.60579828</v>
      </c>
      <c r="E104" s="3">
        <v>5010.163424</v>
      </c>
      <c r="F104" s="3">
        <v>8.478</v>
      </c>
      <c r="G104" s="3">
        <v>2.738421316</v>
      </c>
      <c r="H104" s="3">
        <v>4.051980515</v>
      </c>
      <c r="I104" s="4"/>
      <c r="J104" s="4"/>
      <c r="K104" s="3">
        <v>314401.0</v>
      </c>
      <c r="L104" s="3">
        <v>2.376286342</v>
      </c>
      <c r="M104" s="2" t="s">
        <v>34</v>
      </c>
      <c r="N104" s="3">
        <v>75.13</v>
      </c>
      <c r="O104" s="3">
        <v>16.6</v>
      </c>
      <c r="P104" s="3">
        <v>98.0</v>
      </c>
      <c r="Q104" s="3">
        <v>112.6583786</v>
      </c>
      <c r="R104" s="3">
        <v>34.794</v>
      </c>
      <c r="S104" s="3">
        <v>91.7</v>
      </c>
      <c r="T104" s="3">
        <v>95.99455718</v>
      </c>
      <c r="U104" s="3">
        <v>82.94542377</v>
      </c>
      <c r="V104" s="3">
        <v>2.815194608</v>
      </c>
      <c r="W104" s="3">
        <v>15.71448915</v>
      </c>
      <c r="X104" s="3">
        <v>1.6</v>
      </c>
      <c r="Y104" s="3">
        <v>2.733333333</v>
      </c>
      <c r="Z104" s="3">
        <v>32.68292618</v>
      </c>
      <c r="AA104" s="3">
        <v>0.758358777</v>
      </c>
      <c r="AB104" s="3">
        <v>0.406536967</v>
      </c>
      <c r="AC104" s="3">
        <v>-0.034912698</v>
      </c>
      <c r="AD104" s="3">
        <v>-1.005972266</v>
      </c>
      <c r="AE104" s="3">
        <v>11.0364</v>
      </c>
      <c r="AF104" s="2" t="s">
        <v>34</v>
      </c>
      <c r="AG104" s="2" t="s">
        <v>34</v>
      </c>
    </row>
    <row r="105">
      <c r="A105" s="2" t="s">
        <v>38</v>
      </c>
      <c r="B105" s="3">
        <v>2007.0</v>
      </c>
      <c r="C105" s="3">
        <v>1.868383461E9</v>
      </c>
      <c r="D105" s="3">
        <v>7.12342766</v>
      </c>
      <c r="E105" s="3">
        <v>5746.644258</v>
      </c>
      <c r="F105" s="3">
        <v>9.537</v>
      </c>
      <c r="G105" s="3">
        <v>6.794773539</v>
      </c>
      <c r="H105" s="3">
        <v>7.088056791</v>
      </c>
      <c r="I105" s="4"/>
      <c r="J105" s="4"/>
      <c r="K105" s="3">
        <v>325126.0</v>
      </c>
      <c r="L105" s="3">
        <v>3.354355829</v>
      </c>
      <c r="M105" s="2" t="s">
        <v>34</v>
      </c>
      <c r="N105" s="3">
        <v>75.686</v>
      </c>
      <c r="O105" s="3">
        <v>15.1</v>
      </c>
      <c r="P105" s="2" t="s">
        <v>34</v>
      </c>
      <c r="Q105" s="3">
        <v>107.7691498</v>
      </c>
      <c r="R105" s="3">
        <v>35.2</v>
      </c>
      <c r="S105" s="3">
        <v>92.6</v>
      </c>
      <c r="T105" s="3">
        <v>96.3039887</v>
      </c>
      <c r="U105" s="3">
        <v>84.0726027</v>
      </c>
      <c r="V105" s="3">
        <v>2.698646063</v>
      </c>
      <c r="W105" s="3">
        <v>15.31800152</v>
      </c>
      <c r="X105" s="3">
        <v>1.5</v>
      </c>
      <c r="Y105" s="3">
        <v>2.733333333</v>
      </c>
      <c r="Z105" s="3">
        <v>19.90291214</v>
      </c>
      <c r="AA105" s="3">
        <v>0.083186485</v>
      </c>
      <c r="AB105" s="3">
        <v>0.056400053</v>
      </c>
      <c r="AC105" s="3">
        <v>-0.131116077</v>
      </c>
      <c r="AD105" s="3">
        <v>-0.927418411</v>
      </c>
      <c r="AE105" s="3">
        <v>16.3</v>
      </c>
      <c r="AF105" s="2" t="s">
        <v>34</v>
      </c>
      <c r="AG105" s="2" t="s">
        <v>34</v>
      </c>
    </row>
    <row r="106">
      <c r="A106" s="2" t="s">
        <v>38</v>
      </c>
      <c r="B106" s="3">
        <v>2008.0</v>
      </c>
      <c r="C106" s="3">
        <v>2.271646188E9</v>
      </c>
      <c r="D106" s="3">
        <v>8.979816872</v>
      </c>
      <c r="E106" s="3">
        <v>6743.130961</v>
      </c>
      <c r="F106" s="3">
        <v>10.515</v>
      </c>
      <c r="G106" s="3">
        <v>12.04145835</v>
      </c>
      <c r="H106" s="3">
        <v>7.979034445</v>
      </c>
      <c r="I106" s="4"/>
      <c r="J106" s="4"/>
      <c r="K106" s="3">
        <v>336883.0</v>
      </c>
      <c r="L106" s="3">
        <v>3.552288956</v>
      </c>
      <c r="M106" s="2" t="s">
        <v>34</v>
      </c>
      <c r="N106" s="3">
        <v>76.543</v>
      </c>
      <c r="O106" s="3">
        <v>13.9</v>
      </c>
      <c r="P106" s="2" t="s">
        <v>34</v>
      </c>
      <c r="Q106" s="3">
        <v>105.4940567</v>
      </c>
      <c r="R106" s="3">
        <v>35.61</v>
      </c>
      <c r="S106" s="3">
        <v>93.6</v>
      </c>
      <c r="T106" s="3">
        <v>96.62838782</v>
      </c>
      <c r="U106" s="3">
        <v>85.33349244</v>
      </c>
      <c r="V106" s="3">
        <v>2.844014094</v>
      </c>
      <c r="W106" s="3">
        <v>14.8140192</v>
      </c>
      <c r="X106" s="3">
        <v>1.5</v>
      </c>
      <c r="Y106" s="3">
        <v>2.733333333</v>
      </c>
      <c r="Z106" s="3">
        <v>21.35922241</v>
      </c>
      <c r="AA106" s="3">
        <v>-0.164438739</v>
      </c>
      <c r="AB106" s="3">
        <v>-0.373797566</v>
      </c>
      <c r="AC106" s="3">
        <v>-0.171761319</v>
      </c>
      <c r="AD106" s="3">
        <v>-0.301234484</v>
      </c>
      <c r="AE106" s="3">
        <v>23.2</v>
      </c>
      <c r="AF106" s="2" t="s">
        <v>34</v>
      </c>
      <c r="AG106" s="2" t="s">
        <v>34</v>
      </c>
    </row>
    <row r="107">
      <c r="A107" s="2" t="s">
        <v>38</v>
      </c>
      <c r="B107" s="3">
        <v>2009.0</v>
      </c>
      <c r="C107" s="3">
        <v>2.345294875E9</v>
      </c>
      <c r="D107" s="3">
        <v>-8.157763215</v>
      </c>
      <c r="E107" s="3">
        <v>6719.330257</v>
      </c>
      <c r="F107" s="3">
        <v>11.697</v>
      </c>
      <c r="G107" s="3">
        <v>4.530176591</v>
      </c>
      <c r="H107" s="3">
        <v>6.735340125</v>
      </c>
      <c r="I107" s="4"/>
      <c r="J107" s="3">
        <v>38.4</v>
      </c>
      <c r="K107" s="3">
        <v>349037.0</v>
      </c>
      <c r="L107" s="3">
        <v>3.544224471</v>
      </c>
      <c r="M107" s="3">
        <v>3.8</v>
      </c>
      <c r="N107" s="3">
        <v>77.069</v>
      </c>
      <c r="O107" s="3">
        <v>12.8</v>
      </c>
      <c r="P107" s="2" t="s">
        <v>34</v>
      </c>
      <c r="Q107" s="3">
        <v>104.6865768</v>
      </c>
      <c r="R107" s="3">
        <v>36.021</v>
      </c>
      <c r="S107" s="3">
        <v>99.9</v>
      </c>
      <c r="T107" s="3">
        <v>96.94978433</v>
      </c>
      <c r="U107" s="3">
        <v>86.58907527</v>
      </c>
      <c r="V107" s="3">
        <v>2.925477815</v>
      </c>
      <c r="W107" s="3">
        <v>14.19485865</v>
      </c>
      <c r="X107" s="3">
        <v>1.5</v>
      </c>
      <c r="Y107" s="3">
        <v>2.733333333</v>
      </c>
      <c r="Z107" s="3">
        <v>28.7081337</v>
      </c>
      <c r="AA107" s="3">
        <v>-0.229707628</v>
      </c>
      <c r="AB107" s="3">
        <v>-0.38104254</v>
      </c>
      <c r="AC107" s="3">
        <v>-0.151592925</v>
      </c>
      <c r="AD107" s="3">
        <v>-0.048458017</v>
      </c>
      <c r="AE107" s="3">
        <v>24.8</v>
      </c>
      <c r="AF107" s="2" t="s">
        <v>34</v>
      </c>
      <c r="AG107" s="2" t="s">
        <v>34</v>
      </c>
    </row>
    <row r="108">
      <c r="A108" s="2" t="s">
        <v>38</v>
      </c>
      <c r="B108" s="3">
        <v>2010.0</v>
      </c>
      <c r="C108" s="3">
        <v>2.588176055E9</v>
      </c>
      <c r="D108" s="3">
        <v>6.835471356</v>
      </c>
      <c r="E108" s="3">
        <v>7158.061411</v>
      </c>
      <c r="F108" s="3">
        <v>10.851</v>
      </c>
      <c r="G108" s="3">
        <v>6.149885368</v>
      </c>
      <c r="H108" s="3">
        <v>8.363764331</v>
      </c>
      <c r="I108" s="4"/>
      <c r="J108" s="4"/>
      <c r="K108" s="3">
        <v>361575.0</v>
      </c>
      <c r="L108" s="3">
        <v>3.529155518</v>
      </c>
      <c r="M108" s="2" t="s">
        <v>34</v>
      </c>
      <c r="N108" s="3">
        <v>77.657</v>
      </c>
      <c r="O108" s="3">
        <v>11.9</v>
      </c>
      <c r="P108" s="2" t="s">
        <v>34</v>
      </c>
      <c r="Q108" s="3">
        <v>102.2071183</v>
      </c>
      <c r="R108" s="3">
        <v>36.434</v>
      </c>
      <c r="S108" s="3">
        <v>99.0</v>
      </c>
      <c r="T108" s="3">
        <v>97.26817969</v>
      </c>
      <c r="U108" s="3">
        <v>87.83941977</v>
      </c>
      <c r="V108" s="3">
        <v>2.963700477</v>
      </c>
      <c r="W108" s="3">
        <v>13.45283633</v>
      </c>
      <c r="X108" s="3">
        <v>1.4</v>
      </c>
      <c r="Y108" s="3">
        <v>2.733333333</v>
      </c>
      <c r="Z108" s="3">
        <v>36.66666794</v>
      </c>
      <c r="AA108" s="3">
        <v>-0.166243851</v>
      </c>
      <c r="AB108" s="3">
        <v>-0.38403827</v>
      </c>
      <c r="AC108" s="3">
        <v>-0.319186181</v>
      </c>
      <c r="AD108" s="3">
        <v>-0.062693395</v>
      </c>
      <c r="AE108" s="3">
        <v>26.53</v>
      </c>
      <c r="AF108" s="2" t="s">
        <v>34</v>
      </c>
      <c r="AG108" s="2" t="s">
        <v>34</v>
      </c>
    </row>
    <row r="109">
      <c r="A109" s="2" t="s">
        <v>38</v>
      </c>
      <c r="B109" s="3">
        <v>2011.0</v>
      </c>
      <c r="C109" s="3">
        <v>2.77435024E9</v>
      </c>
      <c r="D109" s="3">
        <v>8.572699128</v>
      </c>
      <c r="E109" s="3">
        <v>7409.331909</v>
      </c>
      <c r="F109" s="3">
        <v>10.01</v>
      </c>
      <c r="G109" s="3">
        <v>11.27341461</v>
      </c>
      <c r="H109" s="3">
        <v>15.26594075</v>
      </c>
      <c r="I109" s="4"/>
      <c r="J109" s="4"/>
      <c r="K109" s="3">
        <v>374440.0</v>
      </c>
      <c r="L109" s="3">
        <v>3.496208754</v>
      </c>
      <c r="M109" s="2" t="s">
        <v>34</v>
      </c>
      <c r="N109" s="3">
        <v>78.124</v>
      </c>
      <c r="O109" s="3">
        <v>11.2</v>
      </c>
      <c r="P109" s="2" t="s">
        <v>34</v>
      </c>
      <c r="Q109" s="3">
        <v>100.4849151</v>
      </c>
      <c r="R109" s="3">
        <v>36.849</v>
      </c>
      <c r="S109" s="3">
        <v>99.1</v>
      </c>
      <c r="T109" s="3">
        <v>97.58354875</v>
      </c>
      <c r="U109" s="3">
        <v>89.08443083</v>
      </c>
      <c r="V109" s="3">
        <v>3.119057793</v>
      </c>
      <c r="W109" s="3">
        <v>12.07395543</v>
      </c>
      <c r="X109" s="3">
        <v>1.3</v>
      </c>
      <c r="Y109" s="3">
        <v>2.733333333</v>
      </c>
      <c r="Z109" s="3">
        <v>35.0710907</v>
      </c>
      <c r="AA109" s="3">
        <v>-0.242630184</v>
      </c>
      <c r="AB109" s="3">
        <v>-0.38474986</v>
      </c>
      <c r="AC109" s="3">
        <v>-0.542268932</v>
      </c>
      <c r="AD109" s="3">
        <v>-0.156640366</v>
      </c>
      <c r="AE109" s="3">
        <v>34.0</v>
      </c>
      <c r="AF109" s="2" t="s">
        <v>34</v>
      </c>
      <c r="AG109" s="2" t="s">
        <v>34</v>
      </c>
    </row>
    <row r="110">
      <c r="A110" s="2" t="s">
        <v>38</v>
      </c>
      <c r="B110" s="3">
        <v>2012.0</v>
      </c>
      <c r="C110" s="3">
        <v>2.886163997E9</v>
      </c>
      <c r="D110" s="3">
        <v>2.363747489</v>
      </c>
      <c r="E110" s="3">
        <v>7447.415608</v>
      </c>
      <c r="F110" s="3">
        <v>9.142</v>
      </c>
      <c r="G110" s="3">
        <v>10.88469566</v>
      </c>
      <c r="H110" s="3">
        <v>7.898957472</v>
      </c>
      <c r="I110" s="4"/>
      <c r="J110" s="4"/>
      <c r="K110" s="3">
        <v>387539.0</v>
      </c>
      <c r="L110" s="3">
        <v>3.438491239</v>
      </c>
      <c r="M110" s="2" t="s">
        <v>34</v>
      </c>
      <c r="N110" s="3">
        <v>78.682</v>
      </c>
      <c r="O110" s="3">
        <v>10.4</v>
      </c>
      <c r="P110" s="2" t="s">
        <v>34</v>
      </c>
      <c r="Q110" s="3">
        <v>97.55838909</v>
      </c>
      <c r="R110" s="3">
        <v>37.267</v>
      </c>
      <c r="S110" s="3">
        <v>99.2</v>
      </c>
      <c r="T110" s="3">
        <v>97.8958735</v>
      </c>
      <c r="U110" s="3">
        <v>90.32412361</v>
      </c>
      <c r="V110" s="3">
        <v>3.791102315</v>
      </c>
      <c r="W110" s="3">
        <v>12.9660176</v>
      </c>
      <c r="X110" s="3">
        <v>1.2</v>
      </c>
      <c r="Y110" s="3">
        <v>2.733333333</v>
      </c>
      <c r="Z110" s="3">
        <v>27.96208572</v>
      </c>
      <c r="AA110" s="3">
        <v>-0.365171462</v>
      </c>
      <c r="AB110" s="3">
        <v>-0.401814729</v>
      </c>
      <c r="AC110" s="3">
        <v>-0.544501007</v>
      </c>
      <c r="AD110" s="3">
        <v>-0.468655318</v>
      </c>
      <c r="AE110" s="3">
        <v>38.9301</v>
      </c>
      <c r="AF110" s="2" t="s">
        <v>34</v>
      </c>
      <c r="AG110" s="2" t="s">
        <v>34</v>
      </c>
    </row>
    <row r="111">
      <c r="A111" s="2" t="s">
        <v>38</v>
      </c>
      <c r="B111" s="3">
        <v>2013.0</v>
      </c>
      <c r="C111" s="3">
        <v>3.295009238E9</v>
      </c>
      <c r="D111" s="3">
        <v>6.963246632</v>
      </c>
      <c r="E111" s="3">
        <v>8222.558038</v>
      </c>
      <c r="F111" s="3">
        <v>8.298</v>
      </c>
      <c r="G111" s="3">
        <v>3.805630009</v>
      </c>
      <c r="H111" s="3">
        <v>10.95038922</v>
      </c>
      <c r="I111" s="4"/>
      <c r="J111" s="4"/>
      <c r="K111" s="3">
        <v>400728.0</v>
      </c>
      <c r="L111" s="3">
        <v>3.346640402</v>
      </c>
      <c r="M111" s="2" t="s">
        <v>34</v>
      </c>
      <c r="N111" s="3">
        <v>79.057</v>
      </c>
      <c r="O111" s="3">
        <v>9.7</v>
      </c>
      <c r="P111" s="2" t="s">
        <v>34</v>
      </c>
      <c r="Q111" s="3">
        <v>95.74953609</v>
      </c>
      <c r="R111" s="3">
        <v>37.685</v>
      </c>
      <c r="S111" s="3">
        <v>99.4</v>
      </c>
      <c r="T111" s="3">
        <v>98.20509988</v>
      </c>
      <c r="U111" s="3">
        <v>91.55806361</v>
      </c>
      <c r="V111" s="3">
        <v>4.088558823</v>
      </c>
      <c r="W111" s="3">
        <v>13.24011392</v>
      </c>
      <c r="X111" s="3">
        <v>1.3</v>
      </c>
      <c r="Y111" s="3">
        <v>2.733333333</v>
      </c>
      <c r="Z111" s="3">
        <v>25.11848259</v>
      </c>
      <c r="AA111" s="3">
        <v>0.125037372</v>
      </c>
      <c r="AB111" s="3">
        <v>-0.457175404</v>
      </c>
      <c r="AC111" s="3">
        <v>-0.748006761</v>
      </c>
      <c r="AD111" s="3">
        <v>-0.459633738</v>
      </c>
      <c r="AE111" s="3">
        <v>44.1</v>
      </c>
      <c r="AF111" s="2" t="s">
        <v>34</v>
      </c>
      <c r="AG111" s="2" t="s">
        <v>34</v>
      </c>
    </row>
    <row r="112">
      <c r="A112" s="2" t="s">
        <v>38</v>
      </c>
      <c r="B112" s="3">
        <v>2014.0</v>
      </c>
      <c r="C112" s="3">
        <v>3.697353039E9</v>
      </c>
      <c r="D112" s="3">
        <v>7.801094807</v>
      </c>
      <c r="E112" s="3">
        <v>8872.128386</v>
      </c>
      <c r="F112" s="3">
        <v>7.461</v>
      </c>
      <c r="G112" s="3">
        <v>2.120001757</v>
      </c>
      <c r="H112" s="3">
        <v>9.016591451</v>
      </c>
      <c r="I112" s="4"/>
      <c r="J112" s="4"/>
      <c r="K112" s="3">
        <v>416738.0</v>
      </c>
      <c r="L112" s="3">
        <v>3.917483406</v>
      </c>
      <c r="M112" s="2" t="s">
        <v>34</v>
      </c>
      <c r="N112" s="3">
        <v>79.424</v>
      </c>
      <c r="O112" s="3">
        <v>9.0</v>
      </c>
      <c r="P112" s="3">
        <v>99.0</v>
      </c>
      <c r="Q112" s="3">
        <v>96.80260293</v>
      </c>
      <c r="R112" s="3">
        <v>38.106</v>
      </c>
      <c r="S112" s="3">
        <v>100.0</v>
      </c>
      <c r="T112" s="3">
        <v>98.51123658</v>
      </c>
      <c r="U112" s="3">
        <v>92.78649863</v>
      </c>
      <c r="V112" s="3">
        <v>5.323968537</v>
      </c>
      <c r="W112" s="3">
        <v>11.72584273</v>
      </c>
      <c r="X112" s="3">
        <v>1.2</v>
      </c>
      <c r="Y112" s="3">
        <v>2.733333333</v>
      </c>
      <c r="Z112" s="3">
        <v>44.71154022</v>
      </c>
      <c r="AA112" s="3">
        <v>0.679096162</v>
      </c>
      <c r="AB112" s="3">
        <v>-0.374468446</v>
      </c>
      <c r="AC112" s="3">
        <v>-0.520292759</v>
      </c>
      <c r="AD112" s="3">
        <v>-0.372204363</v>
      </c>
      <c r="AE112" s="3">
        <v>49.28</v>
      </c>
      <c r="AF112" s="2" t="s">
        <v>34</v>
      </c>
      <c r="AG112" s="2" t="s">
        <v>34</v>
      </c>
    </row>
    <row r="113">
      <c r="A113" s="2" t="s">
        <v>38</v>
      </c>
      <c r="B113" s="3">
        <v>2015.0</v>
      </c>
      <c r="C113" s="3">
        <v>4.129505319E9</v>
      </c>
      <c r="D113" s="3">
        <v>3.971715703</v>
      </c>
      <c r="E113" s="3">
        <v>9480.431513</v>
      </c>
      <c r="F113" s="3">
        <v>6.612</v>
      </c>
      <c r="G113" s="3">
        <v>0.953206659</v>
      </c>
      <c r="H113" s="3">
        <v>7.215779382</v>
      </c>
      <c r="I113" s="4"/>
      <c r="J113" s="4"/>
      <c r="K113" s="3">
        <v>435582.0</v>
      </c>
      <c r="L113" s="3">
        <v>4.422534092</v>
      </c>
      <c r="M113" s="2" t="s">
        <v>34</v>
      </c>
      <c r="N113" s="3">
        <v>79.695</v>
      </c>
      <c r="O113" s="3">
        <v>8.4</v>
      </c>
      <c r="P113" s="2" t="s">
        <v>34</v>
      </c>
      <c r="Q113" s="3">
        <v>99.01308833</v>
      </c>
      <c r="R113" s="3">
        <v>38.529</v>
      </c>
      <c r="S113" s="3">
        <v>99.8</v>
      </c>
      <c r="T113" s="3">
        <v>98.8142446</v>
      </c>
      <c r="U113" s="3">
        <v>93.97349261</v>
      </c>
      <c r="V113" s="3">
        <v>3.740283115</v>
      </c>
      <c r="W113" s="3">
        <v>10.80856143</v>
      </c>
      <c r="X113" s="3">
        <v>1.5</v>
      </c>
      <c r="Y113" s="3">
        <v>2.733333333</v>
      </c>
      <c r="Z113" s="3">
        <v>38.57143021</v>
      </c>
      <c r="AA113" s="3">
        <v>0.411403716</v>
      </c>
      <c r="AB113" s="3">
        <v>-0.432607949</v>
      </c>
      <c r="AC113" s="3">
        <v>-0.587077856</v>
      </c>
      <c r="AD113" s="3">
        <v>-0.517903209</v>
      </c>
      <c r="AE113" s="3">
        <v>54.462</v>
      </c>
      <c r="AF113" s="2" t="s">
        <v>34</v>
      </c>
      <c r="AG113" s="2" t="s">
        <v>34</v>
      </c>
    </row>
    <row r="114">
      <c r="A114" s="2" t="s">
        <v>38</v>
      </c>
      <c r="B114" s="3">
        <v>2016.0</v>
      </c>
      <c r="C114" s="3">
        <v>4.409942624E9</v>
      </c>
      <c r="D114" s="3">
        <v>6.572236066</v>
      </c>
      <c r="E114" s="3">
        <v>9708.141349</v>
      </c>
      <c r="F114" s="3">
        <v>5.77</v>
      </c>
      <c r="G114" s="3">
        <v>0.502509414</v>
      </c>
      <c r="H114" s="3">
        <v>10.35476187</v>
      </c>
      <c r="I114" s="4"/>
      <c r="J114" s="3">
        <v>31.3</v>
      </c>
      <c r="K114" s="3">
        <v>454252.0</v>
      </c>
      <c r="L114" s="3">
        <v>4.196904224</v>
      </c>
      <c r="M114" s="3">
        <v>0.0</v>
      </c>
      <c r="N114" s="3">
        <v>79.872</v>
      </c>
      <c r="O114" s="3">
        <v>7.7</v>
      </c>
      <c r="P114" s="3">
        <v>98.0</v>
      </c>
      <c r="Q114" s="3">
        <v>98.10444614</v>
      </c>
      <c r="R114" s="3">
        <v>38.954</v>
      </c>
      <c r="S114" s="3">
        <v>100.0</v>
      </c>
      <c r="T114" s="3">
        <v>99.11409292</v>
      </c>
      <c r="U114" s="3">
        <v>95.06128905</v>
      </c>
      <c r="V114" s="3">
        <v>3.909724118</v>
      </c>
      <c r="W114" s="3">
        <v>12.37548719</v>
      </c>
      <c r="X114" s="3">
        <v>1.2</v>
      </c>
      <c r="Y114" s="3">
        <v>2.733333333</v>
      </c>
      <c r="Z114" s="3">
        <v>31.4285717</v>
      </c>
      <c r="AA114" s="3">
        <v>0.408033192</v>
      </c>
      <c r="AB114" s="3">
        <v>-0.495872647</v>
      </c>
      <c r="AC114" s="3">
        <v>-0.394261837</v>
      </c>
      <c r="AD114" s="3">
        <v>-0.732977569</v>
      </c>
      <c r="AE114" s="3">
        <v>59.5</v>
      </c>
      <c r="AF114" s="2" t="s">
        <v>34</v>
      </c>
      <c r="AG114" s="3">
        <v>0.025307379</v>
      </c>
    </row>
    <row r="115">
      <c r="A115" s="2" t="s">
        <v>38</v>
      </c>
      <c r="B115" s="3">
        <v>2017.0</v>
      </c>
      <c r="C115" s="3">
        <v>4.816426257E9</v>
      </c>
      <c r="D115" s="3">
        <v>7.054539014</v>
      </c>
      <c r="E115" s="3">
        <v>10194.74614</v>
      </c>
      <c r="F115" s="3">
        <v>5.376</v>
      </c>
      <c r="G115" s="3">
        <v>2.817473382</v>
      </c>
      <c r="H115" s="3">
        <v>9.505145292</v>
      </c>
      <c r="I115" s="4"/>
      <c r="J115" s="4"/>
      <c r="K115" s="3">
        <v>472442.0</v>
      </c>
      <c r="L115" s="3">
        <v>3.926287795</v>
      </c>
      <c r="M115" s="2" t="s">
        <v>34</v>
      </c>
      <c r="N115" s="3">
        <v>79.943</v>
      </c>
      <c r="O115" s="3">
        <v>7.1</v>
      </c>
      <c r="P115" s="3">
        <v>94.50550842</v>
      </c>
      <c r="Q115" s="3">
        <v>96.94364239</v>
      </c>
      <c r="R115" s="3">
        <v>39.38</v>
      </c>
      <c r="S115" s="3">
        <v>99.8</v>
      </c>
      <c r="T115" s="3">
        <v>99.41077592</v>
      </c>
      <c r="U115" s="3">
        <v>96.13976183</v>
      </c>
      <c r="V115" s="3">
        <v>3.967047807</v>
      </c>
      <c r="W115" s="3">
        <v>11.33337061</v>
      </c>
      <c r="X115" s="3">
        <v>1.3</v>
      </c>
      <c r="Y115" s="3">
        <v>2.733333333</v>
      </c>
      <c r="Z115" s="3">
        <v>22.38095284</v>
      </c>
      <c r="AA115" s="3">
        <v>0.224531189</v>
      </c>
      <c r="AB115" s="3">
        <v>-0.437854588</v>
      </c>
      <c r="AC115" s="3">
        <v>-0.63834554</v>
      </c>
      <c r="AD115" s="3">
        <v>-0.741155207</v>
      </c>
      <c r="AE115" s="3">
        <v>65.0</v>
      </c>
      <c r="AF115" s="2" t="s">
        <v>34</v>
      </c>
      <c r="AG115" s="3">
        <v>0.14397589</v>
      </c>
    </row>
    <row r="116">
      <c r="A116" s="2" t="s">
        <v>38</v>
      </c>
      <c r="B116" s="3">
        <v>2018.0</v>
      </c>
      <c r="C116" s="3">
        <v>5.404344163E9</v>
      </c>
      <c r="D116" s="3">
        <v>8.668006242</v>
      </c>
      <c r="E116" s="3">
        <v>11034.7236</v>
      </c>
      <c r="F116" s="3">
        <v>4.959</v>
      </c>
      <c r="G116" s="3">
        <v>-0.133373386</v>
      </c>
      <c r="H116" s="3">
        <v>10.65176478</v>
      </c>
      <c r="I116" s="4"/>
      <c r="J116" s="4"/>
      <c r="K116" s="3">
        <v>489758.0</v>
      </c>
      <c r="L116" s="3">
        <v>3.599640348</v>
      </c>
      <c r="M116" s="2" t="s">
        <v>34</v>
      </c>
      <c r="N116" s="3">
        <v>80.013</v>
      </c>
      <c r="O116" s="3">
        <v>6.5</v>
      </c>
      <c r="P116" s="2" t="s">
        <v>34</v>
      </c>
      <c r="Q116" s="3">
        <v>96.58923605</v>
      </c>
      <c r="R116" s="3">
        <v>39.808</v>
      </c>
      <c r="S116" s="3">
        <v>100.0</v>
      </c>
      <c r="T116" s="3">
        <v>99.49723018</v>
      </c>
      <c r="U116" s="3">
        <v>97.20885134</v>
      </c>
      <c r="V116" s="3">
        <v>4.385022807</v>
      </c>
      <c r="W116" s="3">
        <v>12.50346193</v>
      </c>
      <c r="X116" s="3">
        <v>1.3</v>
      </c>
      <c r="Y116" s="3">
        <v>2.733333333</v>
      </c>
      <c r="Z116" s="3">
        <v>18.09523773</v>
      </c>
      <c r="AA116" s="3">
        <v>0.082971118</v>
      </c>
      <c r="AB116" s="3">
        <v>-0.531163573</v>
      </c>
      <c r="AC116" s="3">
        <v>-0.55726546</v>
      </c>
      <c r="AD116" s="3">
        <v>-0.675655544</v>
      </c>
      <c r="AE116" s="3">
        <v>70.9</v>
      </c>
      <c r="AF116" s="2" t="s">
        <v>34</v>
      </c>
      <c r="AG116" s="2" t="s">
        <v>34</v>
      </c>
    </row>
    <row r="117">
      <c r="A117" s="2" t="s">
        <v>38</v>
      </c>
      <c r="B117" s="3">
        <v>2019.0</v>
      </c>
      <c r="C117" s="3">
        <v>5.726094799E9</v>
      </c>
      <c r="D117" s="3">
        <v>7.298335745</v>
      </c>
      <c r="E117" s="3">
        <v>11349.85927</v>
      </c>
      <c r="F117" s="3">
        <v>4.562</v>
      </c>
      <c r="G117" s="3">
        <v>0.220029731</v>
      </c>
      <c r="H117" s="3">
        <v>16.78347284</v>
      </c>
      <c r="I117" s="4"/>
      <c r="J117" s="3">
        <v>29.3</v>
      </c>
      <c r="K117" s="3">
        <v>504508.0</v>
      </c>
      <c r="L117" s="3">
        <v>2.96723054</v>
      </c>
      <c r="M117" s="3">
        <v>0.0</v>
      </c>
      <c r="N117" s="3">
        <v>80.116</v>
      </c>
      <c r="O117" s="3">
        <v>6.0</v>
      </c>
      <c r="P117" s="3">
        <v>98.21186066</v>
      </c>
      <c r="Q117" s="3">
        <v>97.12785002</v>
      </c>
      <c r="R117" s="3">
        <v>40.238</v>
      </c>
      <c r="S117" s="3">
        <v>100.0</v>
      </c>
      <c r="T117" s="3">
        <v>99.52720781</v>
      </c>
      <c r="U117" s="3">
        <v>98.26842792</v>
      </c>
      <c r="V117" s="3">
        <v>5.023706264</v>
      </c>
      <c r="W117" s="3">
        <v>12.31398191</v>
      </c>
      <c r="X117" s="3">
        <v>1.3</v>
      </c>
      <c r="Y117" s="3">
        <v>2.733333333</v>
      </c>
      <c r="Z117" s="3">
        <v>46.66666794</v>
      </c>
      <c r="AA117" s="3">
        <v>0.027608531</v>
      </c>
      <c r="AB117" s="3">
        <v>-0.551773667</v>
      </c>
      <c r="AC117" s="3">
        <v>-0.411952257</v>
      </c>
      <c r="AD117" s="3">
        <v>-0.463619083</v>
      </c>
      <c r="AE117" s="3">
        <v>77.4697</v>
      </c>
      <c r="AF117" s="2" t="s">
        <v>34</v>
      </c>
      <c r="AG117" s="2" t="s">
        <v>34</v>
      </c>
    </row>
    <row r="118">
      <c r="A118" s="2" t="s">
        <v>38</v>
      </c>
      <c r="B118" s="3">
        <v>2020.0</v>
      </c>
      <c r="C118" s="3">
        <v>3.712604583E9</v>
      </c>
      <c r="D118" s="3">
        <v>-32.90882878</v>
      </c>
      <c r="E118" s="3">
        <v>7216.816377</v>
      </c>
      <c r="F118" s="3">
        <v>5.404</v>
      </c>
      <c r="G118" s="3">
        <v>-1.369774256</v>
      </c>
      <c r="H118" s="3">
        <v>11.87068807</v>
      </c>
      <c r="I118" s="4"/>
      <c r="J118" s="4"/>
      <c r="K118" s="3">
        <v>514438.0</v>
      </c>
      <c r="L118" s="3">
        <v>1.949134572</v>
      </c>
      <c r="M118" s="2" t="s">
        <v>34</v>
      </c>
      <c r="N118" s="3">
        <v>79.875</v>
      </c>
      <c r="O118" s="3">
        <v>5.5</v>
      </c>
      <c r="P118" s="2" t="s">
        <v>34</v>
      </c>
      <c r="Q118" s="3">
        <v>97.83045016</v>
      </c>
      <c r="R118" s="3">
        <v>40.669</v>
      </c>
      <c r="S118" s="3">
        <v>100.0</v>
      </c>
      <c r="T118" s="3">
        <v>99.54444506</v>
      </c>
      <c r="U118" s="3">
        <v>99.15534209</v>
      </c>
      <c r="V118" s="3">
        <v>3.982598486</v>
      </c>
      <c r="W118" s="3">
        <v>12.01239117</v>
      </c>
      <c r="X118" s="3">
        <v>1.6</v>
      </c>
      <c r="Y118" s="3">
        <v>2.733333333</v>
      </c>
      <c r="Z118" s="3">
        <v>43.33333206</v>
      </c>
      <c r="AA118" s="3">
        <v>0.362981379</v>
      </c>
      <c r="AB118" s="3">
        <v>-0.588554084</v>
      </c>
      <c r="AC118" s="3">
        <v>-0.303693801</v>
      </c>
      <c r="AD118" s="3">
        <v>-0.323318839</v>
      </c>
      <c r="AE118" s="3">
        <v>79.0978</v>
      </c>
      <c r="AF118" s="2" t="s">
        <v>34</v>
      </c>
      <c r="AG118" s="2" t="s">
        <v>34</v>
      </c>
    </row>
    <row r="119">
      <c r="A119" s="2" t="s">
        <v>38</v>
      </c>
      <c r="B119" s="3">
        <v>2021.0</v>
      </c>
      <c r="C119" s="3">
        <v>5.254366312E9</v>
      </c>
      <c r="D119" s="3">
        <v>37.68719229</v>
      </c>
      <c r="E119" s="3">
        <v>10076.31753</v>
      </c>
      <c r="F119" s="3">
        <v>5.021</v>
      </c>
      <c r="G119" s="3">
        <v>0.543149689</v>
      </c>
      <c r="H119" s="3">
        <v>12.23421961</v>
      </c>
      <c r="I119" s="4"/>
      <c r="J119" s="4"/>
      <c r="K119" s="3">
        <v>521457.0</v>
      </c>
      <c r="L119" s="3">
        <v>1.355177392</v>
      </c>
      <c r="M119" s="2" t="s">
        <v>34</v>
      </c>
      <c r="N119" s="3">
        <v>79.918</v>
      </c>
      <c r="O119" s="3">
        <v>5.1</v>
      </c>
      <c r="P119" s="3">
        <v>97.86000061</v>
      </c>
      <c r="Q119" s="2" t="s">
        <v>34</v>
      </c>
      <c r="R119" s="3">
        <v>41.102</v>
      </c>
      <c r="S119" s="3">
        <v>100.0</v>
      </c>
      <c r="T119" s="3">
        <v>99.56211426</v>
      </c>
      <c r="U119" s="3">
        <v>99.70015787</v>
      </c>
      <c r="V119" s="3">
        <v>4.087010051</v>
      </c>
      <c r="W119" s="2" t="s">
        <v>34</v>
      </c>
      <c r="X119" s="3">
        <v>1.4</v>
      </c>
      <c r="Y119" s="3">
        <v>2.733333333</v>
      </c>
      <c r="Z119" s="3">
        <v>41.42856979</v>
      </c>
      <c r="AA119" s="3">
        <v>0.534778357</v>
      </c>
      <c r="AB119" s="3">
        <v>-0.613875866</v>
      </c>
      <c r="AC119" s="3">
        <v>-0.186269343</v>
      </c>
      <c r="AD119" s="3">
        <v>-0.229317337</v>
      </c>
      <c r="AE119" s="3">
        <v>85.2343</v>
      </c>
      <c r="AF119" s="2" t="s">
        <v>34</v>
      </c>
      <c r="AG119" s="3">
        <v>2.011251894</v>
      </c>
    </row>
    <row r="120">
      <c r="A120" s="2" t="s">
        <v>38</v>
      </c>
      <c r="B120" s="3">
        <v>2022.0</v>
      </c>
      <c r="C120" s="3">
        <v>6.170638746E9</v>
      </c>
      <c r="D120" s="3">
        <v>13.90667638</v>
      </c>
      <c r="E120" s="3">
        <v>11780.81691</v>
      </c>
      <c r="F120" s="3">
        <v>4.424</v>
      </c>
      <c r="G120" s="3">
        <v>2.333143376</v>
      </c>
      <c r="H120" s="3">
        <v>11.86630965</v>
      </c>
      <c r="I120" s="4"/>
      <c r="J120" s="4"/>
      <c r="K120" s="3">
        <v>523787.0</v>
      </c>
      <c r="L120" s="3">
        <v>0.445829655</v>
      </c>
      <c r="M120" s="2" t="s">
        <v>34</v>
      </c>
      <c r="N120" s="3">
        <v>80.839</v>
      </c>
      <c r="O120" s="3">
        <v>4.8</v>
      </c>
      <c r="P120" s="2" t="s">
        <v>34</v>
      </c>
      <c r="Q120" s="3">
        <v>95.36725825</v>
      </c>
      <c r="R120" s="3">
        <v>41.536</v>
      </c>
      <c r="S120" s="3">
        <v>100.0</v>
      </c>
      <c r="T120" s="3">
        <v>99.55834608</v>
      </c>
      <c r="U120" s="3">
        <v>99.70053886</v>
      </c>
      <c r="V120" s="3">
        <v>4.164097238</v>
      </c>
      <c r="W120" s="2" t="s">
        <v>34</v>
      </c>
      <c r="X120" s="3">
        <v>1.2</v>
      </c>
      <c r="Y120" s="2" t="s">
        <v>34</v>
      </c>
      <c r="Z120" s="3">
        <v>39.62264252</v>
      </c>
      <c r="AA120" s="3">
        <v>0.667752326</v>
      </c>
      <c r="AB120" s="3">
        <v>-0.657294631</v>
      </c>
      <c r="AC120" s="3">
        <v>-0.027355907</v>
      </c>
      <c r="AD120" s="3">
        <v>-0.243848056</v>
      </c>
      <c r="AE120" s="3">
        <v>83.9119</v>
      </c>
      <c r="AF120" s="2" t="s">
        <v>34</v>
      </c>
      <c r="AG120" s="3">
        <v>4.096414731</v>
      </c>
    </row>
    <row r="121">
      <c r="A121" s="2" t="s">
        <v>38</v>
      </c>
      <c r="B121" s="3">
        <v>2023.0</v>
      </c>
      <c r="C121" s="3">
        <v>6.6E9</v>
      </c>
      <c r="D121" s="3">
        <v>3.972795846</v>
      </c>
      <c r="E121" s="3">
        <v>12667.43567</v>
      </c>
      <c r="F121" s="3">
        <v>4.127</v>
      </c>
      <c r="G121" s="3">
        <v>2.927465424</v>
      </c>
      <c r="H121" s="3">
        <v>11.53812401</v>
      </c>
      <c r="I121" s="4"/>
      <c r="J121" s="4"/>
      <c r="K121" s="3">
        <v>521021.0</v>
      </c>
      <c r="L121" s="3">
        <v>-0.529476509</v>
      </c>
      <c r="M121" s="2" t="s">
        <v>34</v>
      </c>
      <c r="N121" s="2" t="s">
        <v>34</v>
      </c>
      <c r="O121" s="2" t="s">
        <v>34</v>
      </c>
      <c r="P121" s="2" t="s">
        <v>34</v>
      </c>
      <c r="Q121" s="3">
        <v>97.54308686</v>
      </c>
      <c r="R121" s="3">
        <v>41.971</v>
      </c>
      <c r="S121" s="2" t="s">
        <v>34</v>
      </c>
      <c r="T121" s="2" t="s">
        <v>34</v>
      </c>
      <c r="U121" s="2" t="s">
        <v>34</v>
      </c>
      <c r="V121" s="2" t="s">
        <v>34</v>
      </c>
      <c r="W121" s="2" t="s">
        <v>34</v>
      </c>
      <c r="X121" s="2" t="s">
        <v>34</v>
      </c>
      <c r="Y121" s="2" t="s">
        <v>34</v>
      </c>
      <c r="Z121" s="2" t="s">
        <v>34</v>
      </c>
      <c r="AA121" s="2" t="s">
        <v>34</v>
      </c>
      <c r="AB121" s="2" t="s">
        <v>34</v>
      </c>
      <c r="AC121" s="2" t="s">
        <v>34</v>
      </c>
      <c r="AD121" s="2" t="s">
        <v>34</v>
      </c>
      <c r="AE121" s="2" t="s">
        <v>34</v>
      </c>
      <c r="AF121" s="2" t="s">
        <v>34</v>
      </c>
      <c r="AG121" s="2" t="s">
        <v>34</v>
      </c>
    </row>
    <row r="122">
      <c r="A122" s="2" t="s">
        <v>39</v>
      </c>
      <c r="B122" s="3">
        <v>2000.0</v>
      </c>
      <c r="C122" s="3">
        <v>1.633081418E10</v>
      </c>
      <c r="D122" s="3">
        <v>6.000033158</v>
      </c>
      <c r="E122" s="3">
        <v>869.7534886</v>
      </c>
      <c r="F122" s="3">
        <v>7.74</v>
      </c>
      <c r="G122" s="3">
        <v>6.17627591</v>
      </c>
      <c r="H122" s="3">
        <v>1.05898829</v>
      </c>
      <c r="I122" s="3">
        <v>88.6364417</v>
      </c>
      <c r="J122" s="4"/>
      <c r="K122" s="3">
        <v>1.8776371E7</v>
      </c>
      <c r="L122" s="3">
        <v>0.565924638</v>
      </c>
      <c r="M122" s="2" t="s">
        <v>34</v>
      </c>
      <c r="N122" s="3">
        <v>70.355</v>
      </c>
      <c r="O122" s="3">
        <v>14.4</v>
      </c>
      <c r="P122" s="2" t="s">
        <v>34</v>
      </c>
      <c r="Q122" s="2" t="s">
        <v>34</v>
      </c>
      <c r="R122" s="3">
        <v>18.38</v>
      </c>
      <c r="S122" s="3">
        <v>70.3</v>
      </c>
      <c r="T122" s="3">
        <v>82.84719118</v>
      </c>
      <c r="U122" s="3">
        <v>76.7684659</v>
      </c>
      <c r="V122" s="3">
        <v>0.609745089</v>
      </c>
      <c r="W122" s="3">
        <v>26.65982245</v>
      </c>
      <c r="X122" s="3">
        <v>64.2</v>
      </c>
      <c r="Y122" s="3">
        <v>34.54664328</v>
      </c>
      <c r="Z122" s="3">
        <v>50.0</v>
      </c>
      <c r="AA122" s="3">
        <v>-1.904112697</v>
      </c>
      <c r="AB122" s="3">
        <v>0.158748269</v>
      </c>
      <c r="AC122" s="3">
        <v>0.159529582</v>
      </c>
      <c r="AD122" s="3">
        <v>-0.190723956</v>
      </c>
      <c r="AE122" s="3">
        <v>0.64741</v>
      </c>
      <c r="AF122" s="3">
        <v>0.143920004</v>
      </c>
      <c r="AG122" s="2" t="s">
        <v>34</v>
      </c>
    </row>
    <row r="123">
      <c r="A123" s="2" t="s">
        <v>39</v>
      </c>
      <c r="B123" s="3">
        <v>2001.0</v>
      </c>
      <c r="C123" s="3">
        <v>1.5749753805E10</v>
      </c>
      <c r="D123" s="3">
        <v>-1.545408134</v>
      </c>
      <c r="E123" s="3">
        <v>832.4273196</v>
      </c>
      <c r="F123" s="3">
        <v>7.9</v>
      </c>
      <c r="G123" s="3">
        <v>14.1584558</v>
      </c>
      <c r="H123" s="3">
        <v>1.090747209</v>
      </c>
      <c r="I123" s="3">
        <v>80.89860153</v>
      </c>
      <c r="J123" s="4"/>
      <c r="K123" s="3">
        <v>1.8920275E7</v>
      </c>
      <c r="L123" s="3">
        <v>0.763488078</v>
      </c>
      <c r="M123" s="2" t="s">
        <v>34</v>
      </c>
      <c r="N123" s="3">
        <v>70.787</v>
      </c>
      <c r="O123" s="3">
        <v>13.8</v>
      </c>
      <c r="P123" s="3">
        <v>91.0</v>
      </c>
      <c r="Q123" s="3">
        <v>104.3644638</v>
      </c>
      <c r="R123" s="3">
        <v>18.365</v>
      </c>
      <c r="S123" s="3">
        <v>63.6</v>
      </c>
      <c r="T123" s="3">
        <v>83.13201396</v>
      </c>
      <c r="U123" s="3">
        <v>77.56522868</v>
      </c>
      <c r="V123" s="3">
        <v>0.600213263</v>
      </c>
      <c r="W123" s="3">
        <v>26.72280951</v>
      </c>
      <c r="X123" s="3">
        <v>62.9</v>
      </c>
      <c r="Y123" s="3">
        <v>34.44649976</v>
      </c>
      <c r="Z123" s="2" t="s">
        <v>34</v>
      </c>
      <c r="AA123" s="2" t="s">
        <v>34</v>
      </c>
      <c r="AB123" s="2" t="s">
        <v>34</v>
      </c>
      <c r="AC123" s="2" t="s">
        <v>34</v>
      </c>
      <c r="AD123" s="2" t="s">
        <v>34</v>
      </c>
      <c r="AE123" s="3">
        <v>0.793822</v>
      </c>
      <c r="AF123" s="2" t="s">
        <v>34</v>
      </c>
      <c r="AG123" s="2" t="s">
        <v>34</v>
      </c>
    </row>
    <row r="124">
      <c r="A124" s="2" t="s">
        <v>39</v>
      </c>
      <c r="B124" s="3">
        <v>2002.0</v>
      </c>
      <c r="C124" s="3">
        <v>1.6536535647E10</v>
      </c>
      <c r="D124" s="3">
        <v>3.964675685</v>
      </c>
      <c r="E124" s="3">
        <v>865.3021391</v>
      </c>
      <c r="F124" s="3">
        <v>8.76</v>
      </c>
      <c r="G124" s="3">
        <v>9.55103167</v>
      </c>
      <c r="H124" s="3">
        <v>1.188277909</v>
      </c>
      <c r="I124" s="3">
        <v>76.33513178</v>
      </c>
      <c r="J124" s="3">
        <v>40.2</v>
      </c>
      <c r="K124" s="3">
        <v>1.9110707E7</v>
      </c>
      <c r="L124" s="3">
        <v>1.00146555</v>
      </c>
      <c r="M124" s="3">
        <v>11.0</v>
      </c>
      <c r="N124" s="3">
        <v>71.117</v>
      </c>
      <c r="O124" s="3">
        <v>13.4</v>
      </c>
      <c r="P124" s="2" t="s">
        <v>34</v>
      </c>
      <c r="Q124" s="3">
        <v>102.9921112</v>
      </c>
      <c r="R124" s="3">
        <v>18.349</v>
      </c>
      <c r="S124" s="3">
        <v>80.7</v>
      </c>
      <c r="T124" s="3">
        <v>83.42086603</v>
      </c>
      <c r="U124" s="3">
        <v>78.36539126</v>
      </c>
      <c r="V124" s="3">
        <v>0.621682913</v>
      </c>
      <c r="W124" s="3">
        <v>26.72066158</v>
      </c>
      <c r="X124" s="3">
        <v>62.1</v>
      </c>
      <c r="Y124" s="3">
        <v>34.34635624</v>
      </c>
      <c r="Z124" s="3">
        <v>50.26454926</v>
      </c>
      <c r="AA124" s="3">
        <v>-0.777628899</v>
      </c>
      <c r="AB124" s="3">
        <v>0.124769226</v>
      </c>
      <c r="AC124" s="3">
        <v>0.338851631</v>
      </c>
      <c r="AD124" s="3">
        <v>-0.088549092</v>
      </c>
      <c r="AE124" s="3">
        <v>1.05042</v>
      </c>
      <c r="AF124" s="2" t="s">
        <v>34</v>
      </c>
      <c r="AG124" s="2" t="s">
        <v>34</v>
      </c>
    </row>
    <row r="125">
      <c r="A125" s="2" t="s">
        <v>39</v>
      </c>
      <c r="B125" s="3">
        <v>2003.0</v>
      </c>
      <c r="C125" s="3">
        <v>1.8881765437E10</v>
      </c>
      <c r="D125" s="3">
        <v>5.940269078</v>
      </c>
      <c r="E125" s="3">
        <v>978.1686456</v>
      </c>
      <c r="F125" s="3">
        <v>8.22</v>
      </c>
      <c r="G125" s="3">
        <v>6.314637871</v>
      </c>
      <c r="H125" s="3">
        <v>1.211327409</v>
      </c>
      <c r="I125" s="3">
        <v>75.33624733</v>
      </c>
      <c r="J125" s="4"/>
      <c r="K125" s="3">
        <v>1.930318E7</v>
      </c>
      <c r="L125" s="3">
        <v>1.002109527</v>
      </c>
      <c r="M125" s="2" t="s">
        <v>34</v>
      </c>
      <c r="N125" s="3">
        <v>71.373</v>
      </c>
      <c r="O125" s="3">
        <v>13.0</v>
      </c>
      <c r="P125" s="2" t="s">
        <v>34</v>
      </c>
      <c r="Q125" s="3">
        <v>100.4747314</v>
      </c>
      <c r="R125" s="3">
        <v>18.334</v>
      </c>
      <c r="S125" s="3">
        <v>75.0</v>
      </c>
      <c r="T125" s="3">
        <v>83.70986532</v>
      </c>
      <c r="U125" s="3">
        <v>79.1689156</v>
      </c>
      <c r="V125" s="3">
        <v>0.665569093</v>
      </c>
      <c r="W125" s="3">
        <v>26.64635358</v>
      </c>
      <c r="X125" s="3">
        <v>61.3</v>
      </c>
      <c r="Y125" s="3">
        <v>34.24621273</v>
      </c>
      <c r="Z125" s="3">
        <v>47.61904907</v>
      </c>
      <c r="AA125" s="3">
        <v>-0.833158433</v>
      </c>
      <c r="AB125" s="3">
        <v>0.034730762</v>
      </c>
      <c r="AC125" s="3">
        <v>0.244941875</v>
      </c>
      <c r="AD125" s="3">
        <v>-0.092452683</v>
      </c>
      <c r="AE125" s="3">
        <v>1.45858</v>
      </c>
      <c r="AF125" s="2" t="s">
        <v>34</v>
      </c>
      <c r="AG125" s="2" t="s">
        <v>34</v>
      </c>
    </row>
    <row r="126">
      <c r="A126" s="2" t="s">
        <v>39</v>
      </c>
      <c r="B126" s="3">
        <v>2004.0</v>
      </c>
      <c r="C126" s="3">
        <v>2.0662525941E10</v>
      </c>
      <c r="D126" s="3">
        <v>5.445061279</v>
      </c>
      <c r="E126" s="3">
        <v>1060.136943</v>
      </c>
      <c r="F126" s="3">
        <v>8.38</v>
      </c>
      <c r="G126" s="3">
        <v>7.57592583</v>
      </c>
      <c r="H126" s="3">
        <v>1.126677351</v>
      </c>
      <c r="I126" s="3">
        <v>79.4829449</v>
      </c>
      <c r="J126" s="4"/>
      <c r="K126" s="3">
        <v>1.9490431E7</v>
      </c>
      <c r="L126" s="3">
        <v>0.9653778</v>
      </c>
      <c r="M126" s="2" t="s">
        <v>34</v>
      </c>
      <c r="N126" s="3">
        <v>67.091</v>
      </c>
      <c r="O126" s="3">
        <v>17.6</v>
      </c>
      <c r="P126" s="2" t="s">
        <v>34</v>
      </c>
      <c r="Q126" s="3">
        <v>96.01554108</v>
      </c>
      <c r="R126" s="3">
        <v>18.319</v>
      </c>
      <c r="S126" s="3">
        <v>76.5</v>
      </c>
      <c r="T126" s="3">
        <v>83.99888305</v>
      </c>
      <c r="U126" s="3">
        <v>79.97582616</v>
      </c>
      <c r="V126" s="3">
        <v>0.681195813</v>
      </c>
      <c r="W126" s="3">
        <v>26.49286042</v>
      </c>
      <c r="X126" s="3">
        <v>61.6</v>
      </c>
      <c r="Y126" s="3">
        <v>34.14606921</v>
      </c>
      <c r="Z126" s="3">
        <v>50.73891449</v>
      </c>
      <c r="AA126" s="3">
        <v>-1.010440588</v>
      </c>
      <c r="AB126" s="3">
        <v>-0.083361119</v>
      </c>
      <c r="AC126" s="3">
        <v>0.21113658</v>
      </c>
      <c r="AD126" s="3">
        <v>-0.164139301</v>
      </c>
      <c r="AE126" s="3">
        <v>1.44616</v>
      </c>
      <c r="AF126" s="3">
        <v>0.182099998</v>
      </c>
      <c r="AG126" s="2" t="s">
        <v>34</v>
      </c>
    </row>
    <row r="127">
      <c r="A127" s="2" t="s">
        <v>39</v>
      </c>
      <c r="B127" s="3">
        <v>2005.0</v>
      </c>
      <c r="C127" s="3">
        <v>2.4405791045E10</v>
      </c>
      <c r="D127" s="3">
        <v>6.241748044</v>
      </c>
      <c r="E127" s="3">
        <v>1240.518312</v>
      </c>
      <c r="F127" s="3">
        <v>7.67</v>
      </c>
      <c r="G127" s="3">
        <v>11.6396861</v>
      </c>
      <c r="H127" s="3">
        <v>1.116128543</v>
      </c>
      <c r="I127" s="3">
        <v>73.60397296</v>
      </c>
      <c r="J127" s="4"/>
      <c r="K127" s="3">
        <v>1.9673866E7</v>
      </c>
      <c r="L127" s="3">
        <v>0.936752887</v>
      </c>
      <c r="M127" s="2" t="s">
        <v>34</v>
      </c>
      <c r="N127" s="3">
        <v>72.118</v>
      </c>
      <c r="O127" s="3">
        <v>12.1</v>
      </c>
      <c r="P127" s="2" t="s">
        <v>34</v>
      </c>
      <c r="Q127" s="3">
        <v>98.10224152</v>
      </c>
      <c r="R127" s="3">
        <v>18.303</v>
      </c>
      <c r="S127" s="3">
        <v>78.1</v>
      </c>
      <c r="T127" s="3">
        <v>84.28778189</v>
      </c>
      <c r="U127" s="3">
        <v>80.78612958</v>
      </c>
      <c r="V127" s="3">
        <v>0.732880868</v>
      </c>
      <c r="W127" s="3">
        <v>26.25315698</v>
      </c>
      <c r="X127" s="3">
        <v>60.1</v>
      </c>
      <c r="Y127" s="3">
        <v>34.04592569</v>
      </c>
      <c r="Z127" s="3">
        <v>46.82926941</v>
      </c>
      <c r="AA127" s="3">
        <v>-1.152236819</v>
      </c>
      <c r="AB127" s="3">
        <v>-0.423394442</v>
      </c>
      <c r="AC127" s="3">
        <v>0.158469424</v>
      </c>
      <c r="AD127" s="3">
        <v>-0.206795961</v>
      </c>
      <c r="AE127" s="3">
        <v>1.79205</v>
      </c>
      <c r="AF127" s="2" t="s">
        <v>34</v>
      </c>
      <c r="AG127" s="2" t="s">
        <v>34</v>
      </c>
    </row>
    <row r="128">
      <c r="A128" s="2" t="s">
        <v>39</v>
      </c>
      <c r="B128" s="3">
        <v>2006.0</v>
      </c>
      <c r="C128" s="3">
        <v>2.8279802406E10</v>
      </c>
      <c r="D128" s="3">
        <v>7.668291901</v>
      </c>
      <c r="E128" s="3">
        <v>1423.190621</v>
      </c>
      <c r="F128" s="3">
        <v>6.5</v>
      </c>
      <c r="G128" s="3">
        <v>10.02018361</v>
      </c>
      <c r="H128" s="3">
        <v>1.69626362</v>
      </c>
      <c r="I128" s="3">
        <v>71.26117849</v>
      </c>
      <c r="J128" s="3">
        <v>39.7</v>
      </c>
      <c r="K128" s="3">
        <v>1.9870706E7</v>
      </c>
      <c r="L128" s="3">
        <v>0.995543084</v>
      </c>
      <c r="M128" s="3">
        <v>5.6</v>
      </c>
      <c r="N128" s="3">
        <v>71.969</v>
      </c>
      <c r="O128" s="3">
        <v>11.5</v>
      </c>
      <c r="P128" s="3">
        <v>91.0</v>
      </c>
      <c r="Q128" s="3">
        <v>97.6338501</v>
      </c>
      <c r="R128" s="3">
        <v>18.288</v>
      </c>
      <c r="S128" s="3">
        <v>82.1</v>
      </c>
      <c r="T128" s="3">
        <v>84.57683092</v>
      </c>
      <c r="U128" s="3">
        <v>81.59980672</v>
      </c>
      <c r="V128" s="3">
        <v>0.648623154</v>
      </c>
      <c r="W128" s="3">
        <v>25.85834859</v>
      </c>
      <c r="X128" s="3">
        <v>62.2</v>
      </c>
      <c r="Y128" s="3">
        <v>33.94578217</v>
      </c>
      <c r="Z128" s="3">
        <v>51.21951294</v>
      </c>
      <c r="AA128" s="3">
        <v>-1.421550751</v>
      </c>
      <c r="AB128" s="3">
        <v>-0.272532344</v>
      </c>
      <c r="AC128" s="3">
        <v>0.177752674</v>
      </c>
      <c r="AD128" s="3">
        <v>-0.310158849</v>
      </c>
      <c r="AE128" s="3">
        <v>2.53757</v>
      </c>
      <c r="AF128" s="3">
        <v>0.174199998</v>
      </c>
      <c r="AG128" s="2" t="s">
        <v>34</v>
      </c>
    </row>
    <row r="129">
      <c r="A129" s="2" t="s">
        <v>39</v>
      </c>
      <c r="B129" s="3">
        <v>2007.0</v>
      </c>
      <c r="C129" s="3">
        <v>3.235023876E10</v>
      </c>
      <c r="D129" s="3">
        <v>6.796826119</v>
      </c>
      <c r="E129" s="3">
        <v>1611.175587</v>
      </c>
      <c r="F129" s="3">
        <v>5.97</v>
      </c>
      <c r="G129" s="3">
        <v>15.84211149</v>
      </c>
      <c r="H129" s="3">
        <v>1.863973878</v>
      </c>
      <c r="I129" s="3">
        <v>68.60651166</v>
      </c>
      <c r="J129" s="4"/>
      <c r="K129" s="3">
        <v>2.0078655E7</v>
      </c>
      <c r="L129" s="3">
        <v>1.041072362</v>
      </c>
      <c r="M129" s="2" t="s">
        <v>34</v>
      </c>
      <c r="N129" s="3">
        <v>72.049</v>
      </c>
      <c r="O129" s="3">
        <v>10.8</v>
      </c>
      <c r="P129" s="2" t="s">
        <v>34</v>
      </c>
      <c r="Q129" s="3">
        <v>96.77477264</v>
      </c>
      <c r="R129" s="3">
        <v>18.272</v>
      </c>
      <c r="S129" s="3">
        <v>80.0</v>
      </c>
      <c r="T129" s="3">
        <v>84.86576533</v>
      </c>
      <c r="U129" s="3">
        <v>82.41687667</v>
      </c>
      <c r="V129" s="3">
        <v>0.702880746</v>
      </c>
      <c r="W129" s="3">
        <v>25.24261851</v>
      </c>
      <c r="X129" s="3">
        <v>60.2</v>
      </c>
      <c r="Y129" s="3">
        <v>33.84563865</v>
      </c>
      <c r="Z129" s="3">
        <v>52.91262054</v>
      </c>
      <c r="AA129" s="3">
        <v>-1.751283646</v>
      </c>
      <c r="AB129" s="3">
        <v>-0.297004074</v>
      </c>
      <c r="AC129" s="3">
        <v>0.131876916</v>
      </c>
      <c r="AD129" s="3">
        <v>-0.435254872</v>
      </c>
      <c r="AE129" s="3">
        <v>3.88</v>
      </c>
      <c r="AF129" s="2" t="s">
        <v>34</v>
      </c>
      <c r="AG129" s="2" t="s">
        <v>34</v>
      </c>
    </row>
    <row r="130">
      <c r="A130" s="2" t="s">
        <v>39</v>
      </c>
      <c r="B130" s="3">
        <v>2008.0</v>
      </c>
      <c r="C130" s="3">
        <v>4.0713826215E10</v>
      </c>
      <c r="D130" s="3">
        <v>5.950088145</v>
      </c>
      <c r="E130" s="3">
        <v>2007.026655</v>
      </c>
      <c r="F130" s="3">
        <v>5.22</v>
      </c>
      <c r="G130" s="3">
        <v>22.56449553</v>
      </c>
      <c r="H130" s="3">
        <v>1.847529623</v>
      </c>
      <c r="I130" s="3">
        <v>63.36904361</v>
      </c>
      <c r="J130" s="4"/>
      <c r="K130" s="3">
        <v>2.0285643E7</v>
      </c>
      <c r="L130" s="3">
        <v>1.025608395</v>
      </c>
      <c r="M130" s="2" t="s">
        <v>34</v>
      </c>
      <c r="N130" s="3">
        <v>71.729</v>
      </c>
      <c r="O130" s="3">
        <v>10.3</v>
      </c>
      <c r="P130" s="3">
        <v>91.0</v>
      </c>
      <c r="Q130" s="3">
        <v>95.73592377</v>
      </c>
      <c r="R130" s="3">
        <v>18.257</v>
      </c>
      <c r="S130" s="3">
        <v>82.9</v>
      </c>
      <c r="T130" s="3">
        <v>85.15484745</v>
      </c>
      <c r="U130" s="3">
        <v>83.2373247</v>
      </c>
      <c r="V130" s="3">
        <v>0.655636107</v>
      </c>
      <c r="W130" s="3">
        <v>24.40355857</v>
      </c>
      <c r="X130" s="3">
        <v>61.6</v>
      </c>
      <c r="Y130" s="3">
        <v>33.74549514</v>
      </c>
      <c r="Z130" s="3">
        <v>50.48543549</v>
      </c>
      <c r="AA130" s="3">
        <v>-1.798595548</v>
      </c>
      <c r="AB130" s="3">
        <v>-0.385201991</v>
      </c>
      <c r="AC130" s="3">
        <v>-7.71665E-4</v>
      </c>
      <c r="AD130" s="3">
        <v>-0.464874476</v>
      </c>
      <c r="AE130" s="2" t="s">
        <v>34</v>
      </c>
      <c r="AF130" s="3">
        <v>0.114440002</v>
      </c>
      <c r="AG130" s="3">
        <v>1.877681292</v>
      </c>
    </row>
    <row r="131">
      <c r="A131" s="2" t="s">
        <v>39</v>
      </c>
      <c r="B131" s="3">
        <v>2009.0</v>
      </c>
      <c r="C131" s="3">
        <v>4.2066224093E10</v>
      </c>
      <c r="D131" s="3">
        <v>3.538912053</v>
      </c>
      <c r="E131" s="3">
        <v>2053.766451</v>
      </c>
      <c r="F131" s="3">
        <v>5.85</v>
      </c>
      <c r="G131" s="3">
        <v>3.464963221</v>
      </c>
      <c r="H131" s="3">
        <v>0.960390453</v>
      </c>
      <c r="I131" s="3">
        <v>49.14914153</v>
      </c>
      <c r="J131" s="3">
        <v>36.1</v>
      </c>
      <c r="K131" s="3">
        <v>2.0482477E7</v>
      </c>
      <c r="L131" s="3">
        <v>0.965634567</v>
      </c>
      <c r="M131" s="3">
        <v>3.5</v>
      </c>
      <c r="N131" s="3">
        <v>69.187</v>
      </c>
      <c r="O131" s="3">
        <v>13.6</v>
      </c>
      <c r="P131" s="2" t="s">
        <v>34</v>
      </c>
      <c r="Q131" s="3">
        <v>93.38205719</v>
      </c>
      <c r="R131" s="3">
        <v>18.242</v>
      </c>
      <c r="S131" s="3">
        <v>87.1</v>
      </c>
      <c r="T131" s="3">
        <v>85.44394294</v>
      </c>
      <c r="U131" s="3">
        <v>84.06115683</v>
      </c>
      <c r="V131" s="3">
        <v>0.623747802</v>
      </c>
      <c r="W131" s="3">
        <v>23.33876057</v>
      </c>
      <c r="X131" s="3">
        <v>63.5</v>
      </c>
      <c r="Y131" s="3">
        <v>33.64535162</v>
      </c>
      <c r="Z131" s="3">
        <v>42.5837326</v>
      </c>
      <c r="AA131" s="3">
        <v>-1.340903044</v>
      </c>
      <c r="AB131" s="3">
        <v>-0.294943988</v>
      </c>
      <c r="AC131" s="3">
        <v>-0.101635471</v>
      </c>
      <c r="AD131" s="3">
        <v>-0.480314404</v>
      </c>
      <c r="AE131" s="2" t="s">
        <v>34</v>
      </c>
      <c r="AF131" s="2" t="s">
        <v>34</v>
      </c>
      <c r="AG131" s="3">
        <v>0.97931972</v>
      </c>
    </row>
    <row r="132">
      <c r="A132" s="2" t="s">
        <v>39</v>
      </c>
      <c r="B132" s="3">
        <v>2010.0</v>
      </c>
      <c r="C132" s="3">
        <v>5.8636161082E10</v>
      </c>
      <c r="D132" s="3">
        <v>8.01596737</v>
      </c>
      <c r="E132" s="3">
        <v>2836.974109</v>
      </c>
      <c r="F132" s="3">
        <v>4.784</v>
      </c>
      <c r="G132" s="3">
        <v>6.217648893</v>
      </c>
      <c r="H132" s="3">
        <v>0.814444519</v>
      </c>
      <c r="I132" s="4"/>
      <c r="J132" s="4"/>
      <c r="K132" s="3">
        <v>2.0668557E7</v>
      </c>
      <c r="L132" s="3">
        <v>0.904381981</v>
      </c>
      <c r="M132" s="2" t="s">
        <v>34</v>
      </c>
      <c r="N132" s="3">
        <v>73.215</v>
      </c>
      <c r="O132" s="3">
        <v>9.6</v>
      </c>
      <c r="P132" s="3">
        <v>91.0</v>
      </c>
      <c r="Q132" s="3">
        <v>97.78184632</v>
      </c>
      <c r="R132" s="3">
        <v>18.226</v>
      </c>
      <c r="S132" s="3">
        <v>85.3</v>
      </c>
      <c r="T132" s="3">
        <v>85.73292143</v>
      </c>
      <c r="U132" s="3">
        <v>84.88837381</v>
      </c>
      <c r="V132" s="3">
        <v>0.653978892</v>
      </c>
      <c r="W132" s="3">
        <v>22.04581633</v>
      </c>
      <c r="X132" s="3">
        <v>61.9</v>
      </c>
      <c r="Y132" s="3">
        <v>33.5452081</v>
      </c>
      <c r="Z132" s="3">
        <v>41.90476227</v>
      </c>
      <c r="AA132" s="3">
        <v>-0.942946851</v>
      </c>
      <c r="AB132" s="3">
        <v>-0.248191312</v>
      </c>
      <c r="AC132" s="3">
        <v>-0.118414134</v>
      </c>
      <c r="AD132" s="3">
        <v>-0.505228579</v>
      </c>
      <c r="AE132" s="2" t="s">
        <v>34</v>
      </c>
      <c r="AF132" s="3">
        <v>0.132410005</v>
      </c>
      <c r="AG132" s="3">
        <v>1.1300716</v>
      </c>
    </row>
    <row r="133">
      <c r="A133" s="2" t="s">
        <v>39</v>
      </c>
      <c r="B133" s="3">
        <v>2011.0</v>
      </c>
      <c r="C133" s="3">
        <v>6.7753284044E10</v>
      </c>
      <c r="D133" s="3">
        <v>8.669483012</v>
      </c>
      <c r="E133" s="3">
        <v>3248.04021</v>
      </c>
      <c r="F133" s="3">
        <v>4.118</v>
      </c>
      <c r="G133" s="3">
        <v>6.716768436</v>
      </c>
      <c r="H133" s="3">
        <v>1.41088364</v>
      </c>
      <c r="I133" s="4"/>
      <c r="J133" s="4"/>
      <c r="K133" s="3">
        <v>2.0859743E7</v>
      </c>
      <c r="L133" s="3">
        <v>0.920756933</v>
      </c>
      <c r="M133" s="2" t="s">
        <v>34</v>
      </c>
      <c r="N133" s="3">
        <v>73.38</v>
      </c>
      <c r="O133" s="3">
        <v>9.3</v>
      </c>
      <c r="P133" s="2" t="s">
        <v>34</v>
      </c>
      <c r="Q133" s="3">
        <v>97.40403698</v>
      </c>
      <c r="R133" s="3">
        <v>18.211</v>
      </c>
      <c r="S133" s="3">
        <v>87.8</v>
      </c>
      <c r="T133" s="3">
        <v>86.022042</v>
      </c>
      <c r="U133" s="3">
        <v>85.71897215</v>
      </c>
      <c r="V133" s="3">
        <v>0.762545349</v>
      </c>
      <c r="W133" s="3">
        <v>19.30672088</v>
      </c>
      <c r="X133" s="3">
        <v>56.4</v>
      </c>
      <c r="Y133" s="3">
        <v>33.62557806</v>
      </c>
      <c r="Z133" s="3">
        <v>42.65402985</v>
      </c>
      <c r="AA133" s="3">
        <v>-0.72477144</v>
      </c>
      <c r="AB133" s="3">
        <v>-0.131351128</v>
      </c>
      <c r="AC133" s="3">
        <v>-0.117064774</v>
      </c>
      <c r="AD133" s="3">
        <v>-0.545052946</v>
      </c>
      <c r="AE133" s="2" t="s">
        <v>34</v>
      </c>
      <c r="AF133" s="2" t="s">
        <v>34</v>
      </c>
      <c r="AG133" s="3">
        <v>1.035499489</v>
      </c>
    </row>
    <row r="134">
      <c r="A134" s="2" t="s">
        <v>39</v>
      </c>
      <c r="B134" s="3">
        <v>2012.0</v>
      </c>
      <c r="C134" s="3">
        <v>7.0447216891E10</v>
      </c>
      <c r="D134" s="3">
        <v>8.63218138</v>
      </c>
      <c r="E134" s="3">
        <v>3351.892476</v>
      </c>
      <c r="F134" s="3">
        <v>3.88</v>
      </c>
      <c r="G134" s="3">
        <v>7.542913732</v>
      </c>
      <c r="H134" s="3">
        <v>1.335917347</v>
      </c>
      <c r="I134" s="4"/>
      <c r="J134" s="3">
        <v>38.7</v>
      </c>
      <c r="K134" s="3">
        <v>2.1017147E7</v>
      </c>
      <c r="L134" s="3">
        <v>0.751749909</v>
      </c>
      <c r="M134" s="3">
        <v>2.6</v>
      </c>
      <c r="N134" s="3">
        <v>73.906</v>
      </c>
      <c r="O134" s="3">
        <v>8.9</v>
      </c>
      <c r="P134" s="2" t="s">
        <v>34</v>
      </c>
      <c r="Q134" s="3">
        <v>97.17951847</v>
      </c>
      <c r="R134" s="3">
        <v>18.196</v>
      </c>
      <c r="S134" s="3">
        <v>87.0</v>
      </c>
      <c r="T134" s="3">
        <v>86.31118264</v>
      </c>
      <c r="U134" s="3">
        <v>86.55296335</v>
      </c>
      <c r="V134" s="3">
        <v>0.851347711</v>
      </c>
      <c r="W134" s="3">
        <v>20.91318537</v>
      </c>
      <c r="X134" s="3">
        <v>52.9</v>
      </c>
      <c r="Y134" s="3">
        <v>33.70594801</v>
      </c>
      <c r="Z134" s="3">
        <v>50.23696518</v>
      </c>
      <c r="AA134" s="3">
        <v>-0.717079222</v>
      </c>
      <c r="AB134" s="3">
        <v>-0.125741094</v>
      </c>
      <c r="AC134" s="3">
        <v>-0.114084356</v>
      </c>
      <c r="AD134" s="3">
        <v>-0.575279295</v>
      </c>
      <c r="AE134" s="2" t="s">
        <v>34</v>
      </c>
      <c r="AF134" s="2" t="s">
        <v>34</v>
      </c>
      <c r="AG134" s="3">
        <v>0.950917429</v>
      </c>
    </row>
    <row r="135">
      <c r="A135" s="2" t="s">
        <v>39</v>
      </c>
      <c r="B135" s="3">
        <v>2013.0</v>
      </c>
      <c r="C135" s="3">
        <v>7.7000578167E10</v>
      </c>
      <c r="D135" s="3">
        <v>4.051746329</v>
      </c>
      <c r="E135" s="3">
        <v>3643.832447</v>
      </c>
      <c r="F135" s="3">
        <v>4.186</v>
      </c>
      <c r="G135" s="3">
        <v>6.908450348</v>
      </c>
      <c r="H135" s="3">
        <v>1.211096514</v>
      </c>
      <c r="I135" s="4"/>
      <c r="J135" s="4"/>
      <c r="K135" s="3">
        <v>2.1131756E7</v>
      </c>
      <c r="L135" s="3">
        <v>0.543830441</v>
      </c>
      <c r="M135" s="2" t="s">
        <v>34</v>
      </c>
      <c r="N135" s="3">
        <v>74.239</v>
      </c>
      <c r="O135" s="3">
        <v>8.4</v>
      </c>
      <c r="P135" s="2" t="s">
        <v>34</v>
      </c>
      <c r="Q135" s="3">
        <v>97.27498045</v>
      </c>
      <c r="R135" s="3">
        <v>18.198</v>
      </c>
      <c r="S135" s="3">
        <v>90.2</v>
      </c>
      <c r="T135" s="3">
        <v>86.60239813</v>
      </c>
      <c r="U135" s="3">
        <v>87.39031175</v>
      </c>
      <c r="V135" s="3">
        <v>0.702052399</v>
      </c>
      <c r="W135" s="3">
        <v>21.9721782</v>
      </c>
      <c r="X135" s="3">
        <v>56.9</v>
      </c>
      <c r="Y135" s="3">
        <v>33.78631797</v>
      </c>
      <c r="Z135" s="3">
        <v>52.13270187</v>
      </c>
      <c r="AA135" s="3">
        <v>-0.612895429</v>
      </c>
      <c r="AB135" s="3">
        <v>-0.166235015</v>
      </c>
      <c r="AC135" s="3">
        <v>-0.265588671</v>
      </c>
      <c r="AD135" s="3">
        <v>-0.594175637</v>
      </c>
      <c r="AE135" s="2" t="s">
        <v>34</v>
      </c>
      <c r="AF135" s="3">
        <v>0.0973</v>
      </c>
      <c r="AG135" s="3">
        <v>1.039212636</v>
      </c>
    </row>
    <row r="136">
      <c r="A136" s="2" t="s">
        <v>39</v>
      </c>
      <c r="B136" s="3">
        <v>2014.0</v>
      </c>
      <c r="C136" s="3">
        <v>8.2528535714E10</v>
      </c>
      <c r="D136" s="3">
        <v>6.377978893</v>
      </c>
      <c r="E136" s="3">
        <v>3885.623616</v>
      </c>
      <c r="F136" s="3">
        <v>4.157</v>
      </c>
      <c r="G136" s="3">
        <v>3.179002282</v>
      </c>
      <c r="H136" s="3">
        <v>1.082812112</v>
      </c>
      <c r="I136" s="4"/>
      <c r="J136" s="4"/>
      <c r="K136" s="3">
        <v>2.1239457E7</v>
      </c>
      <c r="L136" s="3">
        <v>0.508369831</v>
      </c>
      <c r="M136" s="2" t="s">
        <v>34</v>
      </c>
      <c r="N136" s="3">
        <v>74.651</v>
      </c>
      <c r="O136" s="3">
        <v>8.0</v>
      </c>
      <c r="P136" s="2" t="s">
        <v>34</v>
      </c>
      <c r="Q136" s="3">
        <v>97.43375161</v>
      </c>
      <c r="R136" s="3">
        <v>18.218</v>
      </c>
      <c r="S136" s="3">
        <v>92.7</v>
      </c>
      <c r="T136" s="3">
        <v>86.89574122</v>
      </c>
      <c r="U136" s="3">
        <v>88.23107342</v>
      </c>
      <c r="V136" s="3">
        <v>0.841787057</v>
      </c>
      <c r="W136" s="3">
        <v>19.78312654</v>
      </c>
      <c r="X136" s="3">
        <v>54.2</v>
      </c>
      <c r="Y136" s="3">
        <v>33.86668793</v>
      </c>
      <c r="Z136" s="3">
        <v>45.67307663</v>
      </c>
      <c r="AA136" s="3">
        <v>-0.330464035</v>
      </c>
      <c r="AB136" s="3">
        <v>-0.10895326</v>
      </c>
      <c r="AC136" s="3">
        <v>-0.149271369</v>
      </c>
      <c r="AD136" s="3">
        <v>-0.667191744</v>
      </c>
      <c r="AE136" s="3">
        <v>10.5</v>
      </c>
      <c r="AF136" s="3">
        <v>0.096050002</v>
      </c>
      <c r="AG136" s="3">
        <v>0.954465708</v>
      </c>
    </row>
    <row r="137">
      <c r="A137" s="2" t="s">
        <v>39</v>
      </c>
      <c r="B137" s="3">
        <v>2015.0</v>
      </c>
      <c r="C137" s="3">
        <v>8.5140955389E10</v>
      </c>
      <c r="D137" s="3">
        <v>4.205955476</v>
      </c>
      <c r="E137" s="3">
        <v>3990.353117</v>
      </c>
      <c r="F137" s="3">
        <v>4.519</v>
      </c>
      <c r="G137" s="3">
        <v>3.768367831</v>
      </c>
      <c r="H137" s="3">
        <v>0.798271104</v>
      </c>
      <c r="I137" s="3">
        <v>46.91797081</v>
      </c>
      <c r="J137" s="4"/>
      <c r="K137" s="3">
        <v>2.1336697E7</v>
      </c>
      <c r="L137" s="3">
        <v>0.456782306</v>
      </c>
      <c r="M137" s="2" t="s">
        <v>34</v>
      </c>
      <c r="N137" s="3">
        <v>74.927</v>
      </c>
      <c r="O137" s="3">
        <v>7.5</v>
      </c>
      <c r="P137" s="2" t="s">
        <v>34</v>
      </c>
      <c r="Q137" s="3">
        <v>97.529105</v>
      </c>
      <c r="R137" s="3">
        <v>18.256</v>
      </c>
      <c r="S137" s="3">
        <v>94.3</v>
      </c>
      <c r="T137" s="3">
        <v>87.19113279</v>
      </c>
      <c r="U137" s="3">
        <v>89.07529907</v>
      </c>
      <c r="V137" s="3">
        <v>0.923680924</v>
      </c>
      <c r="W137" s="3">
        <v>17.91170462</v>
      </c>
      <c r="X137" s="3">
        <v>51.3</v>
      </c>
      <c r="Y137" s="3">
        <v>34.39516585</v>
      </c>
      <c r="Z137" s="3">
        <v>43.33333206</v>
      </c>
      <c r="AA137" s="3">
        <v>0.083182663</v>
      </c>
      <c r="AB137" s="3">
        <v>-0.0587589</v>
      </c>
      <c r="AC137" s="3">
        <v>0.031726025</v>
      </c>
      <c r="AD137" s="3">
        <v>-0.29613018</v>
      </c>
      <c r="AE137" s="3">
        <v>15.26</v>
      </c>
      <c r="AF137" s="3">
        <v>0.102909997</v>
      </c>
      <c r="AG137" s="3">
        <v>0.891656274</v>
      </c>
    </row>
    <row r="138">
      <c r="A138" s="2" t="s">
        <v>39</v>
      </c>
      <c r="B138" s="3">
        <v>2016.0</v>
      </c>
      <c r="C138" s="3">
        <v>8.8012282206E10</v>
      </c>
      <c r="D138" s="3">
        <v>5.053624893</v>
      </c>
      <c r="E138" s="3">
        <v>4107.829775</v>
      </c>
      <c r="F138" s="3">
        <v>4.243</v>
      </c>
      <c r="G138" s="3">
        <v>3.958888466</v>
      </c>
      <c r="H138" s="3">
        <v>1.019232036</v>
      </c>
      <c r="I138" s="3">
        <v>46.47153703</v>
      </c>
      <c r="J138" s="3">
        <v>39.3</v>
      </c>
      <c r="K138" s="3">
        <v>2.1425494E7</v>
      </c>
      <c r="L138" s="3">
        <v>0.415306726</v>
      </c>
      <c r="M138" s="3">
        <v>1.3</v>
      </c>
      <c r="N138" s="3">
        <v>75.331</v>
      </c>
      <c r="O138" s="3">
        <v>7.1</v>
      </c>
      <c r="P138" s="3">
        <v>92.0</v>
      </c>
      <c r="Q138" s="3">
        <v>97.53140438</v>
      </c>
      <c r="R138" s="3">
        <v>18.311</v>
      </c>
      <c r="S138" s="3">
        <v>97.5</v>
      </c>
      <c r="T138" s="3">
        <v>87.48839096</v>
      </c>
      <c r="U138" s="3">
        <v>89.92305123</v>
      </c>
      <c r="V138" s="3">
        <v>1.096072744</v>
      </c>
      <c r="W138" s="3">
        <v>19.52137197</v>
      </c>
      <c r="X138" s="3">
        <v>45.1</v>
      </c>
      <c r="Y138" s="3">
        <v>34.34411</v>
      </c>
      <c r="Z138" s="3">
        <v>44.2857132</v>
      </c>
      <c r="AA138" s="3">
        <v>-0.01134005</v>
      </c>
      <c r="AB138" s="3">
        <v>-0.123026699</v>
      </c>
      <c r="AC138" s="3">
        <v>0.107241459</v>
      </c>
      <c r="AD138" s="3">
        <v>-0.081050552</v>
      </c>
      <c r="AE138" s="3">
        <v>22.19</v>
      </c>
      <c r="AF138" s="3">
        <v>0.120339997</v>
      </c>
      <c r="AG138" s="3">
        <v>0.943903914</v>
      </c>
    </row>
    <row r="139">
      <c r="A139" s="2" t="s">
        <v>39</v>
      </c>
      <c r="B139" s="3">
        <v>2017.0</v>
      </c>
      <c r="C139" s="3">
        <v>9.4376237797E10</v>
      </c>
      <c r="D139" s="3">
        <v>6.460681271</v>
      </c>
      <c r="E139" s="3">
        <v>4388.201906</v>
      </c>
      <c r="F139" s="3">
        <v>4.046</v>
      </c>
      <c r="G139" s="3">
        <v>7.704137679</v>
      </c>
      <c r="H139" s="3">
        <v>1.454521896</v>
      </c>
      <c r="I139" s="3">
        <v>47.1404098</v>
      </c>
      <c r="J139" s="4"/>
      <c r="K139" s="3">
        <v>2.1506813E7</v>
      </c>
      <c r="L139" s="3">
        <v>0.378824726</v>
      </c>
      <c r="M139" s="2" t="s">
        <v>34</v>
      </c>
      <c r="N139" s="3">
        <v>75.403</v>
      </c>
      <c r="O139" s="3">
        <v>6.8</v>
      </c>
      <c r="P139" s="3">
        <v>92.0</v>
      </c>
      <c r="Q139" s="3">
        <v>97.64883842</v>
      </c>
      <c r="R139" s="3">
        <v>18.384</v>
      </c>
      <c r="S139" s="3">
        <v>97.5</v>
      </c>
      <c r="T139" s="3">
        <v>87.78755272</v>
      </c>
      <c r="U139" s="3">
        <v>90.774373</v>
      </c>
      <c r="V139" s="3">
        <v>1.088162156</v>
      </c>
      <c r="W139" s="3">
        <v>18.34920163</v>
      </c>
      <c r="X139" s="3">
        <v>45.8</v>
      </c>
      <c r="Y139" s="3">
        <v>34.29305414</v>
      </c>
      <c r="Z139" s="3">
        <v>39.52381134</v>
      </c>
      <c r="AA139" s="3">
        <v>-0.07544852</v>
      </c>
      <c r="AB139" s="3">
        <v>-0.162157983</v>
      </c>
      <c r="AC139" s="3">
        <v>0.026702216</v>
      </c>
      <c r="AD139" s="3">
        <v>-0.061878327</v>
      </c>
      <c r="AE139" s="3">
        <v>25.1</v>
      </c>
      <c r="AF139" s="3">
        <v>0.118179999</v>
      </c>
      <c r="AG139" s="3">
        <v>1.019916648</v>
      </c>
    </row>
    <row r="140">
      <c r="A140" s="2" t="s">
        <v>39</v>
      </c>
      <c r="B140" s="3">
        <v>2018.0</v>
      </c>
      <c r="C140" s="3">
        <v>9.4493871201E10</v>
      </c>
      <c r="D140" s="3">
        <v>2.310084252</v>
      </c>
      <c r="E140" s="3">
        <v>4360.584735</v>
      </c>
      <c r="F140" s="3">
        <v>4.318</v>
      </c>
      <c r="G140" s="3">
        <v>2.135037737</v>
      </c>
      <c r="H140" s="3">
        <v>1.708093857</v>
      </c>
      <c r="I140" s="3">
        <v>49.80939675</v>
      </c>
      <c r="J140" s="4"/>
      <c r="K140" s="3">
        <v>2.167E7</v>
      </c>
      <c r="L140" s="3">
        <v>0.755904689</v>
      </c>
      <c r="M140" s="2" t="s">
        <v>34</v>
      </c>
      <c r="N140" s="3">
        <v>75.748</v>
      </c>
      <c r="O140" s="3">
        <v>6.5</v>
      </c>
      <c r="P140" s="3">
        <v>92.0</v>
      </c>
      <c r="Q140" s="3">
        <v>97.27960308</v>
      </c>
      <c r="R140" s="3">
        <v>18.476</v>
      </c>
      <c r="S140" s="3">
        <v>99.6</v>
      </c>
      <c r="T140" s="3">
        <v>88.0886564</v>
      </c>
      <c r="U140" s="3">
        <v>91.62931766</v>
      </c>
      <c r="V140" s="3">
        <v>1.014250115</v>
      </c>
      <c r="W140" s="3">
        <v>20.84783509</v>
      </c>
      <c r="X140" s="3">
        <v>47.9</v>
      </c>
      <c r="Y140" s="3">
        <v>34.25804992</v>
      </c>
      <c r="Z140" s="3">
        <v>42.38095093</v>
      </c>
      <c r="AA140" s="3">
        <v>-0.139389724</v>
      </c>
      <c r="AB140" s="3">
        <v>-0.217681855</v>
      </c>
      <c r="AC140" s="3">
        <v>-4.0862E-4</v>
      </c>
      <c r="AD140" s="3">
        <v>-0.008067985</v>
      </c>
      <c r="AE140" s="3">
        <v>28.3</v>
      </c>
      <c r="AF140" s="3">
        <v>0.119489998</v>
      </c>
      <c r="AG140" s="2" t="s">
        <v>34</v>
      </c>
    </row>
    <row r="141">
      <c r="A141" s="2" t="s">
        <v>39</v>
      </c>
      <c r="B141" s="3">
        <v>2019.0</v>
      </c>
      <c r="C141" s="3">
        <v>8.9014978344E10</v>
      </c>
      <c r="D141" s="3">
        <v>-0.220483886</v>
      </c>
      <c r="E141" s="3">
        <v>4082.694049</v>
      </c>
      <c r="F141" s="3">
        <v>4.67</v>
      </c>
      <c r="G141" s="3">
        <v>3.528393582</v>
      </c>
      <c r="H141" s="3">
        <v>0.835214753</v>
      </c>
      <c r="I141" s="3">
        <v>49.42552585</v>
      </c>
      <c r="J141" s="3">
        <v>37.7</v>
      </c>
      <c r="K141" s="3">
        <v>2.1803E7</v>
      </c>
      <c r="L141" s="3">
        <v>0.611875946</v>
      </c>
      <c r="M141" s="3">
        <v>1.0</v>
      </c>
      <c r="N141" s="3">
        <v>76.008</v>
      </c>
      <c r="O141" s="3">
        <v>6.2</v>
      </c>
      <c r="P141" s="3">
        <v>92.0</v>
      </c>
      <c r="Q141" s="3">
        <v>97.27720773</v>
      </c>
      <c r="R141" s="3">
        <v>18.585</v>
      </c>
      <c r="S141" s="3">
        <v>99.8</v>
      </c>
      <c r="T141" s="3">
        <v>88.39140851</v>
      </c>
      <c r="U141" s="3">
        <v>92.48794077</v>
      </c>
      <c r="V141" s="3">
        <v>1.083988442</v>
      </c>
      <c r="W141" s="3">
        <v>19.77980365</v>
      </c>
      <c r="X141" s="3">
        <v>46.1</v>
      </c>
      <c r="Y141" s="3">
        <v>34.20671025</v>
      </c>
      <c r="Z141" s="3">
        <v>44.2857132</v>
      </c>
      <c r="AA141" s="3">
        <v>-0.215569809</v>
      </c>
      <c r="AB141" s="3">
        <v>-0.232445598</v>
      </c>
      <c r="AC141" s="3">
        <v>0.039557587</v>
      </c>
      <c r="AD141" s="3">
        <v>-0.089097887</v>
      </c>
      <c r="AE141" s="3">
        <v>32.0</v>
      </c>
      <c r="AF141" s="2" t="s">
        <v>34</v>
      </c>
      <c r="AG141" s="3">
        <v>1.102102874</v>
      </c>
    </row>
    <row r="142">
      <c r="A142" s="2" t="s">
        <v>39</v>
      </c>
      <c r="B142" s="3">
        <v>2020.0</v>
      </c>
      <c r="C142" s="3">
        <v>8.4304298771E10</v>
      </c>
      <c r="D142" s="3">
        <v>-4.624515816</v>
      </c>
      <c r="E142" s="3">
        <v>3846.174496</v>
      </c>
      <c r="F142" s="3">
        <v>5.365</v>
      </c>
      <c r="G142" s="3">
        <v>6.153945084</v>
      </c>
      <c r="H142" s="3">
        <v>0.5148915</v>
      </c>
      <c r="I142" s="3">
        <v>37.0891205</v>
      </c>
      <c r="J142" s="4"/>
      <c r="K142" s="3">
        <v>2.1919E7</v>
      </c>
      <c r="L142" s="3">
        <v>0.53062656</v>
      </c>
      <c r="M142" s="2" t="s">
        <v>34</v>
      </c>
      <c r="N142" s="3">
        <v>76.393</v>
      </c>
      <c r="O142" s="3">
        <v>6.0</v>
      </c>
      <c r="P142" s="3">
        <v>92.0</v>
      </c>
      <c r="Q142" s="3">
        <v>97.47865615</v>
      </c>
      <c r="R142" s="3">
        <v>18.713</v>
      </c>
      <c r="S142" s="3">
        <v>100.0</v>
      </c>
      <c r="T142" s="3">
        <v>88.69595431</v>
      </c>
      <c r="U142" s="3">
        <v>93.35029014</v>
      </c>
      <c r="V142" s="3">
        <v>1.011797983</v>
      </c>
      <c r="W142" s="3">
        <v>19.96444086</v>
      </c>
      <c r="X142" s="3">
        <v>49.3</v>
      </c>
      <c r="Y142" s="3">
        <v>34.15809893</v>
      </c>
      <c r="Z142" s="3">
        <v>43.80952454</v>
      </c>
      <c r="AA142" s="3">
        <v>-0.089156918</v>
      </c>
      <c r="AB142" s="3">
        <v>-0.225914791</v>
      </c>
      <c r="AC142" s="3">
        <v>-0.007581946</v>
      </c>
      <c r="AD142" s="3">
        <v>-0.052087277</v>
      </c>
      <c r="AE142" s="3">
        <v>36.1847</v>
      </c>
      <c r="AF142" s="3">
        <v>0.115970001</v>
      </c>
      <c r="AG142" s="3">
        <v>1.256371154</v>
      </c>
    </row>
    <row r="143">
      <c r="A143" s="2" t="s">
        <v>39</v>
      </c>
      <c r="B143" s="3">
        <v>2021.0</v>
      </c>
      <c r="C143" s="3">
        <v>8.8609332762E10</v>
      </c>
      <c r="D143" s="3">
        <v>4.207485977</v>
      </c>
      <c r="E143" s="3">
        <v>3999.338002</v>
      </c>
      <c r="F143" s="3">
        <v>5.258</v>
      </c>
      <c r="G143" s="3">
        <v>7.014780712</v>
      </c>
      <c r="H143" s="3">
        <v>0.668428428</v>
      </c>
      <c r="I143" s="3">
        <v>41.22997175</v>
      </c>
      <c r="J143" s="4"/>
      <c r="K143" s="3">
        <v>2.2156E7</v>
      </c>
      <c r="L143" s="3">
        <v>1.075449957</v>
      </c>
      <c r="M143" s="2" t="s">
        <v>34</v>
      </c>
      <c r="N143" s="3">
        <v>76.399</v>
      </c>
      <c r="O143" s="3">
        <v>5.7</v>
      </c>
      <c r="P143" s="3">
        <v>92.0</v>
      </c>
      <c r="Q143" s="3">
        <v>96.87175547</v>
      </c>
      <c r="R143" s="3">
        <v>18.86</v>
      </c>
      <c r="S143" s="3">
        <v>100.0</v>
      </c>
      <c r="T143" s="3">
        <v>89.00221413</v>
      </c>
      <c r="U143" s="3">
        <v>94.21641465</v>
      </c>
      <c r="V143" s="3">
        <v>0.955510923</v>
      </c>
      <c r="W143" s="2" t="s">
        <v>34</v>
      </c>
      <c r="X143" s="3">
        <v>48.8</v>
      </c>
      <c r="Y143" s="3">
        <v>34.10701584</v>
      </c>
      <c r="Z143" s="3">
        <v>42.8571434</v>
      </c>
      <c r="AA143" s="3">
        <v>-0.376803756</v>
      </c>
      <c r="AB143" s="3">
        <v>-0.38943544</v>
      </c>
      <c r="AC143" s="3">
        <v>0.017869212</v>
      </c>
      <c r="AD143" s="3">
        <v>-0.074099243</v>
      </c>
      <c r="AE143" s="3">
        <v>44.4531</v>
      </c>
      <c r="AF143" s="2" t="s">
        <v>34</v>
      </c>
      <c r="AG143" s="3">
        <v>1.045164027</v>
      </c>
    </row>
    <row r="144">
      <c r="A144" s="2" t="s">
        <v>39</v>
      </c>
      <c r="B144" s="3">
        <v>2022.0</v>
      </c>
      <c r="C144" s="3">
        <v>7.4144875098E10</v>
      </c>
      <c r="D144" s="3">
        <v>-7.346764384</v>
      </c>
      <c r="E144" s="3">
        <v>3342.720125</v>
      </c>
      <c r="F144" s="3">
        <v>6.33</v>
      </c>
      <c r="G144" s="3">
        <v>49.72110211</v>
      </c>
      <c r="H144" s="3">
        <v>1.19246339</v>
      </c>
      <c r="I144" s="3">
        <v>46.68143828</v>
      </c>
      <c r="J144" s="4"/>
      <c r="K144" s="3">
        <v>2.2181E7</v>
      </c>
      <c r="L144" s="3">
        <v>0.11277264</v>
      </c>
      <c r="M144" s="2" t="s">
        <v>34</v>
      </c>
      <c r="N144" s="3">
        <v>76.61</v>
      </c>
      <c r="O144" s="3">
        <v>5.6</v>
      </c>
      <c r="P144" s="3">
        <v>92.0</v>
      </c>
      <c r="Q144" s="3">
        <v>95.91586286</v>
      </c>
      <c r="R144" s="3">
        <v>19.026</v>
      </c>
      <c r="S144" s="3">
        <v>100.0</v>
      </c>
      <c r="T144" s="3">
        <v>89.31010729</v>
      </c>
      <c r="U144" s="3">
        <v>95.08636078</v>
      </c>
      <c r="V144" s="3">
        <v>0.83566566</v>
      </c>
      <c r="W144" s="2" t="s">
        <v>34</v>
      </c>
      <c r="X144" s="2" t="s">
        <v>34</v>
      </c>
      <c r="Y144" s="2" t="s">
        <v>34</v>
      </c>
      <c r="Z144" s="3">
        <v>40.09434128</v>
      </c>
      <c r="AA144" s="3">
        <v>-0.785569847</v>
      </c>
      <c r="AB144" s="3">
        <v>-0.653642833</v>
      </c>
      <c r="AC144" s="3">
        <v>-0.056925315</v>
      </c>
      <c r="AD144" s="3">
        <v>-0.191544354</v>
      </c>
      <c r="AE144" s="3">
        <v>50.1067</v>
      </c>
      <c r="AF144" s="2" t="s">
        <v>34</v>
      </c>
      <c r="AG144" s="3">
        <v>1.086353124</v>
      </c>
    </row>
    <row r="145">
      <c r="A145" s="2" t="s">
        <v>39</v>
      </c>
      <c r="B145" s="3">
        <v>2023.0</v>
      </c>
      <c r="C145" s="3">
        <v>8.4356860421E10</v>
      </c>
      <c r="D145" s="3">
        <v>-2.298045112</v>
      </c>
      <c r="E145" s="3">
        <v>3827.964806</v>
      </c>
      <c r="F145" s="3">
        <v>6.36</v>
      </c>
      <c r="G145" s="3">
        <v>16.54117423</v>
      </c>
      <c r="H145" s="3">
        <v>0.84382728</v>
      </c>
      <c r="I145" s="3">
        <v>42.27772006</v>
      </c>
      <c r="J145" s="4"/>
      <c r="K145" s="3">
        <v>2.2037E7</v>
      </c>
      <c r="L145" s="3">
        <v>-0.65132077</v>
      </c>
      <c r="M145" s="2" t="s">
        <v>34</v>
      </c>
      <c r="N145" s="2" t="s">
        <v>34</v>
      </c>
      <c r="O145" s="2" t="s">
        <v>34</v>
      </c>
      <c r="P145" s="2" t="s">
        <v>34</v>
      </c>
      <c r="Q145" s="2" t="s">
        <v>34</v>
      </c>
      <c r="R145" s="3">
        <v>19.211</v>
      </c>
      <c r="S145" s="2" t="s">
        <v>34</v>
      </c>
      <c r="T145" s="2" t="s">
        <v>34</v>
      </c>
      <c r="U145" s="2" t="s">
        <v>34</v>
      </c>
      <c r="V145" s="2" t="s">
        <v>34</v>
      </c>
      <c r="W145" s="2" t="s">
        <v>34</v>
      </c>
      <c r="X145" s="2" t="s">
        <v>34</v>
      </c>
      <c r="Y145" s="2" t="s">
        <v>34</v>
      </c>
      <c r="Z145" s="2" t="s">
        <v>34</v>
      </c>
      <c r="AA145" s="2" t="s">
        <v>34</v>
      </c>
      <c r="AB145" s="2" t="s">
        <v>34</v>
      </c>
      <c r="AC145" s="2" t="s">
        <v>34</v>
      </c>
      <c r="AD145" s="2" t="s">
        <v>34</v>
      </c>
      <c r="AE145" s="2" t="s">
        <v>34</v>
      </c>
      <c r="AF145" s="2" t="s">
        <v>34</v>
      </c>
      <c r="AG145" s="2" t="s">
        <v>34</v>
      </c>
    </row>
    <row r="146">
      <c r="A146" s="2" t="s">
        <v>40</v>
      </c>
      <c r="B146" s="3">
        <v>2000.0</v>
      </c>
      <c r="C146" s="3">
        <v>5.494252208E9</v>
      </c>
      <c r="D146" s="3">
        <v>6.199999982</v>
      </c>
      <c r="E146" s="3">
        <v>223.7118919</v>
      </c>
      <c r="F146" s="3">
        <v>10.622</v>
      </c>
      <c r="G146" s="3">
        <v>2.478820207</v>
      </c>
      <c r="H146" s="3">
        <v>-0.008824253</v>
      </c>
      <c r="I146" s="3">
        <v>55.710589</v>
      </c>
      <c r="J146" s="4"/>
      <c r="K146" s="3">
        <v>2.45595E7</v>
      </c>
      <c r="L146" s="3">
        <v>1.709775886</v>
      </c>
      <c r="M146" s="2" t="s">
        <v>34</v>
      </c>
      <c r="N146" s="3">
        <v>62.614</v>
      </c>
      <c r="O146" s="3">
        <v>58.5</v>
      </c>
      <c r="P146" s="2" t="s">
        <v>34</v>
      </c>
      <c r="Q146" s="3">
        <v>114.627739</v>
      </c>
      <c r="R146" s="3">
        <v>13.397</v>
      </c>
      <c r="S146" s="3">
        <v>29.9</v>
      </c>
      <c r="T146" s="3">
        <v>79.66978885</v>
      </c>
      <c r="U146" s="3">
        <v>13.96430342</v>
      </c>
      <c r="V146" s="3">
        <v>0.139225147</v>
      </c>
      <c r="W146" s="3">
        <v>57.91037719</v>
      </c>
      <c r="X146" s="3">
        <v>88.3</v>
      </c>
      <c r="Y146" s="3">
        <v>40.32619463</v>
      </c>
      <c r="Z146" s="3">
        <v>36.70212936</v>
      </c>
      <c r="AA146" s="3">
        <v>-1.163825631</v>
      </c>
      <c r="AB146" s="3">
        <v>-0.656351626</v>
      </c>
      <c r="AC146" s="3">
        <v>-0.210961655</v>
      </c>
      <c r="AD146" s="3">
        <v>-0.280598551</v>
      </c>
      <c r="AE146" s="3">
        <v>0.204652</v>
      </c>
      <c r="AF146" s="2" t="s">
        <v>34</v>
      </c>
      <c r="AG146" s="2" t="s">
        <v>34</v>
      </c>
    </row>
    <row r="147">
      <c r="A147" s="2" t="s">
        <v>40</v>
      </c>
      <c r="B147" s="3">
        <v>2001.0</v>
      </c>
      <c r="C147" s="3">
        <v>6.007055042E9</v>
      </c>
      <c r="D147" s="3">
        <v>4.799892143</v>
      </c>
      <c r="E147" s="3">
        <v>240.7051592</v>
      </c>
      <c r="F147" s="3">
        <v>10.615</v>
      </c>
      <c r="G147" s="3">
        <v>2.688303735</v>
      </c>
      <c r="H147" s="3">
        <v>0.347091875</v>
      </c>
      <c r="I147" s="3">
        <v>55.79992108</v>
      </c>
      <c r="J147" s="4"/>
      <c r="K147" s="3">
        <v>2.4956071E7</v>
      </c>
      <c r="L147" s="3">
        <v>1.601837449</v>
      </c>
      <c r="M147" s="2" t="s">
        <v>34</v>
      </c>
      <c r="N147" s="3">
        <v>63.336</v>
      </c>
      <c r="O147" s="3">
        <v>55.7</v>
      </c>
      <c r="P147" s="3">
        <v>49.0</v>
      </c>
      <c r="Q147" s="3">
        <v>107.468277</v>
      </c>
      <c r="R147" s="3">
        <v>13.947</v>
      </c>
      <c r="S147" s="3">
        <v>24.6</v>
      </c>
      <c r="T147" s="3">
        <v>80.32528079</v>
      </c>
      <c r="U147" s="3">
        <v>16.51268744</v>
      </c>
      <c r="V147" s="3">
        <v>0.146461356</v>
      </c>
      <c r="W147" s="3">
        <v>58.28387271</v>
      </c>
      <c r="X147" s="3">
        <v>87.8</v>
      </c>
      <c r="Y147" s="3">
        <v>40.45264737</v>
      </c>
      <c r="Z147" s="2" t="s">
        <v>34</v>
      </c>
      <c r="AA147" s="2" t="s">
        <v>34</v>
      </c>
      <c r="AB147" s="2" t="s">
        <v>34</v>
      </c>
      <c r="AC147" s="2" t="s">
        <v>34</v>
      </c>
      <c r="AD147" s="2" t="s">
        <v>34</v>
      </c>
      <c r="AE147" s="3">
        <v>0.240015</v>
      </c>
      <c r="AF147" s="2" t="s">
        <v>34</v>
      </c>
      <c r="AG147" s="2" t="s">
        <v>34</v>
      </c>
    </row>
    <row r="148">
      <c r="A148" s="2" t="s">
        <v>40</v>
      </c>
      <c r="B148" s="3">
        <v>2002.0</v>
      </c>
      <c r="C148" s="3">
        <v>6.050875807E9</v>
      </c>
      <c r="D148" s="3">
        <v>0.120143177</v>
      </c>
      <c r="E148" s="3">
        <v>238.8612541</v>
      </c>
      <c r="F148" s="3">
        <v>10.655</v>
      </c>
      <c r="G148" s="3">
        <v>3.029399487</v>
      </c>
      <c r="H148" s="3">
        <v>-0.098374869</v>
      </c>
      <c r="I148" s="3">
        <v>46.2307185</v>
      </c>
      <c r="J148" s="4"/>
      <c r="K148" s="3">
        <v>2.5332178E7</v>
      </c>
      <c r="L148" s="3">
        <v>1.495832606</v>
      </c>
      <c r="M148" s="2" t="s">
        <v>34</v>
      </c>
      <c r="N148" s="3">
        <v>63.264</v>
      </c>
      <c r="O148" s="3">
        <v>53.1</v>
      </c>
      <c r="P148" s="2" t="s">
        <v>34</v>
      </c>
      <c r="Q148" s="3">
        <v>112.2343216</v>
      </c>
      <c r="R148" s="3">
        <v>14.24</v>
      </c>
      <c r="S148" s="3">
        <v>36.4</v>
      </c>
      <c r="T148" s="3">
        <v>80.93642244</v>
      </c>
      <c r="U148" s="3">
        <v>19.07652302</v>
      </c>
      <c r="V148" s="3">
        <v>0.117806688</v>
      </c>
      <c r="W148" s="3">
        <v>58.76927791</v>
      </c>
      <c r="X148" s="3">
        <v>90.0</v>
      </c>
      <c r="Y148" s="3">
        <v>40.5791001</v>
      </c>
      <c r="Z148" s="3">
        <v>40.2116394</v>
      </c>
      <c r="AA148" s="3">
        <v>-1.717462897</v>
      </c>
      <c r="AB148" s="3">
        <v>-0.590202868</v>
      </c>
      <c r="AC148" s="3">
        <v>-0.517511368</v>
      </c>
      <c r="AD148" s="3">
        <v>-0.79815954</v>
      </c>
      <c r="AE148" s="3">
        <v>0.312956</v>
      </c>
      <c r="AF148" s="2" t="s">
        <v>34</v>
      </c>
      <c r="AG148" s="2" t="s">
        <v>34</v>
      </c>
    </row>
    <row r="149">
      <c r="A149" s="2" t="s">
        <v>40</v>
      </c>
      <c r="B149" s="3">
        <v>2003.0</v>
      </c>
      <c r="C149" s="3">
        <v>6.330473097E9</v>
      </c>
      <c r="D149" s="3">
        <v>3.945037761</v>
      </c>
      <c r="E149" s="3">
        <v>246.4858378</v>
      </c>
      <c r="F149" s="3">
        <v>10.677</v>
      </c>
      <c r="G149" s="3">
        <v>5.707009319</v>
      </c>
      <c r="H149" s="3">
        <v>0.233443621</v>
      </c>
      <c r="I149" s="3">
        <v>44.24788362</v>
      </c>
      <c r="J149" s="3">
        <v>43.8</v>
      </c>
      <c r="K149" s="3">
        <v>2.5682908E7</v>
      </c>
      <c r="L149" s="3">
        <v>1.375026697</v>
      </c>
      <c r="M149" s="3">
        <v>40.3</v>
      </c>
      <c r="N149" s="3">
        <v>64.197</v>
      </c>
      <c r="O149" s="3">
        <v>50.7</v>
      </c>
      <c r="P149" s="2" t="s">
        <v>34</v>
      </c>
      <c r="Q149" s="3">
        <v>112.0409698</v>
      </c>
      <c r="R149" s="3">
        <v>14.538</v>
      </c>
      <c r="S149" s="3">
        <v>39.6</v>
      </c>
      <c r="T149" s="3">
        <v>81.54126796</v>
      </c>
      <c r="U149" s="3">
        <v>21.70987545</v>
      </c>
      <c r="V149" s="3">
        <v>0.131916526</v>
      </c>
      <c r="W149" s="3">
        <v>59.23544996</v>
      </c>
      <c r="X149" s="3">
        <v>89.4</v>
      </c>
      <c r="Y149" s="3">
        <v>40.70555284</v>
      </c>
      <c r="Z149" s="3">
        <v>34.92063522</v>
      </c>
      <c r="AA149" s="3">
        <v>-1.891852379</v>
      </c>
      <c r="AB149" s="3">
        <v>-0.414270848</v>
      </c>
      <c r="AC149" s="3">
        <v>-0.61063081</v>
      </c>
      <c r="AD149" s="3">
        <v>-0.920003414</v>
      </c>
      <c r="AE149" s="3">
        <v>0.382811</v>
      </c>
      <c r="AF149" s="2" t="s">
        <v>34</v>
      </c>
      <c r="AG149" s="2" t="s">
        <v>34</v>
      </c>
    </row>
    <row r="150">
      <c r="A150" s="2" t="s">
        <v>40</v>
      </c>
      <c r="B150" s="3">
        <v>2004.0</v>
      </c>
      <c r="C150" s="3">
        <v>7.273938315E9</v>
      </c>
      <c r="D150" s="3">
        <v>4.682603252</v>
      </c>
      <c r="E150" s="3">
        <v>279.7242003</v>
      </c>
      <c r="F150" s="3">
        <v>10.68</v>
      </c>
      <c r="G150" s="3">
        <v>2.841811312</v>
      </c>
      <c r="H150" s="3">
        <v>-0.005737557</v>
      </c>
      <c r="I150" s="3">
        <v>46.14728672</v>
      </c>
      <c r="J150" s="4"/>
      <c r="K150" s="3">
        <v>2.6003965E7</v>
      </c>
      <c r="L150" s="3">
        <v>1.242331411</v>
      </c>
      <c r="M150" s="2" t="s">
        <v>34</v>
      </c>
      <c r="N150" s="3">
        <v>64.818</v>
      </c>
      <c r="O150" s="3">
        <v>48.5</v>
      </c>
      <c r="P150" s="2" t="s">
        <v>34</v>
      </c>
      <c r="Q150" s="3">
        <v>114.8928986</v>
      </c>
      <c r="R150" s="3">
        <v>14.841</v>
      </c>
      <c r="S150" s="3">
        <v>37.2</v>
      </c>
      <c r="T150" s="3">
        <v>82.13971392</v>
      </c>
      <c r="U150" s="3">
        <v>24.41227344</v>
      </c>
      <c r="V150" s="3">
        <v>0.112555912</v>
      </c>
      <c r="W150" s="3">
        <v>59.55124604</v>
      </c>
      <c r="X150" s="3">
        <v>90.3</v>
      </c>
      <c r="Y150" s="3">
        <v>40.83200558</v>
      </c>
      <c r="Z150" s="3">
        <v>18.22660065</v>
      </c>
      <c r="AA150" s="3">
        <v>-2.149138451</v>
      </c>
      <c r="AB150" s="3">
        <v>-0.52077055</v>
      </c>
      <c r="AC150" s="3">
        <v>-0.753035843</v>
      </c>
      <c r="AD150" s="3">
        <v>-1.134827137</v>
      </c>
      <c r="AE150" s="3">
        <v>0.449844</v>
      </c>
      <c r="AF150" s="2" t="s">
        <v>34</v>
      </c>
      <c r="AG150" s="2" t="s">
        <v>34</v>
      </c>
    </row>
    <row r="151">
      <c r="A151" s="2" t="s">
        <v>40</v>
      </c>
      <c r="B151" s="3">
        <v>2005.0</v>
      </c>
      <c r="C151" s="3">
        <v>8.130258378E9</v>
      </c>
      <c r="D151" s="3">
        <v>3.479181048</v>
      </c>
      <c r="E151" s="3">
        <v>309.3104186</v>
      </c>
      <c r="F151" s="3">
        <v>10.652</v>
      </c>
      <c r="G151" s="3">
        <v>6.836332659</v>
      </c>
      <c r="H151" s="3">
        <v>0.030156295</v>
      </c>
      <c r="I151" s="3">
        <v>44.06294748</v>
      </c>
      <c r="J151" s="4"/>
      <c r="K151" s="3">
        <v>2.628511E7</v>
      </c>
      <c r="L151" s="3">
        <v>1.075359276</v>
      </c>
      <c r="M151" s="2" t="s">
        <v>34</v>
      </c>
      <c r="N151" s="3">
        <v>65.457</v>
      </c>
      <c r="O151" s="3">
        <v>46.5</v>
      </c>
      <c r="P151" s="2" t="s">
        <v>34</v>
      </c>
      <c r="Q151" s="3">
        <v>115.4856796</v>
      </c>
      <c r="R151" s="3">
        <v>15.149</v>
      </c>
      <c r="S151" s="3">
        <v>46.1</v>
      </c>
      <c r="T151" s="3">
        <v>82.73166532</v>
      </c>
      <c r="U151" s="3">
        <v>27.18323537</v>
      </c>
      <c r="V151" s="3">
        <v>0.124625691</v>
      </c>
      <c r="W151" s="3">
        <v>59.58552333</v>
      </c>
      <c r="X151" s="3">
        <v>89.5</v>
      </c>
      <c r="Y151" s="3">
        <v>40.95845832</v>
      </c>
      <c r="Z151" s="3">
        <v>23.90243912</v>
      </c>
      <c r="AA151" s="3">
        <v>-2.098404884</v>
      </c>
      <c r="AB151" s="3">
        <v>-0.530171871</v>
      </c>
      <c r="AC151" s="3">
        <v>-0.825216174</v>
      </c>
      <c r="AD151" s="3">
        <v>-1.146815538</v>
      </c>
      <c r="AE151" s="3">
        <v>0.826551</v>
      </c>
      <c r="AF151" s="2" t="s">
        <v>34</v>
      </c>
      <c r="AG151" s="2" t="s">
        <v>34</v>
      </c>
    </row>
    <row r="152">
      <c r="A152" s="2" t="s">
        <v>40</v>
      </c>
      <c r="B152" s="3">
        <v>2006.0</v>
      </c>
      <c r="C152" s="3">
        <v>9.043715356E9</v>
      </c>
      <c r="D152" s="3">
        <v>3.364614781</v>
      </c>
      <c r="E152" s="3">
        <v>341.02814</v>
      </c>
      <c r="F152" s="3">
        <v>10.659</v>
      </c>
      <c r="G152" s="3">
        <v>6.920335807</v>
      </c>
      <c r="H152" s="3">
        <v>-0.073509433</v>
      </c>
      <c r="I152" s="3">
        <v>44.76198776</v>
      </c>
      <c r="J152" s="4"/>
      <c r="K152" s="3">
        <v>2.6518971E7</v>
      </c>
      <c r="L152" s="3">
        <v>0.88577445</v>
      </c>
      <c r="M152" s="2" t="s">
        <v>34</v>
      </c>
      <c r="N152" s="3">
        <v>65.868</v>
      </c>
      <c r="O152" s="3">
        <v>44.6</v>
      </c>
      <c r="P152" s="2" t="s">
        <v>34</v>
      </c>
      <c r="Q152" s="3">
        <v>129.8235474</v>
      </c>
      <c r="R152" s="3">
        <v>15.462</v>
      </c>
      <c r="S152" s="3">
        <v>51.2</v>
      </c>
      <c r="T152" s="3">
        <v>83.31703813</v>
      </c>
      <c r="U152" s="3">
        <v>30.02227084</v>
      </c>
      <c r="V152" s="3">
        <v>0.102277724</v>
      </c>
      <c r="W152" s="3">
        <v>58.32385513</v>
      </c>
      <c r="X152" s="3">
        <v>91.2</v>
      </c>
      <c r="Y152" s="3">
        <v>41.08491106</v>
      </c>
      <c r="Z152" s="3">
        <v>28.78048706</v>
      </c>
      <c r="AA152" s="3">
        <v>-1.894450188</v>
      </c>
      <c r="AB152" s="3">
        <v>-0.523552716</v>
      </c>
      <c r="AC152" s="3">
        <v>-0.621390879</v>
      </c>
      <c r="AD152" s="3">
        <v>-0.908803642</v>
      </c>
      <c r="AE152" s="3">
        <v>1.14139</v>
      </c>
      <c r="AF152" s="2" t="s">
        <v>34</v>
      </c>
      <c r="AG152" s="2" t="s">
        <v>34</v>
      </c>
    </row>
    <row r="153">
      <c r="A153" s="2" t="s">
        <v>40</v>
      </c>
      <c r="B153" s="3">
        <v>2007.0</v>
      </c>
      <c r="C153" s="3">
        <v>1.0325618017E10</v>
      </c>
      <c r="D153" s="3">
        <v>3.41156028</v>
      </c>
      <c r="E153" s="3">
        <v>386.5295864</v>
      </c>
      <c r="F153" s="3">
        <v>10.672</v>
      </c>
      <c r="G153" s="3">
        <v>2.269219244</v>
      </c>
      <c r="H153" s="3">
        <v>0.055606415</v>
      </c>
      <c r="I153" s="3">
        <v>44.57927502</v>
      </c>
      <c r="J153" s="4"/>
      <c r="K153" s="3">
        <v>2.6713655E7</v>
      </c>
      <c r="L153" s="3">
        <v>0.731449423</v>
      </c>
      <c r="M153" s="2" t="s">
        <v>34</v>
      </c>
      <c r="N153" s="3">
        <v>66.329</v>
      </c>
      <c r="O153" s="3">
        <v>42.9</v>
      </c>
      <c r="P153" s="2" t="s">
        <v>34</v>
      </c>
      <c r="Q153" s="3">
        <v>131.2217255</v>
      </c>
      <c r="R153" s="3">
        <v>15.781</v>
      </c>
      <c r="S153" s="3">
        <v>52.6</v>
      </c>
      <c r="T153" s="3">
        <v>83.89582312</v>
      </c>
      <c r="U153" s="3">
        <v>32.92902553</v>
      </c>
      <c r="V153" s="3">
        <v>0.104512093</v>
      </c>
      <c r="W153" s="3">
        <v>55.5324688</v>
      </c>
      <c r="X153" s="3">
        <v>91.3</v>
      </c>
      <c r="Y153" s="3">
        <v>41.21136379</v>
      </c>
      <c r="Z153" s="3">
        <v>23.30097008</v>
      </c>
      <c r="AA153" s="3">
        <v>-1.88537848</v>
      </c>
      <c r="AB153" s="3">
        <v>-0.580034494</v>
      </c>
      <c r="AC153" s="3">
        <v>-0.588803828</v>
      </c>
      <c r="AD153" s="3">
        <v>-0.585561931</v>
      </c>
      <c r="AE153" s="3">
        <v>1.41</v>
      </c>
      <c r="AF153" s="2" t="s">
        <v>34</v>
      </c>
      <c r="AG153" s="2" t="s">
        <v>34</v>
      </c>
    </row>
    <row r="154">
      <c r="A154" s="2" t="s">
        <v>40</v>
      </c>
      <c r="B154" s="3">
        <v>2008.0</v>
      </c>
      <c r="C154" s="3">
        <v>1.2545438605E10</v>
      </c>
      <c r="D154" s="3">
        <v>6.104639144</v>
      </c>
      <c r="E154" s="3">
        <v>466.6933791</v>
      </c>
      <c r="F154" s="3">
        <v>10.65</v>
      </c>
      <c r="G154" s="3">
        <v>9.907830053</v>
      </c>
      <c r="H154" s="3">
        <v>0.007932157</v>
      </c>
      <c r="I154" s="3">
        <v>46.03620635</v>
      </c>
      <c r="J154" s="4"/>
      <c r="K154" s="3">
        <v>2.6881544E7</v>
      </c>
      <c r="L154" s="3">
        <v>0.626509659</v>
      </c>
      <c r="M154" s="2" t="s">
        <v>34</v>
      </c>
      <c r="N154" s="3">
        <v>66.421</v>
      </c>
      <c r="O154" s="3">
        <v>41.2</v>
      </c>
      <c r="P154" s="2" t="s">
        <v>34</v>
      </c>
      <c r="Q154" s="3">
        <v>129.5191956</v>
      </c>
      <c r="R154" s="3">
        <v>16.105</v>
      </c>
      <c r="S154" s="3">
        <v>56.0</v>
      </c>
      <c r="T154" s="3">
        <v>84.4678254</v>
      </c>
      <c r="U154" s="3">
        <v>35.90281154</v>
      </c>
      <c r="V154" s="3">
        <v>0.114777633</v>
      </c>
      <c r="W154" s="3">
        <v>52.25120261</v>
      </c>
      <c r="X154" s="3">
        <v>90.5</v>
      </c>
      <c r="Y154" s="3">
        <v>41.33781653</v>
      </c>
      <c r="Z154" s="3">
        <v>21.84465981</v>
      </c>
      <c r="AA154" s="3">
        <v>-1.834287405</v>
      </c>
      <c r="AB154" s="3">
        <v>-0.646401107</v>
      </c>
      <c r="AC154" s="3">
        <v>-0.669306338</v>
      </c>
      <c r="AD154" s="3">
        <v>-0.496126413</v>
      </c>
      <c r="AE154" s="3">
        <v>1.73</v>
      </c>
      <c r="AF154" s="3">
        <v>0.054389998</v>
      </c>
      <c r="AG154" s="2" t="s">
        <v>34</v>
      </c>
    </row>
    <row r="155">
      <c r="A155" s="2" t="s">
        <v>40</v>
      </c>
      <c r="B155" s="3">
        <v>2009.0</v>
      </c>
      <c r="C155" s="3">
        <v>1.2854985464E10</v>
      </c>
      <c r="D155" s="3">
        <v>4.533078725</v>
      </c>
      <c r="E155" s="3">
        <v>475.6359761</v>
      </c>
      <c r="F155" s="3">
        <v>10.64</v>
      </c>
      <c r="G155" s="3">
        <v>11.09482374</v>
      </c>
      <c r="H155" s="3">
        <v>0.297715389</v>
      </c>
      <c r="I155" s="3">
        <v>47.07944776</v>
      </c>
      <c r="J155" s="4"/>
      <c r="K155" s="3">
        <v>2.7026941E7</v>
      </c>
      <c r="L155" s="3">
        <v>0.539422885</v>
      </c>
      <c r="M155" s="2" t="s">
        <v>34</v>
      </c>
      <c r="N155" s="3">
        <v>66.761</v>
      </c>
      <c r="O155" s="3">
        <v>39.7</v>
      </c>
      <c r="P155" s="2" t="s">
        <v>34</v>
      </c>
      <c r="Q155" s="3">
        <v>141.4710999</v>
      </c>
      <c r="R155" s="3">
        <v>16.434</v>
      </c>
      <c r="S155" s="3">
        <v>59.3</v>
      </c>
      <c r="T155" s="3">
        <v>85.03294997</v>
      </c>
      <c r="U155" s="3">
        <v>38.94309705</v>
      </c>
      <c r="V155" s="3">
        <v>0.150361079</v>
      </c>
      <c r="W155" s="3">
        <v>49.51989483</v>
      </c>
      <c r="X155" s="3">
        <v>88.9</v>
      </c>
      <c r="Y155" s="3">
        <v>41.46426927</v>
      </c>
      <c r="Z155" s="3">
        <v>26.31579018</v>
      </c>
      <c r="AA155" s="3">
        <v>-1.620081186</v>
      </c>
      <c r="AB155" s="3">
        <v>-0.722060025</v>
      </c>
      <c r="AC155" s="3">
        <v>-0.867817461</v>
      </c>
      <c r="AD155" s="3">
        <v>-0.441024661</v>
      </c>
      <c r="AE155" s="3">
        <v>1.97</v>
      </c>
      <c r="AF155" s="3">
        <v>0.259240001</v>
      </c>
      <c r="AG155" s="3">
        <v>0.428628769</v>
      </c>
    </row>
    <row r="156">
      <c r="A156" s="2" t="s">
        <v>40</v>
      </c>
      <c r="B156" s="3">
        <v>2010.0</v>
      </c>
      <c r="C156" s="3">
        <v>1.6002656434E10</v>
      </c>
      <c r="D156" s="3">
        <v>4.816414647</v>
      </c>
      <c r="E156" s="3">
        <v>589.1654349</v>
      </c>
      <c r="F156" s="3">
        <v>10.629</v>
      </c>
      <c r="G156" s="3">
        <v>9.326504107</v>
      </c>
      <c r="H156" s="3">
        <v>0.548294666</v>
      </c>
      <c r="I156" s="3">
        <v>45.98490577</v>
      </c>
      <c r="J156" s="3">
        <v>32.8</v>
      </c>
      <c r="K156" s="3">
        <v>2.7161567E7</v>
      </c>
      <c r="L156" s="3">
        <v>0.496881283</v>
      </c>
      <c r="M156" s="3">
        <v>8.2</v>
      </c>
      <c r="N156" s="3">
        <v>66.814</v>
      </c>
      <c r="O156" s="3">
        <v>38.2</v>
      </c>
      <c r="P156" s="2" t="s">
        <v>34</v>
      </c>
      <c r="Q156" s="3">
        <v>146.5405579</v>
      </c>
      <c r="R156" s="3">
        <v>16.768</v>
      </c>
      <c r="S156" s="3">
        <v>68.6</v>
      </c>
      <c r="T156" s="3">
        <v>85.59110733</v>
      </c>
      <c r="U156" s="3">
        <v>42.04934037</v>
      </c>
      <c r="V156" s="3">
        <v>0.176153313</v>
      </c>
      <c r="W156" s="3">
        <v>48.37838373</v>
      </c>
      <c r="X156" s="3">
        <v>87.3</v>
      </c>
      <c r="Y156" s="3">
        <v>41.59072201</v>
      </c>
      <c r="Z156" s="3">
        <v>27.1428566</v>
      </c>
      <c r="AA156" s="3">
        <v>-1.583971143</v>
      </c>
      <c r="AB156" s="3">
        <v>-0.761707723</v>
      </c>
      <c r="AC156" s="3">
        <v>-0.959066808</v>
      </c>
      <c r="AD156" s="3">
        <v>-0.447481632</v>
      </c>
      <c r="AE156" s="3">
        <v>7.93</v>
      </c>
      <c r="AF156" s="3">
        <v>0.30219999</v>
      </c>
      <c r="AG156" s="3">
        <v>0.686184565</v>
      </c>
    </row>
    <row r="157">
      <c r="A157" s="2" t="s">
        <v>40</v>
      </c>
      <c r="B157" s="3">
        <v>2011.0</v>
      </c>
      <c r="C157" s="3">
        <v>2.1573872421E10</v>
      </c>
      <c r="D157" s="3">
        <v>3.421808701</v>
      </c>
      <c r="E157" s="3">
        <v>791.2255821</v>
      </c>
      <c r="F157" s="3">
        <v>10.653</v>
      </c>
      <c r="G157" s="3">
        <v>9.227075461</v>
      </c>
      <c r="H157" s="3">
        <v>0.435814931</v>
      </c>
      <c r="I157" s="3">
        <v>36.29675889</v>
      </c>
      <c r="J157" s="4"/>
      <c r="K157" s="3">
        <v>2.7266399E7</v>
      </c>
      <c r="L157" s="3">
        <v>0.38521421</v>
      </c>
      <c r="M157" s="2" t="s">
        <v>34</v>
      </c>
      <c r="N157" s="3">
        <v>67.313</v>
      </c>
      <c r="O157" s="3">
        <v>36.7</v>
      </c>
      <c r="P157" s="3">
        <v>60.0</v>
      </c>
      <c r="Q157" s="3">
        <v>150.3542404</v>
      </c>
      <c r="R157" s="3">
        <v>17.108</v>
      </c>
      <c r="S157" s="3">
        <v>67.3</v>
      </c>
      <c r="T157" s="3">
        <v>86.14227181</v>
      </c>
      <c r="U157" s="3">
        <v>45.22110125</v>
      </c>
      <c r="V157" s="3">
        <v>0.196593617</v>
      </c>
      <c r="W157" s="3">
        <v>57.74057448</v>
      </c>
      <c r="X157" s="3">
        <v>87.0</v>
      </c>
      <c r="Y157" s="3">
        <v>41.59072201</v>
      </c>
      <c r="Z157" s="3">
        <v>23.22274971</v>
      </c>
      <c r="AA157" s="3">
        <v>-1.416443586</v>
      </c>
      <c r="AB157" s="3">
        <v>-0.734936655</v>
      </c>
      <c r="AC157" s="3">
        <v>-0.89161092</v>
      </c>
      <c r="AD157" s="3">
        <v>-0.445125788</v>
      </c>
      <c r="AE157" s="3">
        <v>9.0</v>
      </c>
      <c r="AF157" s="2" t="s">
        <v>34</v>
      </c>
      <c r="AG157" s="3">
        <v>0.415308033</v>
      </c>
    </row>
    <row r="158">
      <c r="A158" s="2" t="s">
        <v>40</v>
      </c>
      <c r="B158" s="3">
        <v>2012.0</v>
      </c>
      <c r="C158" s="3">
        <v>2.1703100877E10</v>
      </c>
      <c r="D158" s="3">
        <v>4.670141924</v>
      </c>
      <c r="E158" s="3">
        <v>794.0925641</v>
      </c>
      <c r="F158" s="3">
        <v>10.654</v>
      </c>
      <c r="G158" s="3">
        <v>9.459809804</v>
      </c>
      <c r="H158" s="3">
        <v>0.423691511</v>
      </c>
      <c r="I158" s="3">
        <v>37.92190606</v>
      </c>
      <c r="J158" s="4"/>
      <c r="K158" s="3">
        <v>2.7330694E7</v>
      </c>
      <c r="L158" s="3">
        <v>0.235525469</v>
      </c>
      <c r="M158" s="2" t="s">
        <v>34</v>
      </c>
      <c r="N158" s="3">
        <v>67.47</v>
      </c>
      <c r="O158" s="3">
        <v>35.2</v>
      </c>
      <c r="P158" s="2" t="s">
        <v>34</v>
      </c>
      <c r="Q158" s="3">
        <v>147.8899892</v>
      </c>
      <c r="R158" s="3">
        <v>17.458</v>
      </c>
      <c r="S158" s="3">
        <v>75.2</v>
      </c>
      <c r="T158" s="3">
        <v>86.68653071</v>
      </c>
      <c r="U158" s="3">
        <v>48.45818056</v>
      </c>
      <c r="V158" s="3">
        <v>0.228065925</v>
      </c>
      <c r="W158" s="3">
        <v>71.40605466</v>
      </c>
      <c r="X158" s="3">
        <v>84.7</v>
      </c>
      <c r="Y158" s="3">
        <v>41.59072201</v>
      </c>
      <c r="Z158" s="3">
        <v>22.74881554</v>
      </c>
      <c r="AA158" s="3">
        <v>-1.381232262</v>
      </c>
      <c r="AB158" s="3">
        <v>-0.805144668</v>
      </c>
      <c r="AC158" s="3">
        <v>-0.737359285</v>
      </c>
      <c r="AD158" s="3">
        <v>-0.642363489</v>
      </c>
      <c r="AE158" s="3">
        <v>11.1493</v>
      </c>
      <c r="AF158" s="2" t="s">
        <v>34</v>
      </c>
      <c r="AG158" s="3">
        <v>0.136727858</v>
      </c>
    </row>
    <row r="159">
      <c r="A159" s="2" t="s">
        <v>40</v>
      </c>
      <c r="B159" s="3">
        <v>2013.0</v>
      </c>
      <c r="C159" s="3">
        <v>2.2162204925E10</v>
      </c>
      <c r="D159" s="3">
        <v>3.525153171</v>
      </c>
      <c r="E159" s="3">
        <v>809.3844533</v>
      </c>
      <c r="F159" s="3">
        <v>10.667</v>
      </c>
      <c r="G159" s="3">
        <v>9.040163119</v>
      </c>
      <c r="H159" s="3">
        <v>0.334712331</v>
      </c>
      <c r="I159" s="3">
        <v>41.86537574</v>
      </c>
      <c r="J159" s="4"/>
      <c r="K159" s="3">
        <v>2.7381555E7</v>
      </c>
      <c r="L159" s="3">
        <v>0.185921857</v>
      </c>
      <c r="M159" s="2" t="s">
        <v>34</v>
      </c>
      <c r="N159" s="3">
        <v>67.965</v>
      </c>
      <c r="O159" s="3">
        <v>33.8</v>
      </c>
      <c r="P159" s="2" t="s">
        <v>34</v>
      </c>
      <c r="Q159" s="3">
        <v>144.305934</v>
      </c>
      <c r="R159" s="3">
        <v>17.815</v>
      </c>
      <c r="S159" s="3">
        <v>77.4</v>
      </c>
      <c r="T159" s="3">
        <v>87.22355971</v>
      </c>
      <c r="U159" s="3">
        <v>51.75956325</v>
      </c>
      <c r="V159" s="3">
        <v>0.229603468</v>
      </c>
      <c r="W159" s="3">
        <v>71.4182306</v>
      </c>
      <c r="X159" s="3">
        <v>86.0</v>
      </c>
      <c r="Y159" s="3">
        <v>41.59072201</v>
      </c>
      <c r="Z159" s="3">
        <v>28.90995216</v>
      </c>
      <c r="AA159" s="3">
        <v>-1.129146099</v>
      </c>
      <c r="AB159" s="3">
        <v>-0.858153939</v>
      </c>
      <c r="AC159" s="3">
        <v>-0.718928397</v>
      </c>
      <c r="AD159" s="3">
        <v>-0.528574824</v>
      </c>
      <c r="AE159" s="3">
        <v>13.3</v>
      </c>
      <c r="AF159" s="2" t="s">
        <v>34</v>
      </c>
      <c r="AG159" s="3">
        <v>0.321841426</v>
      </c>
    </row>
    <row r="160">
      <c r="A160" s="2" t="s">
        <v>40</v>
      </c>
      <c r="B160" s="3">
        <v>2014.0</v>
      </c>
      <c r="C160" s="3">
        <v>2.2731612922E10</v>
      </c>
      <c r="D160" s="3">
        <v>6.011482843</v>
      </c>
      <c r="E160" s="3">
        <v>827.7447084</v>
      </c>
      <c r="F160" s="3">
        <v>10.647</v>
      </c>
      <c r="G160" s="3">
        <v>8.364154697</v>
      </c>
      <c r="H160" s="3">
        <v>0.133746237</v>
      </c>
      <c r="I160" s="3">
        <v>45.98264161</v>
      </c>
      <c r="J160" s="4"/>
      <c r="K160" s="3">
        <v>2.7462106E7</v>
      </c>
      <c r="L160" s="3">
        <v>0.293747924</v>
      </c>
      <c r="M160" s="2" t="s">
        <v>34</v>
      </c>
      <c r="N160" s="3">
        <v>68.085</v>
      </c>
      <c r="O160" s="3">
        <v>32.4</v>
      </c>
      <c r="P160" s="2" t="s">
        <v>34</v>
      </c>
      <c r="Q160" s="3">
        <v>141.9366322</v>
      </c>
      <c r="R160" s="3">
        <v>18.182</v>
      </c>
      <c r="S160" s="3">
        <v>84.9</v>
      </c>
      <c r="T160" s="3">
        <v>87.75332524</v>
      </c>
      <c r="U160" s="3">
        <v>55.12480762</v>
      </c>
      <c r="V160" s="3">
        <v>0.26548583</v>
      </c>
      <c r="W160" s="3">
        <v>75.11797417</v>
      </c>
      <c r="X160" s="3">
        <v>84.0</v>
      </c>
      <c r="Y160" s="3">
        <v>41.59072201</v>
      </c>
      <c r="Z160" s="3">
        <v>33.17307663</v>
      </c>
      <c r="AA160" s="3">
        <v>-0.72459954</v>
      </c>
      <c r="AB160" s="3">
        <v>-0.847787738</v>
      </c>
      <c r="AC160" s="3">
        <v>-0.649084508</v>
      </c>
      <c r="AD160" s="3">
        <v>-0.430445671</v>
      </c>
      <c r="AE160" s="3">
        <v>15.44</v>
      </c>
      <c r="AF160" s="2" t="s">
        <v>34</v>
      </c>
      <c r="AG160" s="3">
        <v>0.719637873</v>
      </c>
    </row>
    <row r="161">
      <c r="A161" s="2" t="s">
        <v>40</v>
      </c>
      <c r="B161" s="3">
        <v>2015.0</v>
      </c>
      <c r="C161" s="3">
        <v>2.4360801287E10</v>
      </c>
      <c r="D161" s="3">
        <v>3.976053272</v>
      </c>
      <c r="E161" s="3">
        <v>882.3076616</v>
      </c>
      <c r="F161" s="3">
        <v>10.655</v>
      </c>
      <c r="G161" s="3">
        <v>7.868908956</v>
      </c>
      <c r="H161" s="3">
        <v>0.213029528</v>
      </c>
      <c r="I161" s="3">
        <v>46.66573039</v>
      </c>
      <c r="J161" s="4"/>
      <c r="K161" s="3">
        <v>2.7610325E7</v>
      </c>
      <c r="L161" s="3">
        <v>0.53827062</v>
      </c>
      <c r="M161" s="2" t="s">
        <v>34</v>
      </c>
      <c r="N161" s="3">
        <v>67.456</v>
      </c>
      <c r="O161" s="3">
        <v>31.0</v>
      </c>
      <c r="P161" s="2" t="s">
        <v>34</v>
      </c>
      <c r="Q161" s="3">
        <v>142.9910284</v>
      </c>
      <c r="R161" s="3">
        <v>18.557</v>
      </c>
      <c r="S161" s="3">
        <v>82.0</v>
      </c>
      <c r="T161" s="3">
        <v>88.27558063</v>
      </c>
      <c r="U161" s="3">
        <v>58.55299334</v>
      </c>
      <c r="V161" s="3">
        <v>0.2661613</v>
      </c>
      <c r="W161" s="3">
        <v>70.93619553</v>
      </c>
      <c r="X161" s="3">
        <v>85.2</v>
      </c>
      <c r="Y161" s="3">
        <v>41.59072201</v>
      </c>
      <c r="Z161" s="3">
        <v>32.38095093</v>
      </c>
      <c r="AA161" s="3">
        <v>-0.997430027</v>
      </c>
      <c r="AB161" s="3">
        <v>-0.831647515</v>
      </c>
      <c r="AC161" s="3">
        <v>-0.692901909</v>
      </c>
      <c r="AD161" s="3">
        <v>-0.415430844</v>
      </c>
      <c r="AE161" s="3">
        <v>17.5816</v>
      </c>
      <c r="AF161" s="2" t="s">
        <v>34</v>
      </c>
      <c r="AG161" s="3">
        <v>0.635275667</v>
      </c>
    </row>
    <row r="162">
      <c r="A162" s="2" t="s">
        <v>40</v>
      </c>
      <c r="B162" s="3">
        <v>2016.0</v>
      </c>
      <c r="C162" s="3">
        <v>2.4524109484E10</v>
      </c>
      <c r="D162" s="3">
        <v>0.433113719</v>
      </c>
      <c r="E162" s="3">
        <v>880.2248936</v>
      </c>
      <c r="F162" s="3">
        <v>10.684</v>
      </c>
      <c r="G162" s="3">
        <v>8.79034332</v>
      </c>
      <c r="H162" s="3">
        <v>0.432212944</v>
      </c>
      <c r="I162" s="3">
        <v>42.11548612</v>
      </c>
      <c r="J162" s="4"/>
      <c r="K162" s="3">
        <v>2.7861186E7</v>
      </c>
      <c r="L162" s="3">
        <v>0.904474047</v>
      </c>
      <c r="M162" s="2" t="s">
        <v>34</v>
      </c>
      <c r="N162" s="3">
        <v>68.776</v>
      </c>
      <c r="O162" s="3">
        <v>29.7</v>
      </c>
      <c r="P162" s="3">
        <v>65.50100708</v>
      </c>
      <c r="Q162" s="3">
        <v>143.414505</v>
      </c>
      <c r="R162" s="3">
        <v>18.942</v>
      </c>
      <c r="S162" s="3">
        <v>90.7</v>
      </c>
      <c r="T162" s="3">
        <v>88.79020539</v>
      </c>
      <c r="U162" s="3">
        <v>62.04347519</v>
      </c>
      <c r="V162" s="3">
        <v>0.389925971</v>
      </c>
      <c r="W162" s="3">
        <v>72.40748542</v>
      </c>
      <c r="X162" s="3">
        <v>79.4</v>
      </c>
      <c r="Y162" s="3">
        <v>41.59072201</v>
      </c>
      <c r="Z162" s="3">
        <v>22.38095284</v>
      </c>
      <c r="AA162" s="3">
        <v>-0.846989989</v>
      </c>
      <c r="AB162" s="3">
        <v>-0.789327502</v>
      </c>
      <c r="AC162" s="3">
        <v>-0.810879767</v>
      </c>
      <c r="AD162" s="3">
        <v>-0.251382679</v>
      </c>
      <c r="AE162" s="3">
        <v>20.7</v>
      </c>
      <c r="AF162" s="2" t="s">
        <v>34</v>
      </c>
      <c r="AG162" s="3">
        <v>0.822554673</v>
      </c>
    </row>
    <row r="163">
      <c r="A163" s="2" t="s">
        <v>40</v>
      </c>
      <c r="B163" s="3">
        <v>2017.0</v>
      </c>
      <c r="C163" s="3">
        <v>2.897158894E10</v>
      </c>
      <c r="D163" s="3">
        <v>8.977279356</v>
      </c>
      <c r="E163" s="3">
        <v>1027.965477</v>
      </c>
      <c r="F163" s="3">
        <v>10.66</v>
      </c>
      <c r="G163" s="3">
        <v>3.627096107</v>
      </c>
      <c r="H163" s="3">
        <v>0.677439884</v>
      </c>
      <c r="I163" s="3">
        <v>44.64241062</v>
      </c>
      <c r="J163" s="4"/>
      <c r="K163" s="3">
        <v>2.8183426E7</v>
      </c>
      <c r="L163" s="3">
        <v>1.149953723</v>
      </c>
      <c r="M163" s="2" t="s">
        <v>34</v>
      </c>
      <c r="N163" s="3">
        <v>68.91</v>
      </c>
      <c r="O163" s="3">
        <v>28.4</v>
      </c>
      <c r="P163" s="2" t="s">
        <v>34</v>
      </c>
      <c r="Q163" s="3">
        <v>140.8214111</v>
      </c>
      <c r="R163" s="3">
        <v>19.336</v>
      </c>
      <c r="S163" s="3">
        <v>86.6</v>
      </c>
      <c r="T163" s="3">
        <v>89.29699309</v>
      </c>
      <c r="U163" s="3">
        <v>65.59537452</v>
      </c>
      <c r="V163" s="3">
        <v>0.47439229</v>
      </c>
      <c r="W163" s="3">
        <v>64.64427161</v>
      </c>
      <c r="X163" s="3">
        <v>76.8</v>
      </c>
      <c r="Y163" s="3">
        <v>41.59072201</v>
      </c>
      <c r="Z163" s="3">
        <v>23.80952454</v>
      </c>
      <c r="AA163" s="3">
        <v>-0.5841012</v>
      </c>
      <c r="AB163" s="3">
        <v>-0.740814745</v>
      </c>
      <c r="AC163" s="3">
        <v>-0.694215536</v>
      </c>
      <c r="AD163" s="3">
        <v>-0.19951579</v>
      </c>
      <c r="AE163" s="3">
        <v>24.3</v>
      </c>
      <c r="AF163" s="2" t="s">
        <v>34</v>
      </c>
      <c r="AG163" s="3">
        <v>1.184259948</v>
      </c>
    </row>
    <row r="164">
      <c r="A164" s="2" t="s">
        <v>40</v>
      </c>
      <c r="B164" s="3">
        <v>2018.0</v>
      </c>
      <c r="C164" s="3">
        <v>3.3111525237E10</v>
      </c>
      <c r="D164" s="3">
        <v>7.622376104</v>
      </c>
      <c r="E164" s="3">
        <v>1161.534352</v>
      </c>
      <c r="F164" s="3">
        <v>10.63</v>
      </c>
      <c r="G164" s="3">
        <v>4.061163388</v>
      </c>
      <c r="H164" s="3">
        <v>0.206157202</v>
      </c>
      <c r="I164" s="3">
        <v>48.44738695</v>
      </c>
      <c r="J164" s="4"/>
      <c r="K164" s="3">
        <v>2.8506712E7</v>
      </c>
      <c r="L164" s="3">
        <v>1.140549365</v>
      </c>
      <c r="M164" s="2" t="s">
        <v>34</v>
      </c>
      <c r="N164" s="3">
        <v>68.979</v>
      </c>
      <c r="O164" s="3">
        <v>27.2</v>
      </c>
      <c r="P164" s="2" t="s">
        <v>34</v>
      </c>
      <c r="Q164" s="2" t="s">
        <v>34</v>
      </c>
      <c r="R164" s="3">
        <v>19.74</v>
      </c>
      <c r="S164" s="3">
        <v>93.9</v>
      </c>
      <c r="T164" s="3">
        <v>89.79577585</v>
      </c>
      <c r="U164" s="3">
        <v>69.20789092</v>
      </c>
      <c r="V164" s="3">
        <v>0.536031655</v>
      </c>
      <c r="W164" s="3">
        <v>64.21083228</v>
      </c>
      <c r="X164" s="3">
        <v>75.0</v>
      </c>
      <c r="Y164" s="3">
        <v>41.59072201</v>
      </c>
      <c r="Z164" s="3">
        <v>27.1428566</v>
      </c>
      <c r="AA164" s="3">
        <v>-0.542416573</v>
      </c>
      <c r="AB164" s="3">
        <v>-0.775707901</v>
      </c>
      <c r="AC164" s="3">
        <v>-0.491404861</v>
      </c>
      <c r="AD164" s="3">
        <v>-0.129691318</v>
      </c>
      <c r="AE164" s="3">
        <v>28.6</v>
      </c>
      <c r="AF164" s="2" t="s">
        <v>34</v>
      </c>
      <c r="AG164" s="3">
        <v>0.630576368</v>
      </c>
    </row>
    <row r="165">
      <c r="A165" s="2" t="s">
        <v>40</v>
      </c>
      <c r="B165" s="3">
        <v>2019.0</v>
      </c>
      <c r="C165" s="3">
        <v>3.4186180699E10</v>
      </c>
      <c r="D165" s="3">
        <v>6.657055431</v>
      </c>
      <c r="E165" s="3">
        <v>1185.682318</v>
      </c>
      <c r="F165" s="3">
        <v>10.578</v>
      </c>
      <c r="G165" s="3">
        <v>5.568685478</v>
      </c>
      <c r="H165" s="3">
        <v>0.54280198</v>
      </c>
      <c r="I165" s="3">
        <v>49.24952659</v>
      </c>
      <c r="J165" s="4"/>
      <c r="K165" s="3">
        <v>2.8832496E7</v>
      </c>
      <c r="L165" s="3">
        <v>1.136351607</v>
      </c>
      <c r="M165" s="2" t="s">
        <v>34</v>
      </c>
      <c r="N165" s="3">
        <v>69.558</v>
      </c>
      <c r="O165" s="3">
        <v>26.0</v>
      </c>
      <c r="P165" s="3">
        <v>68.71250153</v>
      </c>
      <c r="Q165" s="3">
        <v>136.6656647</v>
      </c>
      <c r="R165" s="3">
        <v>20.153</v>
      </c>
      <c r="S165" s="3">
        <v>89.9</v>
      </c>
      <c r="T165" s="3">
        <v>90.28636635</v>
      </c>
      <c r="U165" s="3">
        <v>72.88012795</v>
      </c>
      <c r="V165" s="3">
        <v>0.481671791</v>
      </c>
      <c r="W165" s="3">
        <v>57.27501793</v>
      </c>
      <c r="X165" s="3">
        <v>78.2</v>
      </c>
      <c r="Y165" s="3">
        <v>41.59072201</v>
      </c>
      <c r="Z165" s="3">
        <v>27.1428566</v>
      </c>
      <c r="AA165" s="3">
        <v>-0.452942908</v>
      </c>
      <c r="AB165" s="3">
        <v>-0.735730886</v>
      </c>
      <c r="AC165" s="3">
        <v>-0.553631186</v>
      </c>
      <c r="AD165" s="3">
        <v>-0.150054276</v>
      </c>
      <c r="AE165" s="3">
        <v>34.8055</v>
      </c>
      <c r="AF165" s="2" t="s">
        <v>34</v>
      </c>
      <c r="AG165" s="3">
        <v>1.074529846</v>
      </c>
    </row>
    <row r="166">
      <c r="A166" s="2" t="s">
        <v>40</v>
      </c>
      <c r="B166" s="3">
        <v>2020.0</v>
      </c>
      <c r="C166" s="3">
        <v>3.3433659301E10</v>
      </c>
      <c r="D166" s="3">
        <v>-2.369620629</v>
      </c>
      <c r="E166" s="3">
        <v>1139.189895</v>
      </c>
      <c r="F166" s="3">
        <v>13.157</v>
      </c>
      <c r="G166" s="3">
        <v>5.052366553</v>
      </c>
      <c r="H166" s="3">
        <v>0.378739091</v>
      </c>
      <c r="I166" s="3">
        <v>40.9188656</v>
      </c>
      <c r="J166" s="4"/>
      <c r="K166" s="3">
        <v>2.9348627E7</v>
      </c>
      <c r="L166" s="3">
        <v>1.774268056</v>
      </c>
      <c r="M166" s="2" t="s">
        <v>34</v>
      </c>
      <c r="N166" s="3">
        <v>69.246</v>
      </c>
      <c r="O166" s="3">
        <v>24.9</v>
      </c>
      <c r="P166" s="2" t="s">
        <v>34</v>
      </c>
      <c r="Q166" s="3">
        <v>121.1866837</v>
      </c>
      <c r="R166" s="3">
        <v>20.576</v>
      </c>
      <c r="S166" s="3">
        <v>89.9</v>
      </c>
      <c r="T166" s="3">
        <v>90.76858353</v>
      </c>
      <c r="U166" s="3">
        <v>76.61121214</v>
      </c>
      <c r="V166" s="3">
        <v>0.510153337</v>
      </c>
      <c r="W166" s="3">
        <v>45.72077064</v>
      </c>
      <c r="X166" s="3">
        <v>73.1</v>
      </c>
      <c r="Y166" s="3">
        <v>41.59072201</v>
      </c>
      <c r="Z166" s="3">
        <v>29.04761887</v>
      </c>
      <c r="AA166" s="3">
        <v>-0.180229142</v>
      </c>
      <c r="AB166" s="3">
        <v>-0.735240161</v>
      </c>
      <c r="AC166" s="3">
        <v>-0.512035429</v>
      </c>
      <c r="AD166" s="3">
        <v>-0.084038779</v>
      </c>
      <c r="AE166" s="3">
        <v>37.6984</v>
      </c>
      <c r="AF166" s="2" t="s">
        <v>34</v>
      </c>
      <c r="AG166" s="3">
        <v>2.448800144</v>
      </c>
    </row>
    <row r="167">
      <c r="A167" s="2" t="s">
        <v>40</v>
      </c>
      <c r="B167" s="3">
        <v>2021.0</v>
      </c>
      <c r="C167" s="3">
        <v>3.6924841394E10</v>
      </c>
      <c r="D167" s="3">
        <v>4.838149614</v>
      </c>
      <c r="E167" s="3">
        <v>1229.394204</v>
      </c>
      <c r="F167" s="3">
        <v>12.315</v>
      </c>
      <c r="G167" s="3">
        <v>4.149680034</v>
      </c>
      <c r="H167" s="3">
        <v>0.531690907</v>
      </c>
      <c r="I167" s="3">
        <v>43.05380479</v>
      </c>
      <c r="J167" s="4"/>
      <c r="K167" s="3">
        <v>3.0034989E7</v>
      </c>
      <c r="L167" s="3">
        <v>2.311723712</v>
      </c>
      <c r="M167" s="2" t="s">
        <v>34</v>
      </c>
      <c r="N167" s="3">
        <v>68.45</v>
      </c>
      <c r="O167" s="3">
        <v>23.9</v>
      </c>
      <c r="P167" s="3">
        <v>71.15000153</v>
      </c>
      <c r="Q167" s="3">
        <v>118.3385537</v>
      </c>
      <c r="R167" s="3">
        <v>21.008</v>
      </c>
      <c r="S167" s="3">
        <v>89.9</v>
      </c>
      <c r="T167" s="3">
        <v>91.24225081</v>
      </c>
      <c r="U167" s="3">
        <v>80.40022366</v>
      </c>
      <c r="V167" s="3">
        <v>0.524208615</v>
      </c>
      <c r="W167" s="2" t="s">
        <v>34</v>
      </c>
      <c r="X167" s="3">
        <v>73.7</v>
      </c>
      <c r="Y167" s="3">
        <v>41.59072201</v>
      </c>
      <c r="Z167" s="3">
        <v>32.38095093</v>
      </c>
      <c r="AA167" s="3">
        <v>-0.188807815</v>
      </c>
      <c r="AB167" s="3">
        <v>-0.642471373</v>
      </c>
      <c r="AC167" s="3">
        <v>-0.48886165</v>
      </c>
      <c r="AD167" s="3">
        <v>-0.084464759</v>
      </c>
      <c r="AE167" s="3">
        <v>41.6083</v>
      </c>
      <c r="AF167" s="2" t="s">
        <v>34</v>
      </c>
      <c r="AG167" s="3">
        <v>1.247831571</v>
      </c>
    </row>
    <row r="168">
      <c r="A168" s="2" t="s">
        <v>40</v>
      </c>
      <c r="B168" s="3">
        <v>2022.0</v>
      </c>
      <c r="C168" s="3">
        <v>4.1182939601E10</v>
      </c>
      <c r="D168" s="3">
        <v>5.631314559</v>
      </c>
      <c r="E168" s="3">
        <v>1348.15719</v>
      </c>
      <c r="F168" s="3">
        <v>10.922</v>
      </c>
      <c r="G168" s="3">
        <v>7.650791768</v>
      </c>
      <c r="H168" s="3">
        <v>0.158939274</v>
      </c>
      <c r="I168" s="3">
        <v>48.97340148</v>
      </c>
      <c r="J168" s="3">
        <v>30.0</v>
      </c>
      <c r="K168" s="3">
        <v>3.054758E7</v>
      </c>
      <c r="L168" s="3">
        <v>1.692246601</v>
      </c>
      <c r="M168" s="3">
        <v>0.4</v>
      </c>
      <c r="N168" s="3">
        <v>70.484</v>
      </c>
      <c r="O168" s="3">
        <v>23.0</v>
      </c>
      <c r="P168" s="2" t="s">
        <v>34</v>
      </c>
      <c r="Q168" s="3">
        <v>118.8039516</v>
      </c>
      <c r="R168" s="3">
        <v>21.451</v>
      </c>
      <c r="S168" s="3">
        <v>91.3</v>
      </c>
      <c r="T168" s="3">
        <v>91.23509651</v>
      </c>
      <c r="U168" s="3">
        <v>80.39270303</v>
      </c>
      <c r="V168" s="3">
        <v>0.518774319</v>
      </c>
      <c r="W168" s="2" t="s">
        <v>34</v>
      </c>
      <c r="X168" s="2" t="s">
        <v>34</v>
      </c>
      <c r="Y168" s="2" t="s">
        <v>34</v>
      </c>
      <c r="Z168" s="3">
        <v>33.96226501</v>
      </c>
      <c r="AA168" s="3">
        <v>-0.251907498</v>
      </c>
      <c r="AB168" s="3">
        <v>-0.650234938</v>
      </c>
      <c r="AC168" s="3">
        <v>-0.448678464</v>
      </c>
      <c r="AD168" s="3">
        <v>-0.0491594</v>
      </c>
      <c r="AE168" s="3">
        <v>49.5609</v>
      </c>
      <c r="AF168" s="2" t="s">
        <v>34</v>
      </c>
      <c r="AG168" s="3">
        <v>0.538949755</v>
      </c>
    </row>
    <row r="169">
      <c r="A169" s="2" t="s">
        <v>40</v>
      </c>
      <c r="B169" s="3">
        <v>2023.0</v>
      </c>
      <c r="C169" s="3">
        <v>4.0908073367E10</v>
      </c>
      <c r="D169" s="3">
        <v>1.952544633</v>
      </c>
      <c r="E169" s="3">
        <v>1324.031984</v>
      </c>
      <c r="F169" s="3">
        <v>10.685</v>
      </c>
      <c r="G169" s="3">
        <v>7.114759517</v>
      </c>
      <c r="H169" s="3">
        <v>0.180483792</v>
      </c>
      <c r="I169" s="3">
        <v>41.63749471</v>
      </c>
      <c r="J169" s="4"/>
      <c r="K169" s="3">
        <v>3.089659E7</v>
      </c>
      <c r="L169" s="3">
        <v>1.136035375</v>
      </c>
      <c r="M169" s="2" t="s">
        <v>34</v>
      </c>
      <c r="N169" s="2" t="s">
        <v>34</v>
      </c>
      <c r="O169" s="2" t="s">
        <v>34</v>
      </c>
      <c r="P169" s="2" t="s">
        <v>34</v>
      </c>
      <c r="Q169" s="3">
        <v>122.9840624</v>
      </c>
      <c r="R169" s="3">
        <v>21.903</v>
      </c>
      <c r="S169" s="2" t="s">
        <v>34</v>
      </c>
      <c r="T169" s="2" t="s">
        <v>34</v>
      </c>
      <c r="U169" s="2" t="s">
        <v>34</v>
      </c>
      <c r="V169" s="2" t="s">
        <v>34</v>
      </c>
      <c r="W169" s="2" t="s">
        <v>34</v>
      </c>
      <c r="X169" s="2" t="s">
        <v>34</v>
      </c>
      <c r="Y169" s="2" t="s">
        <v>34</v>
      </c>
      <c r="Z169" s="2" t="s">
        <v>34</v>
      </c>
      <c r="AA169" s="2" t="s">
        <v>34</v>
      </c>
      <c r="AB169" s="2" t="s">
        <v>34</v>
      </c>
      <c r="AC169" s="2" t="s">
        <v>34</v>
      </c>
      <c r="AD169" s="2" t="s">
        <v>34</v>
      </c>
      <c r="AE169" s="2" t="s">
        <v>34</v>
      </c>
      <c r="AF169" s="2" t="s">
        <v>34</v>
      </c>
      <c r="AG169" s="2" t="s">
        <v>34</v>
      </c>
    </row>
    <row r="170">
      <c r="A170" s="2" t="s">
        <v>41</v>
      </c>
      <c r="B170" s="3">
        <v>2000.0</v>
      </c>
      <c r="C170" s="3">
        <v>9.9484802345E10</v>
      </c>
      <c r="D170" s="3">
        <v>4.260088011</v>
      </c>
      <c r="E170" s="3">
        <v>644.457157</v>
      </c>
      <c r="F170" s="3">
        <v>0.597</v>
      </c>
      <c r="G170" s="3">
        <v>4.366664513</v>
      </c>
      <c r="H170" s="3">
        <v>0.309595026</v>
      </c>
      <c r="I170" s="3">
        <v>21.45996933</v>
      </c>
      <c r="J170" s="4"/>
      <c r="K170" s="3">
        <v>1.54369924E8</v>
      </c>
      <c r="L170" s="3">
        <v>3.075552912</v>
      </c>
      <c r="M170" s="2" t="s">
        <v>34</v>
      </c>
      <c r="N170" s="3">
        <v>62.102</v>
      </c>
      <c r="O170" s="3">
        <v>84.8</v>
      </c>
      <c r="P170" s="2" t="s">
        <v>34</v>
      </c>
      <c r="Q170" s="3">
        <v>63.47122955</v>
      </c>
      <c r="R170" s="3">
        <v>32.982</v>
      </c>
      <c r="S170" s="3">
        <v>72.8</v>
      </c>
      <c r="T170" s="3">
        <v>87.36402076</v>
      </c>
      <c r="U170" s="3">
        <v>30.9057923</v>
      </c>
      <c r="V170" s="3">
        <v>0.710499799</v>
      </c>
      <c r="W170" s="3">
        <v>59.16341563</v>
      </c>
      <c r="X170" s="3">
        <v>51.0</v>
      </c>
      <c r="Y170" s="3">
        <v>5.852091117</v>
      </c>
      <c r="Z170" s="3">
        <v>22.87234116</v>
      </c>
      <c r="AA170" s="3">
        <v>-1.104804635</v>
      </c>
      <c r="AB170" s="3">
        <v>-0.766920447</v>
      </c>
      <c r="AC170" s="3">
        <v>-1.000389218</v>
      </c>
      <c r="AD170" s="3">
        <v>-1.220253587</v>
      </c>
      <c r="AE170" s="2" t="s">
        <v>34</v>
      </c>
      <c r="AF170" s="3">
        <v>0.115659997</v>
      </c>
      <c r="AG170" s="2" t="s">
        <v>34</v>
      </c>
    </row>
    <row r="171">
      <c r="A171" s="2" t="s">
        <v>41</v>
      </c>
      <c r="B171" s="3">
        <v>2001.0</v>
      </c>
      <c r="C171" s="3">
        <v>9.714561848E10</v>
      </c>
      <c r="D171" s="3">
        <v>3.651350171</v>
      </c>
      <c r="E171" s="3">
        <v>610.1432316</v>
      </c>
      <c r="F171" s="3">
        <v>0.595</v>
      </c>
      <c r="G171" s="3">
        <v>3.148261446</v>
      </c>
      <c r="H171" s="3">
        <v>0.389106586</v>
      </c>
      <c r="I171" s="3">
        <v>23.57720884</v>
      </c>
      <c r="J171" s="3">
        <v>28.7</v>
      </c>
      <c r="K171" s="3">
        <v>1.59217727E8</v>
      </c>
      <c r="L171" s="3">
        <v>3.092079184</v>
      </c>
      <c r="M171" s="3">
        <v>33.3</v>
      </c>
      <c r="N171" s="3">
        <v>62.421</v>
      </c>
      <c r="O171" s="3">
        <v>82.9</v>
      </c>
      <c r="P171" s="2" t="s">
        <v>34</v>
      </c>
      <c r="Q171" s="3">
        <v>63.47180939</v>
      </c>
      <c r="R171" s="3">
        <v>33.18</v>
      </c>
      <c r="S171" s="3">
        <v>73.9</v>
      </c>
      <c r="T171" s="3">
        <v>87.60278309</v>
      </c>
      <c r="U171" s="3">
        <v>32.80766837</v>
      </c>
      <c r="V171" s="3">
        <v>0.705394444</v>
      </c>
      <c r="W171" s="3">
        <v>59.26193463</v>
      </c>
      <c r="X171" s="3">
        <v>51.5</v>
      </c>
      <c r="Y171" s="3">
        <v>5.797928342</v>
      </c>
      <c r="Z171" s="2" t="s">
        <v>34</v>
      </c>
      <c r="AA171" s="2" t="s">
        <v>34</v>
      </c>
      <c r="AB171" s="2" t="s">
        <v>34</v>
      </c>
      <c r="AC171" s="2" t="s">
        <v>34</v>
      </c>
      <c r="AD171" s="2" t="s">
        <v>34</v>
      </c>
      <c r="AE171" s="3">
        <v>1.31855</v>
      </c>
      <c r="AF171" s="3">
        <v>0.151649997</v>
      </c>
      <c r="AG171" s="2" t="s">
        <v>34</v>
      </c>
    </row>
    <row r="172">
      <c r="A172" s="2" t="s">
        <v>41</v>
      </c>
      <c r="B172" s="3">
        <v>2002.0</v>
      </c>
      <c r="C172" s="3">
        <v>9.7923302809E10</v>
      </c>
      <c r="D172" s="3">
        <v>2.594816684</v>
      </c>
      <c r="E172" s="3">
        <v>599.7894108</v>
      </c>
      <c r="F172" s="3">
        <v>0.597</v>
      </c>
      <c r="G172" s="3">
        <v>3.290344726</v>
      </c>
      <c r="H172" s="3">
        <v>0.8435173</v>
      </c>
      <c r="I172" s="3">
        <v>23.1290206</v>
      </c>
      <c r="J172" s="4"/>
      <c r="K172" s="3">
        <v>1.63262807E8</v>
      </c>
      <c r="L172" s="3">
        <v>2.50885976</v>
      </c>
      <c r="M172" s="2" t="s">
        <v>34</v>
      </c>
      <c r="N172" s="3">
        <v>62.626</v>
      </c>
      <c r="O172" s="3">
        <v>81.1</v>
      </c>
      <c r="P172" s="2" t="s">
        <v>34</v>
      </c>
      <c r="Q172" s="3">
        <v>63.84201813</v>
      </c>
      <c r="R172" s="3">
        <v>33.38</v>
      </c>
      <c r="S172" s="3">
        <v>74.9</v>
      </c>
      <c r="T172" s="3">
        <v>87.83853927</v>
      </c>
      <c r="U172" s="3">
        <v>34.70445497</v>
      </c>
      <c r="V172" s="3">
        <v>0.691158642</v>
      </c>
      <c r="W172" s="3">
        <v>59.34946089</v>
      </c>
      <c r="X172" s="3">
        <v>51.4</v>
      </c>
      <c r="Y172" s="3">
        <v>5.743765567</v>
      </c>
      <c r="Z172" s="3">
        <v>20.1058197</v>
      </c>
      <c r="AA172" s="3">
        <v>-1.637678623</v>
      </c>
      <c r="AB172" s="3">
        <v>-0.877513707</v>
      </c>
      <c r="AC172" s="3">
        <v>-0.931637406</v>
      </c>
      <c r="AD172" s="3">
        <v>-1.109006166</v>
      </c>
      <c r="AE172" s="3">
        <v>2.57743</v>
      </c>
      <c r="AF172" s="3">
        <v>0.198870003</v>
      </c>
      <c r="AG172" s="2" t="s">
        <v>34</v>
      </c>
    </row>
    <row r="173">
      <c r="A173" s="2" t="s">
        <v>41</v>
      </c>
      <c r="B173" s="3">
        <v>2003.0</v>
      </c>
      <c r="C173" s="5">
        <v>1.12E11</v>
      </c>
      <c r="D173" s="3">
        <v>5.401310873</v>
      </c>
      <c r="E173" s="3">
        <v>673.382966</v>
      </c>
      <c r="F173" s="3">
        <v>0.595</v>
      </c>
      <c r="G173" s="3">
        <v>2.914134701</v>
      </c>
      <c r="H173" s="3">
        <v>0.475207712</v>
      </c>
      <c r="I173" s="3">
        <v>24.65016612</v>
      </c>
      <c r="J173" s="4"/>
      <c r="K173" s="3">
        <v>1.6687668E8</v>
      </c>
      <c r="L173" s="3">
        <v>2.189388121</v>
      </c>
      <c r="M173" s="2" t="s">
        <v>34</v>
      </c>
      <c r="N173" s="3">
        <v>62.843</v>
      </c>
      <c r="O173" s="3">
        <v>79.5</v>
      </c>
      <c r="P173" s="2" t="s">
        <v>34</v>
      </c>
      <c r="Q173" s="3">
        <v>65.76925659</v>
      </c>
      <c r="R173" s="3">
        <v>33.58</v>
      </c>
      <c r="S173" s="3">
        <v>76.0</v>
      </c>
      <c r="T173" s="3">
        <v>88.07328112</v>
      </c>
      <c r="U173" s="3">
        <v>36.59515911</v>
      </c>
      <c r="V173" s="3">
        <v>0.699751457</v>
      </c>
      <c r="W173" s="3">
        <v>59.36998418</v>
      </c>
      <c r="X173" s="3">
        <v>50.1</v>
      </c>
      <c r="Y173" s="3">
        <v>5.689602792</v>
      </c>
      <c r="Z173" s="3">
        <v>24.33862495</v>
      </c>
      <c r="AA173" s="3">
        <v>-1.54904592</v>
      </c>
      <c r="AB173" s="3">
        <v>-0.827369988</v>
      </c>
      <c r="AC173" s="3">
        <v>-0.920624614</v>
      </c>
      <c r="AD173" s="3">
        <v>-1.170764208</v>
      </c>
      <c r="AE173" s="3">
        <v>5.04116</v>
      </c>
      <c r="AF173" s="2" t="s">
        <v>34</v>
      </c>
      <c r="AG173" s="2" t="s">
        <v>34</v>
      </c>
    </row>
    <row r="174">
      <c r="A174" s="2" t="s">
        <v>41</v>
      </c>
      <c r="B174" s="3">
        <v>2004.0</v>
      </c>
      <c r="C174" s="5">
        <v>1.32E11</v>
      </c>
      <c r="D174" s="3">
        <v>7.83125557</v>
      </c>
      <c r="E174" s="3">
        <v>774.7853357</v>
      </c>
      <c r="F174" s="3">
        <v>0.588</v>
      </c>
      <c r="G174" s="3">
        <v>7.444624693</v>
      </c>
      <c r="H174" s="3">
        <v>0.845585702</v>
      </c>
      <c r="I174" s="3">
        <v>24.80834087</v>
      </c>
      <c r="J174" s="3">
        <v>30.9</v>
      </c>
      <c r="K174" s="3">
        <v>1.7064862E8</v>
      </c>
      <c r="L174" s="3">
        <v>2.235149207</v>
      </c>
      <c r="M174" s="3">
        <v>20.2</v>
      </c>
      <c r="N174" s="3">
        <v>63.052</v>
      </c>
      <c r="O174" s="3">
        <v>78.1</v>
      </c>
      <c r="P174" s="2" t="s">
        <v>34</v>
      </c>
      <c r="Q174" s="3">
        <v>69.64685822</v>
      </c>
      <c r="R174" s="3">
        <v>33.781</v>
      </c>
      <c r="S174" s="3">
        <v>77.0</v>
      </c>
      <c r="T174" s="3">
        <v>88.30713702</v>
      </c>
      <c r="U174" s="3">
        <v>38.48021693</v>
      </c>
      <c r="V174" s="3">
        <v>0.764313828</v>
      </c>
      <c r="W174" s="3">
        <v>59.26749427</v>
      </c>
      <c r="X174" s="3">
        <v>47.9</v>
      </c>
      <c r="Y174" s="3">
        <v>5.635440017</v>
      </c>
      <c r="Z174" s="3">
        <v>10.83743858</v>
      </c>
      <c r="AA174" s="3">
        <v>-1.582877994</v>
      </c>
      <c r="AB174" s="3">
        <v>-1.049112082</v>
      </c>
      <c r="AC174" s="3">
        <v>-0.994449377</v>
      </c>
      <c r="AD174" s="3">
        <v>-1.142131209</v>
      </c>
      <c r="AE174" s="3">
        <v>6.16432</v>
      </c>
      <c r="AF174" s="2" t="s">
        <v>34</v>
      </c>
      <c r="AG174" s="2" t="s">
        <v>34</v>
      </c>
    </row>
    <row r="175">
      <c r="A175" s="2" t="s">
        <v>41</v>
      </c>
      <c r="B175" s="3">
        <v>2005.0</v>
      </c>
      <c r="C175" s="5">
        <v>1.45E11</v>
      </c>
      <c r="D175" s="3">
        <v>7.276574436</v>
      </c>
      <c r="E175" s="3">
        <v>832.7511375</v>
      </c>
      <c r="F175" s="3">
        <v>0.582</v>
      </c>
      <c r="G175" s="3">
        <v>9.06332737</v>
      </c>
      <c r="H175" s="3">
        <v>1.515750831</v>
      </c>
      <c r="I175" s="3">
        <v>29.878498</v>
      </c>
      <c r="J175" s="3">
        <v>31.3</v>
      </c>
      <c r="K175" s="3">
        <v>1.74372098E8</v>
      </c>
      <c r="L175" s="3">
        <v>2.158492155</v>
      </c>
      <c r="M175" s="3">
        <v>20.3</v>
      </c>
      <c r="N175" s="3">
        <v>62.466</v>
      </c>
      <c r="O175" s="3">
        <v>76.8</v>
      </c>
      <c r="P175" s="3">
        <v>50.0</v>
      </c>
      <c r="Q175" s="3">
        <v>73.18280792</v>
      </c>
      <c r="R175" s="3">
        <v>33.982</v>
      </c>
      <c r="S175" s="3">
        <v>78.1</v>
      </c>
      <c r="T175" s="3">
        <v>87.99057987</v>
      </c>
      <c r="U175" s="3">
        <v>40.35915769</v>
      </c>
      <c r="V175" s="3">
        <v>0.761454393</v>
      </c>
      <c r="W175" s="3">
        <v>58.98598095</v>
      </c>
      <c r="X175" s="3">
        <v>48.0</v>
      </c>
      <c r="Y175" s="3">
        <v>5.581277242</v>
      </c>
      <c r="Z175" s="3">
        <v>14.63414669</v>
      </c>
      <c r="AA175" s="3">
        <v>-1.751388311</v>
      </c>
      <c r="AB175" s="3">
        <v>-0.641119778</v>
      </c>
      <c r="AC175" s="3">
        <v>-0.890321434</v>
      </c>
      <c r="AD175" s="3">
        <v>-0.976286173</v>
      </c>
      <c r="AE175" s="3">
        <v>6.33233</v>
      </c>
      <c r="AF175" s="3">
        <v>0.398490012</v>
      </c>
      <c r="AG175" s="2" t="s">
        <v>34</v>
      </c>
    </row>
    <row r="176">
      <c r="A176" s="2" t="s">
        <v>41</v>
      </c>
      <c r="B176" s="3">
        <v>2006.0</v>
      </c>
      <c r="C176" s="5">
        <v>1.62E11</v>
      </c>
      <c r="D176" s="3">
        <v>6.051637676</v>
      </c>
      <c r="E176" s="3">
        <v>909.0324033</v>
      </c>
      <c r="F176" s="3">
        <v>0.582</v>
      </c>
      <c r="G176" s="3">
        <v>7.921084401</v>
      </c>
      <c r="H176" s="3">
        <v>2.639750062</v>
      </c>
      <c r="I176" s="3">
        <v>33.04971214</v>
      </c>
      <c r="J176" s="4"/>
      <c r="K176" s="3">
        <v>1.78069984E8</v>
      </c>
      <c r="L176" s="3">
        <v>2.098513142</v>
      </c>
      <c r="M176" s="2" t="s">
        <v>34</v>
      </c>
      <c r="N176" s="3">
        <v>63.731</v>
      </c>
      <c r="O176" s="3">
        <v>75.5</v>
      </c>
      <c r="P176" s="3">
        <v>54.0</v>
      </c>
      <c r="Q176" s="3">
        <v>69.86380768</v>
      </c>
      <c r="R176" s="3">
        <v>34.184</v>
      </c>
      <c r="S176" s="3">
        <v>79.1</v>
      </c>
      <c r="T176" s="3">
        <v>88.14406172</v>
      </c>
      <c r="U176" s="3">
        <v>42.2129055</v>
      </c>
      <c r="V176" s="3">
        <v>0.807902021</v>
      </c>
      <c r="W176" s="3">
        <v>57.44540129</v>
      </c>
      <c r="X176" s="3">
        <v>47.0</v>
      </c>
      <c r="Y176" s="3">
        <v>5.527114467</v>
      </c>
      <c r="Z176" s="3">
        <v>22.43902397</v>
      </c>
      <c r="AA176" s="3">
        <v>-2.024678469</v>
      </c>
      <c r="AB176" s="3">
        <v>-0.479762465</v>
      </c>
      <c r="AC176" s="3">
        <v>-0.857247531</v>
      </c>
      <c r="AD176" s="3">
        <v>-0.886475444</v>
      </c>
      <c r="AE176" s="3">
        <v>6.5</v>
      </c>
      <c r="AF176" s="2" t="s">
        <v>34</v>
      </c>
      <c r="AG176" s="2" t="s">
        <v>34</v>
      </c>
    </row>
    <row r="177">
      <c r="A177" s="2" t="s">
        <v>41</v>
      </c>
      <c r="B177" s="3">
        <v>2007.0</v>
      </c>
      <c r="C177" s="5">
        <v>1.84E11</v>
      </c>
      <c r="D177" s="3">
        <v>4.44481434</v>
      </c>
      <c r="E177" s="3">
        <v>1012.182794</v>
      </c>
      <c r="F177" s="3">
        <v>0.398</v>
      </c>
      <c r="G177" s="3">
        <v>7.598684411</v>
      </c>
      <c r="H177" s="3">
        <v>3.035719338</v>
      </c>
      <c r="I177" s="3">
        <v>30.78788045</v>
      </c>
      <c r="J177" s="3">
        <v>29.7</v>
      </c>
      <c r="K177" s="3">
        <v>1.81924521E8</v>
      </c>
      <c r="L177" s="3">
        <v>2.141523972</v>
      </c>
      <c r="M177" s="3">
        <v>14.9</v>
      </c>
      <c r="N177" s="3">
        <v>63.852</v>
      </c>
      <c r="O177" s="3">
        <v>74.3</v>
      </c>
      <c r="P177" s="3">
        <v>52.0</v>
      </c>
      <c r="Q177" s="3">
        <v>74.22019958</v>
      </c>
      <c r="R177" s="3">
        <v>34.387</v>
      </c>
      <c r="S177" s="3">
        <v>80.2</v>
      </c>
      <c r="T177" s="3">
        <v>88.31188748</v>
      </c>
      <c r="U177" s="3">
        <v>44.05647274</v>
      </c>
      <c r="V177" s="3">
        <v>0.878248843</v>
      </c>
      <c r="W177" s="3">
        <v>54.33527038</v>
      </c>
      <c r="X177" s="3">
        <v>44.9</v>
      </c>
      <c r="Y177" s="3">
        <v>5.472951692</v>
      </c>
      <c r="Z177" s="3">
        <v>21.84465981</v>
      </c>
      <c r="AA177" s="3">
        <v>-2.432705164</v>
      </c>
      <c r="AB177" s="3">
        <v>-0.537263751</v>
      </c>
      <c r="AC177" s="3">
        <v>-0.887544632</v>
      </c>
      <c r="AD177" s="3">
        <v>-0.949874163</v>
      </c>
      <c r="AE177" s="3">
        <v>6.8</v>
      </c>
      <c r="AF177" s="3">
        <v>0.632499993</v>
      </c>
      <c r="AG177" s="2" t="s">
        <v>34</v>
      </c>
    </row>
    <row r="178">
      <c r="A178" s="2" t="s">
        <v>41</v>
      </c>
      <c r="B178" s="3">
        <v>2008.0</v>
      </c>
      <c r="C178" s="5">
        <v>2.02E11</v>
      </c>
      <c r="D178" s="3">
        <v>2.120441043</v>
      </c>
      <c r="E178" s="3">
        <v>1087.514777</v>
      </c>
      <c r="F178" s="3">
        <v>0.423</v>
      </c>
      <c r="G178" s="3">
        <v>20.28612109</v>
      </c>
      <c r="H178" s="3">
        <v>2.689366561</v>
      </c>
      <c r="I178" s="3">
        <v>34.34896042</v>
      </c>
      <c r="J178" s="4"/>
      <c r="K178" s="3">
        <v>1.85931955E8</v>
      </c>
      <c r="L178" s="3">
        <v>2.178889217</v>
      </c>
      <c r="M178" s="2" t="s">
        <v>34</v>
      </c>
      <c r="N178" s="3">
        <v>64.036</v>
      </c>
      <c r="O178" s="3">
        <v>73.0</v>
      </c>
      <c r="P178" s="3">
        <v>56.0</v>
      </c>
      <c r="Q178" s="3">
        <v>73.91271973</v>
      </c>
      <c r="R178" s="3">
        <v>34.59</v>
      </c>
      <c r="S178" s="3">
        <v>81.4</v>
      </c>
      <c r="T178" s="3">
        <v>88.47793129</v>
      </c>
      <c r="U178" s="3">
        <v>45.88948541</v>
      </c>
      <c r="V178" s="3">
        <v>0.834113749</v>
      </c>
      <c r="W178" s="3">
        <v>50.75391506</v>
      </c>
      <c r="X178" s="3">
        <v>46.6</v>
      </c>
      <c r="Y178" s="3">
        <v>5.418788917</v>
      </c>
      <c r="Z178" s="3">
        <v>19.41747665</v>
      </c>
      <c r="AA178" s="3">
        <v>-2.573009491</v>
      </c>
      <c r="AB178" s="3">
        <v>-0.599021852</v>
      </c>
      <c r="AC178" s="3">
        <v>-0.972613692</v>
      </c>
      <c r="AD178" s="3">
        <v>-0.838403463</v>
      </c>
      <c r="AE178" s="3">
        <v>7.0</v>
      </c>
      <c r="AF178" s="2" t="s">
        <v>34</v>
      </c>
      <c r="AG178" s="3">
        <v>1.924735013</v>
      </c>
    </row>
    <row r="179">
      <c r="A179" s="2" t="s">
        <v>41</v>
      </c>
      <c r="B179" s="3">
        <v>2009.0</v>
      </c>
      <c r="C179" s="5">
        <v>1.87E11</v>
      </c>
      <c r="D179" s="3">
        <v>3.472550596</v>
      </c>
      <c r="E179" s="3">
        <v>985.3493008</v>
      </c>
      <c r="F179" s="3">
        <v>0.535</v>
      </c>
      <c r="G179" s="3">
        <v>13.64776506</v>
      </c>
      <c r="H179" s="3">
        <v>1.248013055</v>
      </c>
      <c r="I179" s="3">
        <v>33.32688559</v>
      </c>
      <c r="J179" s="4"/>
      <c r="K179" s="3">
        <v>1.90123222E8</v>
      </c>
      <c r="L179" s="3">
        <v>2.229162535</v>
      </c>
      <c r="M179" s="2" t="s">
        <v>34</v>
      </c>
      <c r="N179" s="3">
        <v>64.14</v>
      </c>
      <c r="O179" s="3">
        <v>71.6</v>
      </c>
      <c r="P179" s="3">
        <v>55.0</v>
      </c>
      <c r="Q179" s="3">
        <v>74.17310333</v>
      </c>
      <c r="R179" s="3">
        <v>34.793</v>
      </c>
      <c r="S179" s="3">
        <v>82.5</v>
      </c>
      <c r="T179" s="3">
        <v>88.64219188</v>
      </c>
      <c r="U179" s="3">
        <v>47.71199679</v>
      </c>
      <c r="V179" s="3">
        <v>0.831399228</v>
      </c>
      <c r="W179" s="3">
        <v>47.79966219</v>
      </c>
      <c r="X179" s="3">
        <v>46.4</v>
      </c>
      <c r="Y179" s="3">
        <v>5.364626142</v>
      </c>
      <c r="Z179" s="3">
        <v>13.87559795</v>
      </c>
      <c r="AA179" s="3">
        <v>-2.64452672</v>
      </c>
      <c r="AB179" s="3">
        <v>-0.584045112</v>
      </c>
      <c r="AC179" s="3">
        <v>-0.838977218</v>
      </c>
      <c r="AD179" s="3">
        <v>-0.855763972</v>
      </c>
      <c r="AE179" s="3">
        <v>7.5</v>
      </c>
      <c r="AF179" s="3">
        <v>0.448060006</v>
      </c>
      <c r="AG179" s="3">
        <v>1.767061445</v>
      </c>
    </row>
    <row r="180">
      <c r="A180" s="2" t="s">
        <v>41</v>
      </c>
      <c r="B180" s="3">
        <v>2010.0</v>
      </c>
      <c r="C180" s="5">
        <v>1.97E11</v>
      </c>
      <c r="D180" s="3">
        <v>1.501717522</v>
      </c>
      <c r="E180" s="3">
        <v>1011.59718</v>
      </c>
      <c r="F180" s="3">
        <v>0.653</v>
      </c>
      <c r="G180" s="3">
        <v>12.93887056</v>
      </c>
      <c r="H180" s="3">
        <v>1.027911081</v>
      </c>
      <c r="I180" s="3">
        <v>31.98899821</v>
      </c>
      <c r="J180" s="3">
        <v>28.8</v>
      </c>
      <c r="K180" s="3">
        <v>1.94454498E8</v>
      </c>
      <c r="L180" s="3">
        <v>2.252579345</v>
      </c>
      <c r="M180" s="3">
        <v>9.4</v>
      </c>
      <c r="N180" s="3">
        <v>64.436</v>
      </c>
      <c r="O180" s="3">
        <v>70.2</v>
      </c>
      <c r="P180" s="3">
        <v>55.0</v>
      </c>
      <c r="Q180" s="3">
        <v>74.51810256</v>
      </c>
      <c r="R180" s="3">
        <v>34.997</v>
      </c>
      <c r="S180" s="3">
        <v>87.1</v>
      </c>
      <c r="T180" s="3">
        <v>88.80475285</v>
      </c>
      <c r="U180" s="3">
        <v>49.52440583</v>
      </c>
      <c r="V180" s="3">
        <v>0.782293038</v>
      </c>
      <c r="W180" s="3">
        <v>46.5708386</v>
      </c>
      <c r="X180" s="3">
        <v>47.4</v>
      </c>
      <c r="Y180" s="3">
        <v>5.310463367</v>
      </c>
      <c r="Z180" s="3">
        <v>13.80952358</v>
      </c>
      <c r="AA180" s="3">
        <v>-2.675933123</v>
      </c>
      <c r="AB180" s="3">
        <v>-0.613358259</v>
      </c>
      <c r="AC180" s="3">
        <v>-0.737805545</v>
      </c>
      <c r="AD180" s="3">
        <v>-0.798651278</v>
      </c>
      <c r="AE180" s="3">
        <v>8.0</v>
      </c>
      <c r="AF180" s="2" t="s">
        <v>34</v>
      </c>
      <c r="AG180" s="3">
        <v>1.728023576</v>
      </c>
    </row>
    <row r="181">
      <c r="A181" s="2" t="s">
        <v>41</v>
      </c>
      <c r="B181" s="3">
        <v>2011.0</v>
      </c>
      <c r="C181" s="5">
        <v>2.31E11</v>
      </c>
      <c r="D181" s="3">
        <v>2.680116854</v>
      </c>
      <c r="E181" s="3">
        <v>1161.044321</v>
      </c>
      <c r="F181" s="3">
        <v>0.796</v>
      </c>
      <c r="G181" s="3">
        <v>11.91609271</v>
      </c>
      <c r="H181" s="3">
        <v>0.575055146</v>
      </c>
      <c r="I181" s="3">
        <v>32.36263828</v>
      </c>
      <c r="J181" s="3">
        <v>29.7</v>
      </c>
      <c r="K181" s="3">
        <v>1.98602738E8</v>
      </c>
      <c r="L181" s="3">
        <v>2.110834578</v>
      </c>
      <c r="M181" s="3">
        <v>9.6</v>
      </c>
      <c r="N181" s="3">
        <v>64.648</v>
      </c>
      <c r="O181" s="3">
        <v>68.7</v>
      </c>
      <c r="P181" s="3">
        <v>55.0</v>
      </c>
      <c r="Q181" s="3">
        <v>71.02598842</v>
      </c>
      <c r="R181" s="3">
        <v>35.202</v>
      </c>
      <c r="S181" s="3">
        <v>87.8</v>
      </c>
      <c r="T181" s="3">
        <v>88.96560218</v>
      </c>
      <c r="U181" s="3">
        <v>51.32672381</v>
      </c>
      <c r="V181" s="3">
        <v>0.77423555</v>
      </c>
      <c r="W181" s="3">
        <v>55.75497917</v>
      </c>
      <c r="X181" s="3">
        <v>46.8</v>
      </c>
      <c r="Y181" s="3">
        <v>5.268659195</v>
      </c>
      <c r="Z181" s="3">
        <v>15.16587639</v>
      </c>
      <c r="AA181" s="3">
        <v>-2.810035467</v>
      </c>
      <c r="AB181" s="3">
        <v>-0.647816777</v>
      </c>
      <c r="AC181" s="3">
        <v>-0.906628191</v>
      </c>
      <c r="AD181" s="3">
        <v>-0.829199433</v>
      </c>
      <c r="AE181" s="3">
        <v>8.0</v>
      </c>
      <c r="AF181" s="3">
        <v>0.329169989</v>
      </c>
      <c r="AG181" s="3">
        <v>1.814500958</v>
      </c>
    </row>
    <row r="182">
      <c r="A182" s="2" t="s">
        <v>41</v>
      </c>
      <c r="B182" s="3">
        <v>2012.0</v>
      </c>
      <c r="C182" s="5">
        <v>2.5E11</v>
      </c>
      <c r="D182" s="3">
        <v>3.027583911</v>
      </c>
      <c r="E182" s="3">
        <v>1236.892763</v>
      </c>
      <c r="F182" s="3">
        <v>3.667</v>
      </c>
      <c r="G182" s="3">
        <v>9.682351861</v>
      </c>
      <c r="H182" s="3">
        <v>0.343453049</v>
      </c>
      <c r="I182" s="3">
        <v>31.31897077</v>
      </c>
      <c r="J182" s="4"/>
      <c r="K182" s="3">
        <v>2.02205861E8</v>
      </c>
      <c r="L182" s="3">
        <v>1.79797543</v>
      </c>
      <c r="M182" s="2" t="s">
        <v>34</v>
      </c>
      <c r="N182" s="3">
        <v>64.782</v>
      </c>
      <c r="O182" s="3">
        <v>67.1</v>
      </c>
      <c r="P182" s="3">
        <v>57.0</v>
      </c>
      <c r="Q182" s="3">
        <v>70.78525465</v>
      </c>
      <c r="R182" s="3">
        <v>35.408</v>
      </c>
      <c r="S182" s="3">
        <v>88.6</v>
      </c>
      <c r="T182" s="3">
        <v>89.12473117</v>
      </c>
      <c r="U182" s="3">
        <v>53.1189631</v>
      </c>
      <c r="V182" s="3">
        <v>0.766129128</v>
      </c>
      <c r="W182" s="3">
        <v>66.87195407</v>
      </c>
      <c r="X182" s="3">
        <v>47.2</v>
      </c>
      <c r="Y182" s="3">
        <v>5.226855023</v>
      </c>
      <c r="Z182" s="3">
        <v>14.21800995</v>
      </c>
      <c r="AA182" s="3">
        <v>-2.677003622</v>
      </c>
      <c r="AB182" s="3">
        <v>-0.722233474</v>
      </c>
      <c r="AC182" s="3">
        <v>-0.883420169</v>
      </c>
      <c r="AD182" s="3">
        <v>-0.843582153</v>
      </c>
      <c r="AE182" s="3">
        <v>8.1</v>
      </c>
      <c r="AF182" s="2" t="s">
        <v>34</v>
      </c>
      <c r="AG182" s="3">
        <v>1.725256901</v>
      </c>
    </row>
    <row r="183">
      <c r="A183" s="2" t="s">
        <v>41</v>
      </c>
      <c r="B183" s="3">
        <v>2013.0</v>
      </c>
      <c r="C183" s="5">
        <v>2.59E11</v>
      </c>
      <c r="D183" s="3">
        <v>4.36686505</v>
      </c>
      <c r="E183" s="3">
        <v>1259.668368</v>
      </c>
      <c r="F183" s="3">
        <v>2.954</v>
      </c>
      <c r="G183" s="3">
        <v>7.692156119</v>
      </c>
      <c r="H183" s="3">
        <v>0.515353849</v>
      </c>
      <c r="I183" s="3">
        <v>30.89027502</v>
      </c>
      <c r="J183" s="3">
        <v>29.5</v>
      </c>
      <c r="K183" s="3">
        <v>2.05337562E8</v>
      </c>
      <c r="L183" s="3">
        <v>1.536897649</v>
      </c>
      <c r="M183" s="3">
        <v>7.4</v>
      </c>
      <c r="N183" s="3">
        <v>65.15</v>
      </c>
      <c r="O183" s="3">
        <v>65.5</v>
      </c>
      <c r="P183" s="3">
        <v>56.0</v>
      </c>
      <c r="Q183" s="3">
        <v>70.24364089</v>
      </c>
      <c r="R183" s="3">
        <v>35.613</v>
      </c>
      <c r="S183" s="3">
        <v>89.3</v>
      </c>
      <c r="T183" s="3">
        <v>89.28197133</v>
      </c>
      <c r="U183" s="3">
        <v>54.90051097</v>
      </c>
      <c r="V183" s="3">
        <v>0.762642249</v>
      </c>
      <c r="W183" s="3">
        <v>68.58132487</v>
      </c>
      <c r="X183" s="3">
        <v>48.1</v>
      </c>
      <c r="Y183" s="3">
        <v>5.185050851</v>
      </c>
      <c r="Z183" s="3">
        <v>17.06161118</v>
      </c>
      <c r="AA183" s="3">
        <v>-2.603302002</v>
      </c>
      <c r="AB183" s="3">
        <v>-0.70500499</v>
      </c>
      <c r="AC183" s="3">
        <v>-0.855993092</v>
      </c>
      <c r="AD183" s="3">
        <v>-0.799480617</v>
      </c>
      <c r="AE183" s="3">
        <v>9.0</v>
      </c>
      <c r="AF183" s="3">
        <v>0.292849988</v>
      </c>
      <c r="AG183" s="3">
        <v>1.924888894</v>
      </c>
    </row>
    <row r="184">
      <c r="A184" s="2" t="s">
        <v>41</v>
      </c>
      <c r="B184" s="3">
        <v>2014.0</v>
      </c>
      <c r="C184" s="5">
        <v>2.71E11</v>
      </c>
      <c r="D184" s="3">
        <v>4.116428172</v>
      </c>
      <c r="E184" s="3">
        <v>1303.18537</v>
      </c>
      <c r="F184" s="3">
        <v>1.827</v>
      </c>
      <c r="G184" s="3">
        <v>7.189384028</v>
      </c>
      <c r="H184" s="3">
        <v>0.695308117</v>
      </c>
      <c r="I184" s="3">
        <v>29.46982583</v>
      </c>
      <c r="J184" s="4"/>
      <c r="K184" s="3">
        <v>2.08251628E8</v>
      </c>
      <c r="L184" s="3">
        <v>1.409182973</v>
      </c>
      <c r="M184" s="2" t="s">
        <v>34</v>
      </c>
      <c r="N184" s="3">
        <v>65.284</v>
      </c>
      <c r="O184" s="3">
        <v>63.8</v>
      </c>
      <c r="P184" s="3">
        <v>57.0</v>
      </c>
      <c r="Q184" s="3">
        <v>74.31890185</v>
      </c>
      <c r="R184" s="3">
        <v>35.819</v>
      </c>
      <c r="S184" s="3">
        <v>90.1</v>
      </c>
      <c r="T184" s="3">
        <v>89.43748479</v>
      </c>
      <c r="U184" s="3">
        <v>56.67205633</v>
      </c>
      <c r="V184" s="3">
        <v>0.792486962</v>
      </c>
      <c r="W184" s="3">
        <v>71.7121701</v>
      </c>
      <c r="X184" s="3">
        <v>47.2</v>
      </c>
      <c r="Y184" s="3">
        <v>5.143246679</v>
      </c>
      <c r="Z184" s="3">
        <v>23.07692337</v>
      </c>
      <c r="AA184" s="3">
        <v>-2.401279211</v>
      </c>
      <c r="AB184" s="3">
        <v>-0.688540936</v>
      </c>
      <c r="AC184" s="3">
        <v>-0.750930011</v>
      </c>
      <c r="AD184" s="3">
        <v>-0.716015041</v>
      </c>
      <c r="AE184" s="3">
        <v>10.0</v>
      </c>
      <c r="AF184" s="2" t="s">
        <v>34</v>
      </c>
      <c r="AG184" s="3">
        <v>1.448112847</v>
      </c>
    </row>
    <row r="185">
      <c r="A185" s="2" t="s">
        <v>41</v>
      </c>
      <c r="B185" s="3">
        <v>2015.0</v>
      </c>
      <c r="C185" s="5">
        <v>3.0E11</v>
      </c>
      <c r="D185" s="3">
        <v>4.217942096</v>
      </c>
      <c r="E185" s="3">
        <v>1421.835278</v>
      </c>
      <c r="F185" s="3">
        <v>3.566</v>
      </c>
      <c r="G185" s="3">
        <v>2.529328173</v>
      </c>
      <c r="H185" s="3">
        <v>0.557734356</v>
      </c>
      <c r="I185" s="3">
        <v>26.6881846</v>
      </c>
      <c r="J185" s="3">
        <v>31.3</v>
      </c>
      <c r="K185" s="3">
        <v>2.10969298E8</v>
      </c>
      <c r="L185" s="3">
        <v>1.296551724</v>
      </c>
      <c r="M185" s="3">
        <v>5.1</v>
      </c>
      <c r="N185" s="3">
        <v>65.697</v>
      </c>
      <c r="O185" s="3">
        <v>62.2</v>
      </c>
      <c r="P185" s="2" t="s">
        <v>34</v>
      </c>
      <c r="Q185" s="3">
        <v>74.84799088</v>
      </c>
      <c r="R185" s="3">
        <v>36.026</v>
      </c>
      <c r="S185" s="3">
        <v>91.0</v>
      </c>
      <c r="T185" s="3">
        <v>89.59124695</v>
      </c>
      <c r="U185" s="3">
        <v>58.43360674</v>
      </c>
      <c r="V185" s="3">
        <v>0.826848748</v>
      </c>
      <c r="W185" s="3">
        <v>68.00687676</v>
      </c>
      <c r="X185" s="3">
        <v>45.9</v>
      </c>
      <c r="Y185" s="3">
        <v>5.101442507</v>
      </c>
      <c r="Z185" s="3">
        <v>22.38095284</v>
      </c>
      <c r="AA185" s="3">
        <v>-2.471883535</v>
      </c>
      <c r="AB185" s="3">
        <v>-0.645115256</v>
      </c>
      <c r="AC185" s="3">
        <v>-0.776916742</v>
      </c>
      <c r="AD185" s="3">
        <v>-0.722057998</v>
      </c>
      <c r="AE185" s="3">
        <v>11.0</v>
      </c>
      <c r="AF185" s="3">
        <v>0.24605</v>
      </c>
      <c r="AG185" s="3">
        <v>1.60383334</v>
      </c>
    </row>
    <row r="186">
      <c r="A186" s="2" t="s">
        <v>41</v>
      </c>
      <c r="B186" s="3">
        <v>2016.0</v>
      </c>
      <c r="C186" s="5">
        <v>3.14E11</v>
      </c>
      <c r="D186" s="3">
        <v>6.573838285</v>
      </c>
      <c r="E186" s="3">
        <v>1468.822082</v>
      </c>
      <c r="F186" s="3">
        <v>2.286</v>
      </c>
      <c r="G186" s="3">
        <v>3.765119164</v>
      </c>
      <c r="H186" s="3">
        <v>0.821349998</v>
      </c>
      <c r="I186" s="3">
        <v>24.70157951</v>
      </c>
      <c r="J186" s="4"/>
      <c r="K186" s="3">
        <v>2.1352484E8</v>
      </c>
      <c r="L186" s="3">
        <v>1.204055673</v>
      </c>
      <c r="M186" s="2" t="s">
        <v>34</v>
      </c>
      <c r="N186" s="3">
        <v>65.88</v>
      </c>
      <c r="O186" s="3">
        <v>60.5</v>
      </c>
      <c r="P186" s="2" t="s">
        <v>34</v>
      </c>
      <c r="Q186" s="3">
        <v>79.8399702</v>
      </c>
      <c r="R186" s="3">
        <v>36.234</v>
      </c>
      <c r="S186" s="3">
        <v>91.8</v>
      </c>
      <c r="T186" s="3">
        <v>89.74324599</v>
      </c>
      <c r="U186" s="3">
        <v>60.18517155</v>
      </c>
      <c r="V186" s="3">
        <v>0.904955133</v>
      </c>
      <c r="W186" s="3">
        <v>68.52282972</v>
      </c>
      <c r="X186" s="3">
        <v>43.7</v>
      </c>
      <c r="Y186" s="3">
        <v>5.017953508</v>
      </c>
      <c r="Z186" s="3">
        <v>17.61904716</v>
      </c>
      <c r="AA186" s="3">
        <v>-2.473873854</v>
      </c>
      <c r="AB186" s="3">
        <v>-0.662416399</v>
      </c>
      <c r="AC186" s="3">
        <v>-0.815582871</v>
      </c>
      <c r="AD186" s="3">
        <v>-0.699399233</v>
      </c>
      <c r="AE186" s="3">
        <v>12.3854</v>
      </c>
      <c r="AF186" s="2" t="s">
        <v>34</v>
      </c>
      <c r="AG186" s="3">
        <v>1.957391558</v>
      </c>
    </row>
    <row r="187">
      <c r="A187" s="2" t="s">
        <v>41</v>
      </c>
      <c r="B187" s="3">
        <v>2017.0</v>
      </c>
      <c r="C187" s="5">
        <v>3.39E11</v>
      </c>
      <c r="D187" s="3">
        <v>4.432625907</v>
      </c>
      <c r="E187" s="3">
        <v>1567.640612</v>
      </c>
      <c r="F187" s="3">
        <v>3.193</v>
      </c>
      <c r="G187" s="3">
        <v>4.08537368</v>
      </c>
      <c r="H187" s="3">
        <v>0.73583705</v>
      </c>
      <c r="I187" s="3">
        <v>25.47203641</v>
      </c>
      <c r="J187" s="4"/>
      <c r="K187" s="3">
        <v>2.16379655E8</v>
      </c>
      <c r="L187" s="3">
        <v>1.328135434</v>
      </c>
      <c r="M187" s="2" t="s">
        <v>34</v>
      </c>
      <c r="N187" s="3">
        <v>66.297</v>
      </c>
      <c r="O187" s="3">
        <v>58.9</v>
      </c>
      <c r="P187" s="3">
        <v>59.0</v>
      </c>
      <c r="Q187" s="3">
        <v>78.84305835</v>
      </c>
      <c r="R187" s="3">
        <v>36.442</v>
      </c>
      <c r="S187" s="3">
        <v>92.7</v>
      </c>
      <c r="T187" s="3">
        <v>89.89341028</v>
      </c>
      <c r="U187" s="3">
        <v>61.92650683</v>
      </c>
      <c r="V187" s="3">
        <v>0.971850611</v>
      </c>
      <c r="W187" s="3">
        <v>61.79672747</v>
      </c>
      <c r="X187" s="3">
        <v>42.1</v>
      </c>
      <c r="Y187" s="3">
        <v>4.99418846</v>
      </c>
      <c r="Z187" s="3">
        <v>21.90476227</v>
      </c>
      <c r="AA187" s="3">
        <v>-2.396910429</v>
      </c>
      <c r="AB187" s="3">
        <v>-0.61267668</v>
      </c>
      <c r="AC187" s="3">
        <v>-0.733362675</v>
      </c>
      <c r="AD187" s="3">
        <v>-0.693399549</v>
      </c>
      <c r="AE187" s="3">
        <v>13.78</v>
      </c>
      <c r="AF187" s="3">
        <v>0.212139994</v>
      </c>
      <c r="AG187" s="3">
        <v>2.176368769</v>
      </c>
    </row>
    <row r="188">
      <c r="A188" s="2" t="s">
        <v>41</v>
      </c>
      <c r="B188" s="3">
        <v>2018.0</v>
      </c>
      <c r="C188" s="5">
        <v>3.56E11</v>
      </c>
      <c r="D188" s="3">
        <v>6.151702611</v>
      </c>
      <c r="E188" s="3">
        <v>1620.742591</v>
      </c>
      <c r="F188" s="3">
        <v>4.083</v>
      </c>
      <c r="G188" s="3">
        <v>5.078057259</v>
      </c>
      <c r="H188" s="3">
        <v>0.487745751</v>
      </c>
      <c r="I188" s="3">
        <v>27.62605637</v>
      </c>
      <c r="J188" s="3">
        <v>29.6</v>
      </c>
      <c r="K188" s="3">
        <v>2.19731479E8</v>
      </c>
      <c r="L188" s="3">
        <v>1.537172403</v>
      </c>
      <c r="M188" s="3">
        <v>4.9</v>
      </c>
      <c r="N188" s="3">
        <v>66.482</v>
      </c>
      <c r="O188" s="3">
        <v>57.3</v>
      </c>
      <c r="P188" s="3">
        <v>57.0</v>
      </c>
      <c r="Q188" s="3">
        <v>82.03330642</v>
      </c>
      <c r="R188" s="3">
        <v>36.666</v>
      </c>
      <c r="S188" s="3">
        <v>93.4</v>
      </c>
      <c r="T188" s="3">
        <v>90.04259791</v>
      </c>
      <c r="U188" s="3">
        <v>63.66154836</v>
      </c>
      <c r="V188" s="3">
        <v>0.903148247</v>
      </c>
      <c r="W188" s="3">
        <v>62.38949764</v>
      </c>
      <c r="X188" s="3">
        <v>43.4</v>
      </c>
      <c r="Y188" s="3">
        <v>4.940561436</v>
      </c>
      <c r="Z188" s="3">
        <v>24.2857151</v>
      </c>
      <c r="AA188" s="3">
        <v>-2.253884554</v>
      </c>
      <c r="AB188" s="3">
        <v>-0.667998254</v>
      </c>
      <c r="AC188" s="3">
        <v>-0.68372798</v>
      </c>
      <c r="AD188" s="3">
        <v>-0.813987374</v>
      </c>
      <c r="AE188" s="3">
        <v>15.34</v>
      </c>
      <c r="AF188" s="2" t="s">
        <v>34</v>
      </c>
      <c r="AG188" s="3">
        <v>2.169752837</v>
      </c>
    </row>
    <row r="189">
      <c r="A189" s="2" t="s">
        <v>41</v>
      </c>
      <c r="B189" s="3">
        <v>2019.0</v>
      </c>
      <c r="C189" s="5">
        <v>3.21E11</v>
      </c>
      <c r="D189" s="3">
        <v>2.497636929</v>
      </c>
      <c r="E189" s="3">
        <v>1437.165833</v>
      </c>
      <c r="F189" s="3">
        <v>4.83</v>
      </c>
      <c r="G189" s="3">
        <v>10.5783618</v>
      </c>
      <c r="H189" s="3">
        <v>0.69614648</v>
      </c>
      <c r="I189" s="3">
        <v>28.9055758</v>
      </c>
      <c r="J189" s="4"/>
      <c r="K189" s="3">
        <v>2.2329328E8</v>
      </c>
      <c r="L189" s="3">
        <v>1.607981347</v>
      </c>
      <c r="M189" s="2" t="s">
        <v>34</v>
      </c>
      <c r="N189" s="3">
        <v>66.756</v>
      </c>
      <c r="O189" s="3">
        <v>55.7</v>
      </c>
      <c r="P189" s="3">
        <v>58.0</v>
      </c>
      <c r="Q189" s="3">
        <v>83.18457523</v>
      </c>
      <c r="R189" s="3">
        <v>36.907</v>
      </c>
      <c r="S189" s="3">
        <v>93.9</v>
      </c>
      <c r="T189" s="3">
        <v>90.19065035</v>
      </c>
      <c r="U189" s="3">
        <v>65.38993557</v>
      </c>
      <c r="V189" s="3">
        <v>0.875344301</v>
      </c>
      <c r="W189" s="3">
        <v>52.8571977</v>
      </c>
      <c r="X189" s="3">
        <v>45.9</v>
      </c>
      <c r="Y189" s="3">
        <v>4.886934413</v>
      </c>
      <c r="Z189" s="3">
        <v>20.95238113</v>
      </c>
      <c r="AA189" s="3">
        <v>-2.251637459</v>
      </c>
      <c r="AB189" s="3">
        <v>-0.687235057</v>
      </c>
      <c r="AC189" s="3">
        <v>-0.688234627</v>
      </c>
      <c r="AD189" s="3">
        <v>-0.862723053</v>
      </c>
      <c r="AE189" s="3">
        <v>17.0709</v>
      </c>
      <c r="AF189" s="3">
        <v>0.17475</v>
      </c>
      <c r="AG189" s="3">
        <v>2.302693297</v>
      </c>
    </row>
    <row r="190">
      <c r="A190" s="2" t="s">
        <v>41</v>
      </c>
      <c r="B190" s="3">
        <v>2020.0</v>
      </c>
      <c r="C190" s="5">
        <v>3.0E11</v>
      </c>
      <c r="D190" s="3">
        <v>-1.274087443</v>
      </c>
      <c r="E190" s="3">
        <v>1322.314785</v>
      </c>
      <c r="F190" s="3">
        <v>6.162</v>
      </c>
      <c r="G190" s="3">
        <v>9.739993139</v>
      </c>
      <c r="H190" s="3">
        <v>0.68469529</v>
      </c>
      <c r="I190" s="3">
        <v>26.71628046</v>
      </c>
      <c r="J190" s="4"/>
      <c r="K190" s="3">
        <v>2.27196741E8</v>
      </c>
      <c r="L190" s="3">
        <v>1.73302782</v>
      </c>
      <c r="M190" s="2" t="s">
        <v>34</v>
      </c>
      <c r="N190" s="3">
        <v>66.269</v>
      </c>
      <c r="O190" s="3">
        <v>54.1</v>
      </c>
      <c r="P190" s="2" t="s">
        <v>34</v>
      </c>
      <c r="Q190" s="2" t="s">
        <v>34</v>
      </c>
      <c r="R190" s="3">
        <v>37.165</v>
      </c>
      <c r="S190" s="3">
        <v>94.5</v>
      </c>
      <c r="T190" s="3">
        <v>90.33733695</v>
      </c>
      <c r="U190" s="3">
        <v>67.11104079</v>
      </c>
      <c r="V190" s="3">
        <v>0.85371295</v>
      </c>
      <c r="W190" s="3">
        <v>42.99817342</v>
      </c>
      <c r="X190" s="3">
        <v>42.7</v>
      </c>
      <c r="Y190" s="3">
        <v>4.833307389</v>
      </c>
      <c r="Z190" s="3">
        <v>21.90476227</v>
      </c>
      <c r="AA190" s="3">
        <v>-1.792646289</v>
      </c>
      <c r="AB190" s="3">
        <v>-0.764765918</v>
      </c>
      <c r="AC190" s="3">
        <v>-0.712482035</v>
      </c>
      <c r="AD190" s="3">
        <v>-0.877666116</v>
      </c>
      <c r="AE190" s="3">
        <v>18.9348</v>
      </c>
      <c r="AF190" s="2" t="s">
        <v>34</v>
      </c>
      <c r="AG190" s="3">
        <v>1.887812496</v>
      </c>
    </row>
    <row r="191">
      <c r="A191" s="2" t="s">
        <v>41</v>
      </c>
      <c r="B191" s="3">
        <v>2021.0</v>
      </c>
      <c r="C191" s="5">
        <v>3.49E11</v>
      </c>
      <c r="D191" s="3">
        <v>6.513885759</v>
      </c>
      <c r="E191" s="3">
        <v>1506.108293</v>
      </c>
      <c r="F191" s="3">
        <v>6.338</v>
      </c>
      <c r="G191" s="3">
        <v>9.496210561</v>
      </c>
      <c r="H191" s="3">
        <v>0.616039439</v>
      </c>
      <c r="I191" s="3">
        <v>27.03042156</v>
      </c>
      <c r="J191" s="4"/>
      <c r="K191" s="3">
        <v>2.31402117E8</v>
      </c>
      <c r="L191" s="3">
        <v>1.834062082</v>
      </c>
      <c r="M191" s="2" t="s">
        <v>34</v>
      </c>
      <c r="N191" s="3">
        <v>66.098</v>
      </c>
      <c r="O191" s="3">
        <v>52.5</v>
      </c>
      <c r="P191" s="2" t="s">
        <v>34</v>
      </c>
      <c r="Q191" s="3">
        <v>84.36845972</v>
      </c>
      <c r="R191" s="3">
        <v>37.44</v>
      </c>
      <c r="S191" s="3">
        <v>94.9</v>
      </c>
      <c r="T191" s="3">
        <v>90.48246306</v>
      </c>
      <c r="U191" s="3">
        <v>68.82426834</v>
      </c>
      <c r="V191" s="3">
        <v>0.933715745</v>
      </c>
      <c r="W191" s="2" t="s">
        <v>34</v>
      </c>
      <c r="X191" s="3">
        <v>41.6</v>
      </c>
      <c r="Y191" s="3">
        <v>4.779680365</v>
      </c>
      <c r="Z191" s="3">
        <v>23.33333397</v>
      </c>
      <c r="AA191" s="3">
        <v>-1.713656187</v>
      </c>
      <c r="AB191" s="3">
        <v>-0.761585534</v>
      </c>
      <c r="AC191" s="3">
        <v>-0.658457339</v>
      </c>
      <c r="AD191" s="3">
        <v>-0.841158211</v>
      </c>
      <c r="AE191" s="3">
        <v>24.9775</v>
      </c>
      <c r="AF191" s="3">
        <v>0.164430007</v>
      </c>
      <c r="AG191" s="3">
        <v>1.488483293</v>
      </c>
    </row>
    <row r="192">
      <c r="A192" s="2" t="s">
        <v>41</v>
      </c>
      <c r="B192" s="3">
        <v>2022.0</v>
      </c>
      <c r="C192" s="5">
        <v>3.75E11</v>
      </c>
      <c r="D192" s="3">
        <v>4.767539531</v>
      </c>
      <c r="E192" s="3">
        <v>1589.26398</v>
      </c>
      <c r="F192" s="3">
        <v>5.548</v>
      </c>
      <c r="G192" s="3">
        <v>19.87385996</v>
      </c>
      <c r="H192" s="3">
        <v>0.390087239</v>
      </c>
      <c r="I192" s="3">
        <v>33.04037277</v>
      </c>
      <c r="J192" s="4"/>
      <c r="K192" s="3">
        <v>2.35824862E8</v>
      </c>
      <c r="L192" s="3">
        <v>1.893245598</v>
      </c>
      <c r="M192" s="2" t="s">
        <v>34</v>
      </c>
      <c r="N192" s="3">
        <v>66.431</v>
      </c>
      <c r="O192" s="3">
        <v>51.0</v>
      </c>
      <c r="P192" s="2" t="s">
        <v>34</v>
      </c>
      <c r="Q192" s="3">
        <v>82.67900632</v>
      </c>
      <c r="R192" s="3">
        <v>37.731</v>
      </c>
      <c r="S192" s="3">
        <v>95.0</v>
      </c>
      <c r="T192" s="3">
        <v>90.62575385</v>
      </c>
      <c r="U192" s="3">
        <v>70.52881326</v>
      </c>
      <c r="V192" s="3">
        <v>0.845245486</v>
      </c>
      <c r="W192" s="2" t="s">
        <v>34</v>
      </c>
      <c r="X192" s="2" t="s">
        <v>34</v>
      </c>
      <c r="Y192" s="2" t="s">
        <v>34</v>
      </c>
      <c r="Z192" s="3">
        <v>22.64151001</v>
      </c>
      <c r="AA192" s="3">
        <v>-1.900261998</v>
      </c>
      <c r="AB192" s="3">
        <v>-0.886412621</v>
      </c>
      <c r="AC192" s="3">
        <v>-0.672492206</v>
      </c>
      <c r="AD192" s="3">
        <v>-0.862237751</v>
      </c>
      <c r="AE192" s="3">
        <v>32.9486</v>
      </c>
      <c r="AF192" s="2" t="s">
        <v>34</v>
      </c>
      <c r="AG192" s="3">
        <v>1.431317349</v>
      </c>
    </row>
    <row r="193">
      <c r="A193" s="2" t="s">
        <v>41</v>
      </c>
      <c r="B193" s="3">
        <v>2023.0</v>
      </c>
      <c r="C193" s="5">
        <v>3.38E11</v>
      </c>
      <c r="D193" s="3">
        <v>-0.004855269</v>
      </c>
      <c r="E193" s="3">
        <v>1407.021351</v>
      </c>
      <c r="F193" s="3">
        <v>5.499</v>
      </c>
      <c r="G193" s="3">
        <v>30.76812807</v>
      </c>
      <c r="H193" s="3">
        <v>0.537284127</v>
      </c>
      <c r="I193" s="3">
        <v>28.10207676</v>
      </c>
      <c r="J193" s="4"/>
      <c r="K193" s="3">
        <v>2.40485658E8</v>
      </c>
      <c r="L193" s="3">
        <v>1.957103432</v>
      </c>
      <c r="M193" s="2" t="s">
        <v>34</v>
      </c>
      <c r="N193" s="2" t="s">
        <v>34</v>
      </c>
      <c r="O193" s="2" t="s">
        <v>34</v>
      </c>
      <c r="P193" s="2" t="s">
        <v>34</v>
      </c>
      <c r="Q193" s="2" t="s">
        <v>34</v>
      </c>
      <c r="R193" s="3">
        <v>38.04</v>
      </c>
      <c r="S193" s="2" t="s">
        <v>34</v>
      </c>
      <c r="T193" s="2" t="s">
        <v>34</v>
      </c>
      <c r="U193" s="2" t="s">
        <v>34</v>
      </c>
      <c r="V193" s="2" t="s">
        <v>34</v>
      </c>
      <c r="W193" s="2" t="s">
        <v>34</v>
      </c>
      <c r="X193" s="2" t="s">
        <v>34</v>
      </c>
      <c r="Y193" s="2" t="s">
        <v>34</v>
      </c>
      <c r="Z193" s="2" t="s">
        <v>34</v>
      </c>
      <c r="AA193" s="2" t="s">
        <v>34</v>
      </c>
      <c r="AB193" s="2" t="s">
        <v>34</v>
      </c>
      <c r="AC193" s="2" t="s">
        <v>34</v>
      </c>
      <c r="AD193" s="2" t="s">
        <v>34</v>
      </c>
      <c r="AE193" s="2" t="s">
        <v>34</v>
      </c>
      <c r="AF193" s="2" t="s">
        <v>34</v>
      </c>
      <c r="AG193" s="2" t="s">
        <v>34</v>
      </c>
    </row>
  </sheetData>
  <dataValidations>
    <dataValidation type="list" allowBlank="1" showErrorMessage="1" sqref="A1">
      <formula1>"Country"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7.0"/>
    <col customWidth="1" min="3" max="3" width="18.13"/>
    <col customWidth="1" min="4" max="4" width="22.0"/>
    <col customWidth="1" min="5" max="5" width="26.5"/>
    <col customWidth="1" min="6" max="6" width="57.0"/>
    <col customWidth="1" min="7" max="7" width="33.13"/>
    <col customWidth="1" min="8" max="8" width="42.63"/>
    <col customWidth="1" min="9" max="9" width="17.13"/>
    <col customWidth="1" min="10" max="10" width="11.5"/>
    <col customWidth="1" min="11" max="11" width="16.5"/>
    <col customWidth="1" min="12" max="12" width="27.0"/>
    <col customWidth="1" min="13" max="13" width="57.0"/>
    <col customWidth="1" min="14" max="14" width="32.5"/>
    <col customWidth="1" min="15" max="15" width="36.5"/>
    <col customWidth="1" min="16" max="16" width="48.5"/>
    <col customWidth="1" min="17" max="17" width="33.13"/>
    <col customWidth="1" min="18" max="18" width="35.38"/>
    <col customWidth="1" min="19" max="19" width="33.63"/>
    <col customWidth="1" min="20" max="20" width="57.88"/>
    <col customWidth="1" min="21" max="21" width="54.38"/>
    <col customWidth="1" min="22" max="22" width="65.13"/>
    <col customWidth="1" min="23" max="23" width="61.25"/>
    <col customWidth="1" min="24" max="24" width="58.88"/>
    <col customWidth="1" min="25" max="25" width="25.38"/>
    <col customWidth="1" min="26" max="26" width="34.0"/>
    <col customWidth="1" min="27" max="27" width="53.13"/>
    <col customWidth="1" min="28" max="28" width="26.25"/>
    <col customWidth="1" min="29" max="29" width="20.88"/>
    <col customWidth="1" min="30" max="30" width="31.13"/>
    <col customWidth="1" min="31" max="31" width="40.75"/>
    <col customWidth="1" min="32" max="32" width="44.25"/>
    <col customWidth="1" min="33" max="33" width="46.13"/>
  </cols>
  <sheetData>
    <row r="1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ht="16.5" customHeight="1">
      <c r="A2" s="8" t="s">
        <v>33</v>
      </c>
      <c r="B2" s="7">
        <v>2000.0</v>
      </c>
      <c r="C2" s="8">
        <v>2.90969535102E11</v>
      </c>
      <c r="D2" s="8">
        <v>5.07</v>
      </c>
      <c r="E2" s="8">
        <v>180.19</v>
      </c>
      <c r="F2" s="8">
        <v>7.96</v>
      </c>
      <c r="G2" s="8">
        <v>6.31</v>
      </c>
      <c r="H2" s="8">
        <v>1.86</v>
      </c>
      <c r="I2" s="8">
        <v>36.37</v>
      </c>
      <c r="J2" s="8">
        <v>33.71</v>
      </c>
      <c r="K2" s="8">
        <v>1.9542982E7</v>
      </c>
      <c r="L2" s="8">
        <v>1.44</v>
      </c>
      <c r="M2" s="8">
        <v>2.7</v>
      </c>
      <c r="N2" s="8">
        <v>55.3</v>
      </c>
      <c r="O2" s="8">
        <v>92.0</v>
      </c>
      <c r="P2" s="8">
        <v>22.0</v>
      </c>
      <c r="Q2" s="8">
        <v>22.16</v>
      </c>
      <c r="R2" s="8">
        <v>22.08</v>
      </c>
      <c r="S2" s="8">
        <v>4.4</v>
      </c>
      <c r="T2" s="8">
        <v>27.44</v>
      </c>
      <c r="U2" s="8">
        <v>20.97</v>
      </c>
      <c r="V2" s="8">
        <v>0.05</v>
      </c>
      <c r="W2" s="8">
        <v>64.6</v>
      </c>
      <c r="X2" s="8">
        <v>45.0</v>
      </c>
      <c r="Y2" s="8">
        <v>1.85</v>
      </c>
      <c r="Z2" s="8">
        <v>4.787233829</v>
      </c>
      <c r="AA2" s="8">
        <v>-2.44</v>
      </c>
      <c r="AB2" s="8">
        <v>-2.08</v>
      </c>
      <c r="AC2" s="8">
        <v>-1.78</v>
      </c>
      <c r="AD2" s="8">
        <v>-0.46</v>
      </c>
      <c r="AE2" s="8">
        <v>15.77</v>
      </c>
      <c r="AF2" s="8">
        <v>0.11</v>
      </c>
      <c r="AG2" s="8">
        <v>0.99</v>
      </c>
    </row>
    <row r="3" ht="16.5" customHeight="1">
      <c r="A3" s="8" t="s">
        <v>33</v>
      </c>
      <c r="B3" s="7">
        <v>2001.0</v>
      </c>
      <c r="C3" s="8">
        <v>2.813571754E9</v>
      </c>
      <c r="D3" s="8">
        <v>-9.43</v>
      </c>
      <c r="E3" s="8">
        <v>142.9</v>
      </c>
      <c r="F3" s="8">
        <v>7.96</v>
      </c>
      <c r="G3" s="8">
        <v>6.31</v>
      </c>
      <c r="H3" s="8">
        <v>0.02</v>
      </c>
      <c r="I3" s="8">
        <v>36.37</v>
      </c>
      <c r="J3" s="8">
        <v>33.71</v>
      </c>
      <c r="K3" s="8">
        <v>1.9688632E7</v>
      </c>
      <c r="L3" s="8">
        <v>0.74</v>
      </c>
      <c r="M3" s="8">
        <v>2.7</v>
      </c>
      <c r="N3" s="8">
        <v>55.8</v>
      </c>
      <c r="O3" s="8">
        <v>89.3</v>
      </c>
      <c r="P3" s="8">
        <v>22.0</v>
      </c>
      <c r="Q3" s="8">
        <v>22.91</v>
      </c>
      <c r="R3" s="8">
        <v>22.17</v>
      </c>
      <c r="S3" s="8">
        <v>9.3</v>
      </c>
      <c r="T3" s="8">
        <v>27.47</v>
      </c>
      <c r="U3" s="8">
        <v>20.98</v>
      </c>
      <c r="V3" s="8">
        <v>0.05</v>
      </c>
      <c r="W3" s="8">
        <v>64.42</v>
      </c>
      <c r="X3" s="8">
        <v>45.6</v>
      </c>
      <c r="Y3" s="8">
        <v>1.85</v>
      </c>
      <c r="Z3" s="8">
        <v>33.95</v>
      </c>
      <c r="AA3" s="8">
        <v>-0.69</v>
      </c>
      <c r="AB3" s="8">
        <v>-0.58</v>
      </c>
      <c r="AC3" s="8">
        <v>-0.89</v>
      </c>
      <c r="AD3" s="8">
        <v>-1.43</v>
      </c>
      <c r="AE3" s="8">
        <v>15.77</v>
      </c>
      <c r="AF3" s="8">
        <v>0.11</v>
      </c>
      <c r="AG3" s="8">
        <v>0.99</v>
      </c>
    </row>
    <row r="4" ht="16.5" customHeight="1">
      <c r="A4" s="8" t="s">
        <v>33</v>
      </c>
      <c r="B4" s="7">
        <v>2002.0</v>
      </c>
      <c r="C4" s="8">
        <v>3.825701439E9</v>
      </c>
      <c r="D4" s="8">
        <v>28.6</v>
      </c>
      <c r="E4" s="8">
        <v>182.17</v>
      </c>
      <c r="F4" s="8">
        <v>7.94</v>
      </c>
      <c r="G4" s="8">
        <v>6.31</v>
      </c>
      <c r="H4" s="8">
        <v>1.31</v>
      </c>
      <c r="I4" s="8">
        <v>36.37</v>
      </c>
      <c r="J4" s="8">
        <v>33.71</v>
      </c>
      <c r="K4" s="8">
        <v>2.1000256E7</v>
      </c>
      <c r="L4" s="8">
        <v>6.45</v>
      </c>
      <c r="M4" s="8">
        <v>2.7</v>
      </c>
      <c r="N4" s="8">
        <v>56.45</v>
      </c>
      <c r="O4" s="8">
        <v>86.6</v>
      </c>
      <c r="P4" s="8">
        <v>22.0</v>
      </c>
      <c r="Q4" s="8">
        <v>75.96</v>
      </c>
      <c r="R4" s="8">
        <v>22.26</v>
      </c>
      <c r="S4" s="8">
        <v>14.1</v>
      </c>
      <c r="T4" s="8">
        <v>29.67</v>
      </c>
      <c r="U4" s="8">
        <v>22.54</v>
      </c>
      <c r="V4" s="8">
        <v>0.05</v>
      </c>
      <c r="W4" s="8">
        <v>64.18</v>
      </c>
      <c r="X4" s="8">
        <v>37.8</v>
      </c>
      <c r="Y4" s="8">
        <v>1.85</v>
      </c>
      <c r="Z4" s="8">
        <v>4.761904716</v>
      </c>
      <c r="AA4" s="8">
        <v>-2.04</v>
      </c>
      <c r="AB4" s="8">
        <v>-1.81</v>
      </c>
      <c r="AC4" s="8">
        <v>-1.67</v>
      </c>
      <c r="AD4" s="8">
        <v>-1.18</v>
      </c>
      <c r="AE4" s="8">
        <v>0.09</v>
      </c>
      <c r="AF4" s="8">
        <v>0.11</v>
      </c>
      <c r="AG4" s="8">
        <v>0.99</v>
      </c>
    </row>
    <row r="5" ht="16.5" customHeight="1">
      <c r="A5" s="8" t="s">
        <v>33</v>
      </c>
      <c r="B5" s="7">
        <v>2003.0</v>
      </c>
      <c r="C5" s="8">
        <v>4.520946819E9</v>
      </c>
      <c r="D5" s="8">
        <v>8.83</v>
      </c>
      <c r="E5" s="8">
        <v>199.64</v>
      </c>
      <c r="F5" s="8">
        <v>7.92</v>
      </c>
      <c r="G5" s="8">
        <v>6.31</v>
      </c>
      <c r="H5" s="8">
        <v>1.28</v>
      </c>
      <c r="I5" s="8">
        <v>36.37</v>
      </c>
      <c r="J5" s="8">
        <v>33.71</v>
      </c>
      <c r="K5" s="8">
        <v>2.264513E7</v>
      </c>
      <c r="L5" s="8">
        <v>7.54</v>
      </c>
      <c r="M5" s="8">
        <v>2.7</v>
      </c>
      <c r="N5" s="8">
        <v>57.34</v>
      </c>
      <c r="O5" s="8">
        <v>83.7</v>
      </c>
      <c r="P5" s="8">
        <v>22.0</v>
      </c>
      <c r="Q5" s="8">
        <v>96.55</v>
      </c>
      <c r="R5" s="8">
        <v>22.35</v>
      </c>
      <c r="S5" s="8">
        <v>19.0</v>
      </c>
      <c r="T5" s="8">
        <v>31.88</v>
      </c>
      <c r="U5" s="8">
        <v>24.1</v>
      </c>
      <c r="V5" s="8">
        <v>0.05</v>
      </c>
      <c r="W5" s="8">
        <v>63.83</v>
      </c>
      <c r="X5" s="8">
        <v>36.7</v>
      </c>
      <c r="Y5" s="8">
        <v>1.85</v>
      </c>
      <c r="Z5" s="8">
        <v>4.761904716</v>
      </c>
      <c r="AA5" s="8">
        <v>-2.2</v>
      </c>
      <c r="AB5" s="8">
        <v>-1.46</v>
      </c>
      <c r="AC5" s="8">
        <v>-1.56</v>
      </c>
      <c r="AD5" s="8">
        <v>-1.2</v>
      </c>
      <c r="AE5" s="8">
        <v>0.11</v>
      </c>
      <c r="AF5" s="8">
        <v>0.11</v>
      </c>
      <c r="AG5" s="8">
        <v>0.99</v>
      </c>
    </row>
    <row r="6" ht="16.5" customHeight="1">
      <c r="A6" s="8" t="s">
        <v>33</v>
      </c>
      <c r="B6" s="7">
        <v>2004.0</v>
      </c>
      <c r="C6" s="8">
        <v>5.224896719E9</v>
      </c>
      <c r="D6" s="8">
        <v>1.41</v>
      </c>
      <c r="E6" s="8">
        <v>221.83</v>
      </c>
      <c r="F6" s="8">
        <v>7.91</v>
      </c>
      <c r="G6" s="8">
        <v>6.31</v>
      </c>
      <c r="H6" s="8">
        <v>3.58</v>
      </c>
      <c r="I6" s="8">
        <v>36.37</v>
      </c>
      <c r="J6" s="8">
        <v>33.71</v>
      </c>
      <c r="K6" s="8">
        <v>2.3553551E7</v>
      </c>
      <c r="L6" s="8">
        <v>3.93</v>
      </c>
      <c r="M6" s="8">
        <v>2.7</v>
      </c>
      <c r="N6" s="8">
        <v>57.94</v>
      </c>
      <c r="O6" s="8">
        <v>80.9</v>
      </c>
      <c r="P6" s="8">
        <v>22.0</v>
      </c>
      <c r="Q6" s="8">
        <v>106.25</v>
      </c>
      <c r="R6" s="8">
        <v>22.5</v>
      </c>
      <c r="S6" s="8">
        <v>23.8</v>
      </c>
      <c r="T6" s="8">
        <v>34.09</v>
      </c>
      <c r="U6" s="8">
        <v>25.67</v>
      </c>
      <c r="V6" s="8">
        <v>0.04</v>
      </c>
      <c r="W6" s="8">
        <v>63.32</v>
      </c>
      <c r="X6" s="8">
        <v>44.2</v>
      </c>
      <c r="Y6" s="8">
        <v>1.85</v>
      </c>
      <c r="Z6" s="8">
        <v>6.403940678</v>
      </c>
      <c r="AA6" s="8">
        <v>-2.3</v>
      </c>
      <c r="AB6" s="8">
        <v>-1.51</v>
      </c>
      <c r="AC6" s="8">
        <v>-1.69</v>
      </c>
      <c r="AD6" s="8">
        <v>-1.13</v>
      </c>
      <c r="AE6" s="8">
        <v>1.22</v>
      </c>
      <c r="AF6" s="8">
        <v>0.11</v>
      </c>
      <c r="AG6" s="8">
        <v>0.99</v>
      </c>
    </row>
    <row r="7" ht="16.5" customHeight="1">
      <c r="A7" s="8" t="s">
        <v>33</v>
      </c>
      <c r="B7" s="7">
        <v>2005.0</v>
      </c>
      <c r="C7" s="8">
        <v>6.203256539E9</v>
      </c>
      <c r="D7" s="8">
        <v>11.23</v>
      </c>
      <c r="E7" s="8">
        <v>254.12</v>
      </c>
      <c r="F7" s="8">
        <v>7.91</v>
      </c>
      <c r="G7" s="8">
        <v>12.69</v>
      </c>
      <c r="H7" s="8">
        <v>4.37</v>
      </c>
      <c r="I7" s="8">
        <v>36.37</v>
      </c>
      <c r="J7" s="8">
        <v>33.71</v>
      </c>
      <c r="K7" s="8">
        <v>2.4411191E7</v>
      </c>
      <c r="L7" s="8">
        <v>3.58</v>
      </c>
      <c r="M7" s="8">
        <v>2.7</v>
      </c>
      <c r="N7" s="8">
        <v>58.36</v>
      </c>
      <c r="O7" s="8">
        <v>78.0</v>
      </c>
      <c r="P7" s="8">
        <v>22.0</v>
      </c>
      <c r="Q7" s="8">
        <v>100.23</v>
      </c>
      <c r="R7" s="8">
        <v>22.7</v>
      </c>
      <c r="S7" s="8">
        <v>28.7</v>
      </c>
      <c r="T7" s="8">
        <v>36.33</v>
      </c>
      <c r="U7" s="8">
        <v>27.24</v>
      </c>
      <c r="V7" s="8">
        <v>0.05</v>
      </c>
      <c r="W7" s="8">
        <v>61.51</v>
      </c>
      <c r="X7" s="8">
        <v>33.9</v>
      </c>
      <c r="Y7" s="8">
        <v>1.85</v>
      </c>
      <c r="Z7" s="8">
        <v>1.463414669</v>
      </c>
      <c r="AA7" s="8">
        <v>-2.07</v>
      </c>
      <c r="AB7" s="8">
        <v>-1.64</v>
      </c>
      <c r="AC7" s="8">
        <v>-1.66</v>
      </c>
      <c r="AD7" s="8">
        <v>-1.11</v>
      </c>
      <c r="AE7" s="8">
        <v>2.11</v>
      </c>
      <c r="AF7" s="8">
        <v>0.11</v>
      </c>
      <c r="AG7" s="8">
        <v>0.99</v>
      </c>
    </row>
    <row r="8" ht="16.5" customHeight="1">
      <c r="A8" s="8" t="s">
        <v>33</v>
      </c>
      <c r="B8" s="7">
        <v>2006.0</v>
      </c>
      <c r="C8" s="8">
        <v>6.971758282E9</v>
      </c>
      <c r="D8" s="8">
        <v>5.36</v>
      </c>
      <c r="E8" s="8">
        <v>274.02</v>
      </c>
      <c r="F8" s="8">
        <v>7.92</v>
      </c>
      <c r="G8" s="8">
        <v>6.78</v>
      </c>
      <c r="H8" s="8">
        <v>3.41</v>
      </c>
      <c r="I8" s="8">
        <v>36.37</v>
      </c>
      <c r="J8" s="8">
        <v>33.71</v>
      </c>
      <c r="K8" s="8">
        <v>2.5442944E7</v>
      </c>
      <c r="L8" s="8">
        <v>4.14</v>
      </c>
      <c r="M8" s="8">
        <v>2.7</v>
      </c>
      <c r="N8" s="8">
        <v>58.68</v>
      </c>
      <c r="O8" s="8">
        <v>75.1</v>
      </c>
      <c r="P8" s="8">
        <v>22.0</v>
      </c>
      <c r="Q8" s="8">
        <v>103.93</v>
      </c>
      <c r="R8" s="8">
        <v>22.91</v>
      </c>
      <c r="S8" s="8">
        <v>33.5</v>
      </c>
      <c r="T8" s="8">
        <v>38.57</v>
      </c>
      <c r="U8" s="8">
        <v>28.81</v>
      </c>
      <c r="V8" s="8">
        <v>0.06</v>
      </c>
      <c r="W8" s="8">
        <v>58.08</v>
      </c>
      <c r="X8" s="8">
        <v>31.9</v>
      </c>
      <c r="Y8" s="8">
        <v>1.85</v>
      </c>
      <c r="Z8" s="8">
        <v>1.951219559</v>
      </c>
      <c r="AA8" s="8">
        <v>-2.22</v>
      </c>
      <c r="AB8" s="8">
        <v>-1.69</v>
      </c>
      <c r="AC8" s="8">
        <v>-1.88</v>
      </c>
      <c r="AD8" s="8">
        <v>-1.06</v>
      </c>
      <c r="AE8" s="8">
        <v>1.9</v>
      </c>
      <c r="AF8" s="8">
        <v>0.11</v>
      </c>
      <c r="AG8" s="8">
        <v>0.99</v>
      </c>
    </row>
    <row r="9" ht="16.5" customHeight="1">
      <c r="A9" s="8" t="s">
        <v>33</v>
      </c>
      <c r="B9" s="7">
        <v>2007.0</v>
      </c>
      <c r="C9" s="8">
        <v>9.747886187E9</v>
      </c>
      <c r="D9" s="8">
        <v>13.83</v>
      </c>
      <c r="E9" s="8">
        <v>376.32</v>
      </c>
      <c r="F9" s="8">
        <v>7.91</v>
      </c>
      <c r="G9" s="8">
        <v>8.68</v>
      </c>
      <c r="H9" s="8">
        <v>1.94</v>
      </c>
      <c r="I9" s="8">
        <v>36.37</v>
      </c>
      <c r="J9" s="8">
        <v>33.71</v>
      </c>
      <c r="K9" s="8">
        <v>2.5903301E7</v>
      </c>
      <c r="L9" s="8">
        <v>1.79</v>
      </c>
      <c r="M9" s="8">
        <v>2.7</v>
      </c>
      <c r="N9" s="8">
        <v>59.11</v>
      </c>
      <c r="O9" s="8">
        <v>72.3</v>
      </c>
      <c r="P9" s="8">
        <v>22.0</v>
      </c>
      <c r="Q9" s="8">
        <v>101.09</v>
      </c>
      <c r="R9" s="8">
        <v>23.11</v>
      </c>
      <c r="S9" s="8">
        <v>38.4</v>
      </c>
      <c r="T9" s="8">
        <v>41.08</v>
      </c>
      <c r="U9" s="8">
        <v>30.47</v>
      </c>
      <c r="V9" s="8">
        <v>0.08</v>
      </c>
      <c r="W9" s="8">
        <v>54.19</v>
      </c>
      <c r="X9" s="8">
        <v>28.8</v>
      </c>
      <c r="Y9" s="8">
        <v>1.85</v>
      </c>
      <c r="Z9" s="8">
        <v>0.970873773</v>
      </c>
      <c r="AA9" s="8">
        <v>-2.41</v>
      </c>
      <c r="AB9" s="8">
        <v>-1.71</v>
      </c>
      <c r="AC9" s="8">
        <v>-1.85</v>
      </c>
      <c r="AD9" s="8">
        <v>-1.17</v>
      </c>
      <c r="AE9" s="8">
        <v>1.84</v>
      </c>
      <c r="AF9" s="8">
        <v>0.11</v>
      </c>
      <c r="AG9" s="8">
        <v>0.99</v>
      </c>
    </row>
    <row r="10" ht="16.5" customHeight="1">
      <c r="A10" s="8" t="s">
        <v>33</v>
      </c>
      <c r="B10" s="7">
        <v>2008.0</v>
      </c>
      <c r="C10" s="8">
        <v>1.0109297048E10</v>
      </c>
      <c r="D10" s="8">
        <v>3.92</v>
      </c>
      <c r="E10" s="8">
        <v>382.53</v>
      </c>
      <c r="F10" s="8">
        <v>7.92</v>
      </c>
      <c r="G10" s="8">
        <v>26.42</v>
      </c>
      <c r="H10" s="8">
        <v>0.46</v>
      </c>
      <c r="I10" s="8">
        <v>36.37</v>
      </c>
      <c r="J10" s="8">
        <v>33.71</v>
      </c>
      <c r="K10" s="8">
        <v>2.6427199E7</v>
      </c>
      <c r="L10" s="8">
        <v>2.0</v>
      </c>
      <c r="M10" s="8">
        <v>2.7</v>
      </c>
      <c r="N10" s="8">
        <v>59.85</v>
      </c>
      <c r="O10" s="8">
        <v>69.6</v>
      </c>
      <c r="P10" s="8">
        <v>22.0</v>
      </c>
      <c r="Q10" s="8">
        <v>103.41</v>
      </c>
      <c r="R10" s="8">
        <v>23.32</v>
      </c>
      <c r="S10" s="8">
        <v>42.4</v>
      </c>
      <c r="T10" s="8">
        <v>43.63</v>
      </c>
      <c r="U10" s="8">
        <v>32.13</v>
      </c>
      <c r="V10" s="8">
        <v>0.15</v>
      </c>
      <c r="W10" s="8">
        <v>51.0</v>
      </c>
      <c r="X10" s="8">
        <v>21.2</v>
      </c>
      <c r="Y10" s="8">
        <v>1.85</v>
      </c>
      <c r="Z10" s="8">
        <v>0.485436887</v>
      </c>
      <c r="AA10" s="8">
        <v>-2.69</v>
      </c>
      <c r="AB10" s="8">
        <v>-1.61</v>
      </c>
      <c r="AC10" s="8">
        <v>-1.9</v>
      </c>
      <c r="AD10" s="8">
        <v>-1.38</v>
      </c>
      <c r="AE10" s="8">
        <v>3.55</v>
      </c>
      <c r="AF10" s="8">
        <v>0.11</v>
      </c>
      <c r="AG10" s="8">
        <v>0.99</v>
      </c>
    </row>
    <row r="11" ht="16.5" customHeight="1">
      <c r="A11" s="8" t="s">
        <v>33</v>
      </c>
      <c r="B11" s="7">
        <v>2009.0</v>
      </c>
      <c r="C11" s="8">
        <v>1.2416152732E10</v>
      </c>
      <c r="D11" s="8">
        <v>21.39</v>
      </c>
      <c r="E11" s="8">
        <v>453.39</v>
      </c>
      <c r="F11" s="8">
        <v>7.91</v>
      </c>
      <c r="G11" s="8">
        <v>-6.81</v>
      </c>
      <c r="H11" s="8">
        <v>0.45</v>
      </c>
      <c r="I11" s="8">
        <v>36.37</v>
      </c>
      <c r="J11" s="8">
        <v>33.71</v>
      </c>
      <c r="K11" s="8">
        <v>2.7385307E7</v>
      </c>
      <c r="L11" s="8">
        <v>3.56</v>
      </c>
      <c r="M11" s="8">
        <v>2.7</v>
      </c>
      <c r="N11" s="8">
        <v>60.36</v>
      </c>
      <c r="O11" s="8">
        <v>67.0</v>
      </c>
      <c r="P11" s="8">
        <v>22.0</v>
      </c>
      <c r="Q11" s="8">
        <v>99.37</v>
      </c>
      <c r="R11" s="8">
        <v>23.53</v>
      </c>
      <c r="S11" s="8">
        <v>48.3</v>
      </c>
      <c r="T11" s="8">
        <v>46.21</v>
      </c>
      <c r="U11" s="8">
        <v>33.8</v>
      </c>
      <c r="V11" s="8">
        <v>0.24</v>
      </c>
      <c r="W11" s="8">
        <v>49.68</v>
      </c>
      <c r="X11" s="8">
        <v>16.5</v>
      </c>
      <c r="Y11" s="8">
        <v>1.85</v>
      </c>
      <c r="Z11" s="8">
        <v>0.95693779</v>
      </c>
      <c r="AA11" s="8">
        <v>-2.71</v>
      </c>
      <c r="AB11" s="8">
        <v>-1.66</v>
      </c>
      <c r="AC11" s="8">
        <v>-1.88</v>
      </c>
      <c r="AD11" s="8">
        <v>-1.4</v>
      </c>
      <c r="AE11" s="8">
        <v>4.0</v>
      </c>
      <c r="AF11" s="8">
        <v>0.11</v>
      </c>
      <c r="AG11" s="8">
        <v>0.99</v>
      </c>
    </row>
    <row r="12" ht="16.5" customHeight="1">
      <c r="A12" s="8" t="s">
        <v>33</v>
      </c>
      <c r="B12" s="7">
        <v>2010.0</v>
      </c>
      <c r="C12" s="8">
        <v>1.5856668556E10</v>
      </c>
      <c r="D12" s="8">
        <v>14.36</v>
      </c>
      <c r="E12" s="8">
        <v>562.5</v>
      </c>
      <c r="F12" s="8">
        <v>7.91</v>
      </c>
      <c r="G12" s="8">
        <v>2.18</v>
      </c>
      <c r="H12" s="8">
        <v>1.2</v>
      </c>
      <c r="I12" s="8">
        <v>36.37</v>
      </c>
      <c r="J12" s="8">
        <v>33.71</v>
      </c>
      <c r="K12" s="8">
        <v>2.8189672E7</v>
      </c>
      <c r="L12" s="8">
        <v>2.89</v>
      </c>
      <c r="M12" s="8">
        <v>2.7</v>
      </c>
      <c r="N12" s="8">
        <v>60.85</v>
      </c>
      <c r="O12" s="8">
        <v>64.6</v>
      </c>
      <c r="P12" s="8">
        <v>22.0</v>
      </c>
      <c r="Q12" s="8">
        <v>102.9</v>
      </c>
      <c r="R12" s="8">
        <v>23.74</v>
      </c>
      <c r="S12" s="8">
        <v>42.7</v>
      </c>
      <c r="T12" s="8">
        <v>48.83</v>
      </c>
      <c r="U12" s="8">
        <v>35.48</v>
      </c>
      <c r="V12" s="8">
        <v>0.29</v>
      </c>
      <c r="W12" s="8">
        <v>61.82</v>
      </c>
      <c r="X12" s="8">
        <v>15.2</v>
      </c>
      <c r="Y12" s="8">
        <v>1.85</v>
      </c>
      <c r="Z12" s="8">
        <v>0.952380955</v>
      </c>
      <c r="AA12" s="8">
        <v>-2.58</v>
      </c>
      <c r="AB12" s="8">
        <v>-1.52</v>
      </c>
      <c r="AC12" s="8">
        <v>-1.87</v>
      </c>
      <c r="AD12" s="8">
        <v>-1.34</v>
      </c>
      <c r="AE12" s="8">
        <v>5.0</v>
      </c>
      <c r="AF12" s="8">
        <v>0.11</v>
      </c>
      <c r="AG12" s="8">
        <v>0.99</v>
      </c>
    </row>
    <row r="13" ht="16.5" customHeight="1">
      <c r="A13" s="8" t="s">
        <v>33</v>
      </c>
      <c r="B13" s="7">
        <v>2011.0</v>
      </c>
      <c r="C13" s="8">
        <v>1.7805098206E10</v>
      </c>
      <c r="D13" s="8">
        <v>0.43</v>
      </c>
      <c r="E13" s="8">
        <v>608.74</v>
      </c>
      <c r="F13" s="8">
        <v>7.92</v>
      </c>
      <c r="G13" s="8">
        <v>11.8</v>
      </c>
      <c r="H13" s="8">
        <v>0.29</v>
      </c>
      <c r="I13" s="8">
        <v>36.37</v>
      </c>
      <c r="J13" s="8">
        <v>33.71</v>
      </c>
      <c r="K13" s="8">
        <v>2.9249157E7</v>
      </c>
      <c r="L13" s="8">
        <v>3.69</v>
      </c>
      <c r="M13" s="8">
        <v>2.7</v>
      </c>
      <c r="N13" s="8">
        <v>61.42</v>
      </c>
      <c r="O13" s="8">
        <v>62.3</v>
      </c>
      <c r="P13" s="8">
        <v>31.0</v>
      </c>
      <c r="Q13" s="8">
        <v>100.29</v>
      </c>
      <c r="R13" s="8">
        <v>23.95</v>
      </c>
      <c r="S13" s="8">
        <v>43.2</v>
      </c>
      <c r="T13" s="8">
        <v>51.47</v>
      </c>
      <c r="U13" s="8">
        <v>37.16</v>
      </c>
      <c r="V13" s="8">
        <v>0.4</v>
      </c>
      <c r="W13" s="8">
        <v>70.92</v>
      </c>
      <c r="X13" s="8">
        <v>12.6</v>
      </c>
      <c r="Y13" s="8">
        <v>1.85</v>
      </c>
      <c r="Z13" s="8">
        <v>0.473933637</v>
      </c>
      <c r="AA13" s="8">
        <v>-2.5</v>
      </c>
      <c r="AB13" s="8">
        <v>-1.54</v>
      </c>
      <c r="AC13" s="8">
        <v>-1.92</v>
      </c>
      <c r="AD13" s="8">
        <v>-1.27</v>
      </c>
      <c r="AE13" s="8">
        <v>5.45</v>
      </c>
      <c r="AF13" s="8">
        <v>0.11</v>
      </c>
      <c r="AG13" s="8">
        <v>0.99</v>
      </c>
    </row>
    <row r="14" ht="16.5" customHeight="1">
      <c r="A14" s="8" t="s">
        <v>33</v>
      </c>
      <c r="B14" s="7">
        <v>2012.0</v>
      </c>
      <c r="C14" s="8">
        <v>1.9907329778E10</v>
      </c>
      <c r="D14" s="8">
        <v>12.75</v>
      </c>
      <c r="E14" s="8">
        <v>653.42</v>
      </c>
      <c r="F14" s="8">
        <v>7.91</v>
      </c>
      <c r="G14" s="8">
        <v>6.44</v>
      </c>
      <c r="H14" s="8">
        <v>0.29</v>
      </c>
      <c r="I14" s="8">
        <v>36.37</v>
      </c>
      <c r="J14" s="8">
        <v>33.71</v>
      </c>
      <c r="K14" s="8">
        <v>3.0466479E7</v>
      </c>
      <c r="L14" s="8">
        <v>4.08</v>
      </c>
      <c r="M14" s="8">
        <v>2.7</v>
      </c>
      <c r="N14" s="8">
        <v>61.92</v>
      </c>
      <c r="O14" s="8">
        <v>60.1</v>
      </c>
      <c r="P14" s="8">
        <v>22.0</v>
      </c>
      <c r="Q14" s="8">
        <v>106.28</v>
      </c>
      <c r="R14" s="8">
        <v>24.16</v>
      </c>
      <c r="S14" s="8">
        <v>69.1</v>
      </c>
      <c r="T14" s="8">
        <v>54.15</v>
      </c>
      <c r="U14" s="8">
        <v>38.86</v>
      </c>
      <c r="V14" s="8">
        <v>0.33</v>
      </c>
      <c r="W14" s="8">
        <v>73.13</v>
      </c>
      <c r="X14" s="8">
        <v>15.4</v>
      </c>
      <c r="Y14" s="8">
        <v>1.85</v>
      </c>
      <c r="Z14" s="8">
        <v>1.421800971</v>
      </c>
      <c r="AA14" s="8">
        <v>-2.42</v>
      </c>
      <c r="AB14" s="8">
        <v>-1.19</v>
      </c>
      <c r="AC14" s="8">
        <v>-1.65</v>
      </c>
      <c r="AD14" s="8">
        <v>-1.24</v>
      </c>
      <c r="AE14" s="8">
        <v>5.9</v>
      </c>
      <c r="AF14" s="8">
        <v>0.11</v>
      </c>
      <c r="AG14" s="8">
        <v>0.99</v>
      </c>
    </row>
    <row r="15" ht="16.5" customHeight="1">
      <c r="A15" s="8" t="s">
        <v>33</v>
      </c>
      <c r="B15" s="7">
        <v>2013.0</v>
      </c>
      <c r="C15" s="8">
        <v>2.0146416758E10</v>
      </c>
      <c r="D15" s="8">
        <v>5.6</v>
      </c>
      <c r="E15" s="8">
        <v>638.73</v>
      </c>
      <c r="F15" s="8">
        <v>7.92</v>
      </c>
      <c r="G15" s="8">
        <v>7.39</v>
      </c>
      <c r="H15" s="8">
        <v>0.24</v>
      </c>
      <c r="I15" s="8">
        <v>36.37</v>
      </c>
      <c r="J15" s="8">
        <v>33.71</v>
      </c>
      <c r="K15" s="8">
        <v>3.1541209E7</v>
      </c>
      <c r="L15" s="8">
        <v>3.47</v>
      </c>
      <c r="M15" s="8">
        <v>2.7</v>
      </c>
      <c r="N15" s="8">
        <v>62.42</v>
      </c>
      <c r="O15" s="8">
        <v>58.1</v>
      </c>
      <c r="P15" s="8">
        <v>22.0</v>
      </c>
      <c r="Q15" s="8">
        <v>107.7</v>
      </c>
      <c r="R15" s="8">
        <v>24.37</v>
      </c>
      <c r="S15" s="8">
        <v>68.0</v>
      </c>
      <c r="T15" s="8">
        <v>56.86</v>
      </c>
      <c r="U15" s="8">
        <v>40.56</v>
      </c>
      <c r="V15" s="8">
        <v>0.28</v>
      </c>
      <c r="W15" s="8">
        <v>77.14</v>
      </c>
      <c r="X15" s="8">
        <v>16.9</v>
      </c>
      <c r="Y15" s="8">
        <v>1.85</v>
      </c>
      <c r="Z15" s="8">
        <v>0.947867274</v>
      </c>
      <c r="AA15" s="8">
        <v>-2.52</v>
      </c>
      <c r="AB15" s="8">
        <v>-1.19</v>
      </c>
      <c r="AC15" s="8">
        <v>-1.61</v>
      </c>
      <c r="AD15" s="8">
        <v>-1.14</v>
      </c>
      <c r="AE15" s="8">
        <v>7.0</v>
      </c>
      <c r="AF15" s="8">
        <v>0.11</v>
      </c>
      <c r="AG15" s="8">
        <v>0.99</v>
      </c>
    </row>
    <row r="16" ht="16.5" customHeight="1">
      <c r="A16" s="8" t="s">
        <v>33</v>
      </c>
      <c r="B16" s="7">
        <v>2014.0</v>
      </c>
      <c r="C16" s="8">
        <v>2.0497128556E10</v>
      </c>
      <c r="D16" s="8">
        <v>2.72</v>
      </c>
      <c r="E16" s="8">
        <v>626.51</v>
      </c>
      <c r="F16" s="8">
        <v>7.92</v>
      </c>
      <c r="G16" s="8">
        <v>4.67</v>
      </c>
      <c r="H16" s="8">
        <v>0.21</v>
      </c>
      <c r="I16" s="8">
        <v>36.37</v>
      </c>
      <c r="J16" s="8">
        <v>33.71</v>
      </c>
      <c r="K16" s="8">
        <v>3.271621E7</v>
      </c>
      <c r="L16" s="8">
        <v>3.66</v>
      </c>
      <c r="M16" s="8">
        <v>2.7</v>
      </c>
      <c r="N16" s="8">
        <v>62.55</v>
      </c>
      <c r="O16" s="8">
        <v>56.2</v>
      </c>
      <c r="P16" s="8">
        <v>22.0</v>
      </c>
      <c r="Q16" s="8">
        <v>109.12</v>
      </c>
      <c r="R16" s="8">
        <v>24.59</v>
      </c>
      <c r="S16" s="8">
        <v>89.5</v>
      </c>
      <c r="T16" s="8">
        <v>59.6</v>
      </c>
      <c r="U16" s="8">
        <v>42.28</v>
      </c>
      <c r="V16" s="8">
        <v>0.25</v>
      </c>
      <c r="W16" s="8">
        <v>73.49</v>
      </c>
      <c r="X16" s="8">
        <v>19.1</v>
      </c>
      <c r="Y16" s="8">
        <v>1.85</v>
      </c>
      <c r="Z16" s="8">
        <v>5.288461685</v>
      </c>
      <c r="AA16" s="8">
        <v>-2.41</v>
      </c>
      <c r="AB16" s="8">
        <v>-1.12</v>
      </c>
      <c r="AC16" s="8">
        <v>-1.44</v>
      </c>
      <c r="AD16" s="8">
        <v>-1.12</v>
      </c>
      <c r="AE16" s="8">
        <v>8.26</v>
      </c>
      <c r="AF16" s="8">
        <v>0.11</v>
      </c>
      <c r="AG16" s="8">
        <v>0.99</v>
      </c>
    </row>
    <row r="17" ht="16.5" customHeight="1">
      <c r="A17" s="8" t="s">
        <v>33</v>
      </c>
      <c r="B17" s="7">
        <v>2015.0</v>
      </c>
      <c r="C17" s="8">
        <v>1.9134221645E10</v>
      </c>
      <c r="D17" s="8">
        <v>1.45</v>
      </c>
      <c r="E17" s="8">
        <v>566.88</v>
      </c>
      <c r="F17" s="8">
        <v>9.01</v>
      </c>
      <c r="G17" s="8">
        <v>-0.66</v>
      </c>
      <c r="H17" s="8">
        <v>0.88</v>
      </c>
      <c r="I17" s="8">
        <v>36.37</v>
      </c>
      <c r="J17" s="8">
        <v>33.71</v>
      </c>
      <c r="K17" s="8">
        <v>3.3753499E7</v>
      </c>
      <c r="L17" s="8">
        <v>3.12</v>
      </c>
      <c r="M17" s="8">
        <v>2.7</v>
      </c>
      <c r="N17" s="8">
        <v>62.66</v>
      </c>
      <c r="O17" s="8">
        <v>54.6</v>
      </c>
      <c r="P17" s="8">
        <v>34.0</v>
      </c>
      <c r="Q17" s="8">
        <v>106.18</v>
      </c>
      <c r="R17" s="8">
        <v>24.8</v>
      </c>
      <c r="S17" s="8">
        <v>71.5</v>
      </c>
      <c r="T17" s="8">
        <v>62.37</v>
      </c>
      <c r="U17" s="8">
        <v>44.0</v>
      </c>
      <c r="V17" s="8">
        <v>0.26</v>
      </c>
      <c r="W17" s="8">
        <v>72.77</v>
      </c>
      <c r="X17" s="8">
        <v>17.7</v>
      </c>
      <c r="Y17" s="8">
        <v>1.85</v>
      </c>
      <c r="Z17" s="8">
        <v>5.714285851</v>
      </c>
      <c r="AA17" s="8">
        <v>-2.56</v>
      </c>
      <c r="AB17" s="8">
        <v>-1.02</v>
      </c>
      <c r="AC17" s="8">
        <v>-1.52</v>
      </c>
      <c r="AD17" s="8">
        <v>-1.04</v>
      </c>
      <c r="AE17" s="8">
        <v>11.0</v>
      </c>
      <c r="AF17" s="8">
        <v>0.11</v>
      </c>
      <c r="AG17" s="8">
        <v>0.99</v>
      </c>
    </row>
    <row r="18" ht="16.5" customHeight="1">
      <c r="A18" s="8" t="s">
        <v>33</v>
      </c>
      <c r="B18" s="7">
        <v>2016.0</v>
      </c>
      <c r="C18" s="8">
        <v>1.8116572395E10</v>
      </c>
      <c r="D18" s="8">
        <v>2.26</v>
      </c>
      <c r="E18" s="8">
        <v>523.05</v>
      </c>
      <c r="F18" s="8">
        <v>10.1</v>
      </c>
      <c r="G18" s="8">
        <v>4.38</v>
      </c>
      <c r="H18" s="8">
        <v>0.52</v>
      </c>
      <c r="I18" s="8">
        <v>36.37</v>
      </c>
      <c r="J18" s="8">
        <v>33.71</v>
      </c>
      <c r="K18" s="8">
        <v>3.4636207E7</v>
      </c>
      <c r="L18" s="8">
        <v>2.58</v>
      </c>
      <c r="M18" s="8">
        <v>2.7</v>
      </c>
      <c r="N18" s="8">
        <v>63.14</v>
      </c>
      <c r="O18" s="8">
        <v>53.0</v>
      </c>
      <c r="P18" s="8">
        <v>22.0</v>
      </c>
      <c r="Q18" s="8">
        <v>106.15</v>
      </c>
      <c r="R18" s="8">
        <v>25.02</v>
      </c>
      <c r="S18" s="8">
        <v>97.7</v>
      </c>
      <c r="T18" s="8">
        <v>65.17</v>
      </c>
      <c r="U18" s="8">
        <v>45.73</v>
      </c>
      <c r="V18" s="8">
        <v>0.23</v>
      </c>
      <c r="W18" s="8">
        <v>65.86</v>
      </c>
      <c r="X18" s="8">
        <v>20.2</v>
      </c>
      <c r="Y18" s="8">
        <v>1.85</v>
      </c>
      <c r="Z18" s="8">
        <v>3.809523821</v>
      </c>
      <c r="AA18" s="8">
        <v>-2.66</v>
      </c>
      <c r="AB18" s="8">
        <v>-1.34</v>
      </c>
      <c r="AC18" s="8">
        <v>-1.52</v>
      </c>
      <c r="AD18" s="8">
        <v>-0.99</v>
      </c>
      <c r="AE18" s="8">
        <v>13.5</v>
      </c>
      <c r="AF18" s="8">
        <v>0.11</v>
      </c>
      <c r="AG18" s="8">
        <v>0.99</v>
      </c>
    </row>
    <row r="19" ht="16.5" customHeight="1">
      <c r="A19" s="8" t="s">
        <v>33</v>
      </c>
      <c r="B19" s="7">
        <v>2017.0</v>
      </c>
      <c r="C19" s="8">
        <v>1.8753456498E10</v>
      </c>
      <c r="D19" s="8">
        <v>2.65</v>
      </c>
      <c r="E19" s="8">
        <v>526.14</v>
      </c>
      <c r="F19" s="8">
        <v>11.18</v>
      </c>
      <c r="G19" s="8">
        <v>4.98</v>
      </c>
      <c r="H19" s="8">
        <v>0.27</v>
      </c>
      <c r="I19" s="8">
        <v>36.37</v>
      </c>
      <c r="J19" s="8">
        <v>33.71</v>
      </c>
      <c r="K19" s="8">
        <v>3.5643418E7</v>
      </c>
      <c r="L19" s="8">
        <v>2.87</v>
      </c>
      <c r="M19" s="8">
        <v>2.7</v>
      </c>
      <c r="N19" s="8">
        <v>63.02</v>
      </c>
      <c r="O19" s="8">
        <v>51.5</v>
      </c>
      <c r="P19" s="8">
        <v>22.0</v>
      </c>
      <c r="Q19" s="8">
        <v>106.13</v>
      </c>
      <c r="R19" s="8">
        <v>25.25</v>
      </c>
      <c r="S19" s="8">
        <v>97.7</v>
      </c>
      <c r="T19" s="8">
        <v>68.01</v>
      </c>
      <c r="U19" s="8">
        <v>47.48</v>
      </c>
      <c r="V19" s="8">
        <v>0.24</v>
      </c>
      <c r="W19" s="8">
        <v>67.23</v>
      </c>
      <c r="X19" s="8">
        <v>19.5</v>
      </c>
      <c r="Y19" s="8">
        <v>1.85</v>
      </c>
      <c r="Z19" s="8">
        <v>3.809523821</v>
      </c>
      <c r="AA19" s="8">
        <v>-2.79</v>
      </c>
      <c r="AB19" s="8">
        <v>-1.37</v>
      </c>
      <c r="AC19" s="8">
        <v>-1.58</v>
      </c>
      <c r="AD19" s="8">
        <v>-1.01</v>
      </c>
      <c r="AE19" s="8">
        <v>16.8</v>
      </c>
      <c r="AF19" s="8">
        <v>0.11</v>
      </c>
      <c r="AG19" s="8">
        <v>0.99</v>
      </c>
    </row>
    <row r="20" ht="16.5" customHeight="1">
      <c r="A20" s="8" t="s">
        <v>33</v>
      </c>
      <c r="B20" s="7">
        <v>2018.0</v>
      </c>
      <c r="C20" s="8">
        <v>1.8053222687E10</v>
      </c>
      <c r="D20" s="8">
        <v>1.19</v>
      </c>
      <c r="E20" s="8">
        <v>492.09</v>
      </c>
      <c r="F20" s="8">
        <v>11.21</v>
      </c>
      <c r="G20" s="8">
        <v>0.63</v>
      </c>
      <c r="H20" s="8">
        <v>0.66</v>
      </c>
      <c r="I20" s="8">
        <v>36.37</v>
      </c>
      <c r="J20" s="8">
        <v>33.71</v>
      </c>
      <c r="K20" s="8">
        <v>3.6686784E7</v>
      </c>
      <c r="L20" s="8">
        <v>2.89</v>
      </c>
      <c r="M20" s="8">
        <v>2.7</v>
      </c>
      <c r="N20" s="8">
        <v>63.08</v>
      </c>
      <c r="O20" s="8">
        <v>50.1</v>
      </c>
      <c r="P20" s="8">
        <v>22.0</v>
      </c>
      <c r="Q20" s="8">
        <v>107.78</v>
      </c>
      <c r="R20" s="8">
        <v>25.5</v>
      </c>
      <c r="S20" s="8">
        <v>93.4</v>
      </c>
      <c r="T20" s="8">
        <v>70.88</v>
      </c>
      <c r="U20" s="8">
        <v>49.23</v>
      </c>
      <c r="V20" s="8">
        <v>0.22</v>
      </c>
      <c r="W20" s="8">
        <v>58.33</v>
      </c>
      <c r="X20" s="8">
        <v>18.3</v>
      </c>
      <c r="Y20" s="8">
        <v>1.85</v>
      </c>
      <c r="Z20" s="8">
        <v>4.761904716</v>
      </c>
      <c r="AA20" s="8">
        <v>-2.75</v>
      </c>
      <c r="AB20" s="8">
        <v>-1.14</v>
      </c>
      <c r="AC20" s="8">
        <v>-1.69</v>
      </c>
      <c r="AD20" s="8">
        <v>-1.01</v>
      </c>
      <c r="AE20" s="8">
        <v>17.6</v>
      </c>
      <c r="AF20" s="8">
        <v>0.11</v>
      </c>
      <c r="AG20" s="8">
        <v>0.99</v>
      </c>
    </row>
    <row r="21" ht="16.5" customHeight="1">
      <c r="A21" s="8" t="s">
        <v>33</v>
      </c>
      <c r="B21" s="7">
        <v>2019.0</v>
      </c>
      <c r="C21" s="8">
        <v>1.879944449E10</v>
      </c>
      <c r="D21" s="8">
        <v>3.91</v>
      </c>
      <c r="E21" s="8">
        <v>497.74</v>
      </c>
      <c r="F21" s="8">
        <v>11.22</v>
      </c>
      <c r="G21" s="8">
        <v>2.3</v>
      </c>
      <c r="H21" s="8">
        <v>0.12</v>
      </c>
      <c r="I21" s="8">
        <v>36.37</v>
      </c>
      <c r="J21" s="8">
        <v>33.71</v>
      </c>
      <c r="K21" s="8">
        <v>3.7769499E7</v>
      </c>
      <c r="L21" s="8">
        <v>2.91</v>
      </c>
      <c r="M21" s="8">
        <v>2.7</v>
      </c>
      <c r="N21" s="8">
        <v>63.57</v>
      </c>
      <c r="O21" s="8">
        <v>48.8</v>
      </c>
      <c r="P21" s="8">
        <v>22.0</v>
      </c>
      <c r="Q21" s="8">
        <v>110.01</v>
      </c>
      <c r="R21" s="8">
        <v>25.75</v>
      </c>
      <c r="S21" s="8">
        <v>97.7</v>
      </c>
      <c r="T21" s="8">
        <v>73.78</v>
      </c>
      <c r="U21" s="8">
        <v>51.0</v>
      </c>
      <c r="V21" s="8">
        <v>0.2</v>
      </c>
      <c r="W21" s="8">
        <v>46.09</v>
      </c>
      <c r="X21" s="8">
        <v>18.9</v>
      </c>
      <c r="Y21" s="8">
        <v>1.85</v>
      </c>
      <c r="Z21" s="8">
        <v>5.714285851</v>
      </c>
      <c r="AA21" s="8">
        <v>-2.65</v>
      </c>
      <c r="AB21" s="8">
        <v>-1.11</v>
      </c>
      <c r="AC21" s="8">
        <v>-1.74</v>
      </c>
      <c r="AD21" s="8">
        <v>-1.08</v>
      </c>
      <c r="AE21" s="8">
        <v>18.4</v>
      </c>
      <c r="AF21" s="8">
        <v>0.11</v>
      </c>
      <c r="AG21" s="8">
        <v>0.99</v>
      </c>
    </row>
    <row r="22" ht="16.5" customHeight="1">
      <c r="A22" s="8" t="s">
        <v>33</v>
      </c>
      <c r="B22" s="7">
        <v>2020.0</v>
      </c>
      <c r="C22" s="8">
        <v>1.9955929052E10</v>
      </c>
      <c r="D22" s="8">
        <v>-2.35</v>
      </c>
      <c r="E22" s="8">
        <v>512.06</v>
      </c>
      <c r="F22" s="8">
        <v>11.71</v>
      </c>
      <c r="G22" s="8">
        <v>6.31</v>
      </c>
      <c r="H22" s="8">
        <v>0.06</v>
      </c>
      <c r="I22" s="8">
        <v>46.71</v>
      </c>
      <c r="J22" s="8">
        <v>33.71</v>
      </c>
      <c r="K22" s="8">
        <v>3.897223E7</v>
      </c>
      <c r="L22" s="8">
        <v>3.13</v>
      </c>
      <c r="M22" s="8">
        <v>2.7</v>
      </c>
      <c r="N22" s="8">
        <v>62.58</v>
      </c>
      <c r="O22" s="8">
        <v>47.4</v>
      </c>
      <c r="P22" s="8">
        <v>22.0</v>
      </c>
      <c r="Q22" s="8">
        <v>88.12</v>
      </c>
      <c r="R22" s="8">
        <v>26.03</v>
      </c>
      <c r="S22" s="8">
        <v>97.7</v>
      </c>
      <c r="T22" s="8">
        <v>76.72</v>
      </c>
      <c r="U22" s="8">
        <v>52.65</v>
      </c>
      <c r="V22" s="8">
        <v>0.14</v>
      </c>
      <c r="W22" s="8">
        <v>40.46</v>
      </c>
      <c r="X22" s="8">
        <v>18.2</v>
      </c>
      <c r="Y22" s="8">
        <v>1.85</v>
      </c>
      <c r="Z22" s="8">
        <v>4.761904716</v>
      </c>
      <c r="AA22" s="8">
        <v>-2.7</v>
      </c>
      <c r="AB22" s="8">
        <v>-1.39</v>
      </c>
      <c r="AC22" s="8">
        <v>-1.83</v>
      </c>
      <c r="AD22" s="8">
        <v>-1.57</v>
      </c>
      <c r="AE22" s="8">
        <v>15.77</v>
      </c>
      <c r="AF22" s="8">
        <v>0.11</v>
      </c>
      <c r="AG22" s="8">
        <v>0.99</v>
      </c>
    </row>
    <row r="23" ht="16.5" customHeight="1">
      <c r="A23" s="8" t="s">
        <v>33</v>
      </c>
      <c r="B23" s="7">
        <v>2021.0</v>
      </c>
      <c r="C23" s="8">
        <v>1.426649943E10</v>
      </c>
      <c r="D23" s="8">
        <v>-20.74</v>
      </c>
      <c r="E23" s="8">
        <v>355.78</v>
      </c>
      <c r="F23" s="8">
        <v>11.93</v>
      </c>
      <c r="G23" s="8">
        <v>6.31</v>
      </c>
      <c r="H23" s="8">
        <v>0.14</v>
      </c>
      <c r="I23" s="8">
        <v>51.41</v>
      </c>
      <c r="J23" s="8">
        <v>33.71</v>
      </c>
      <c r="K23" s="8">
        <v>4.0099462E7</v>
      </c>
      <c r="L23" s="8">
        <v>2.85</v>
      </c>
      <c r="M23" s="8">
        <v>2.7</v>
      </c>
      <c r="N23" s="8">
        <v>61.98</v>
      </c>
      <c r="O23" s="8">
        <v>46.1</v>
      </c>
      <c r="P23" s="8">
        <v>37.0</v>
      </c>
      <c r="Q23" s="8">
        <v>88.12</v>
      </c>
      <c r="R23" s="8">
        <v>26.31</v>
      </c>
      <c r="S23" s="8">
        <v>97.7</v>
      </c>
      <c r="T23" s="8">
        <v>79.69</v>
      </c>
      <c r="U23" s="8">
        <v>54.3</v>
      </c>
      <c r="V23" s="8">
        <v>0.14</v>
      </c>
      <c r="W23" s="8">
        <v>40.46</v>
      </c>
      <c r="X23" s="8">
        <v>20.0</v>
      </c>
      <c r="Y23" s="8">
        <v>22.14</v>
      </c>
      <c r="Z23" s="8">
        <v>12.38095284</v>
      </c>
      <c r="AA23" s="8">
        <v>-2.52</v>
      </c>
      <c r="AB23" s="8">
        <v>-1.31</v>
      </c>
      <c r="AC23" s="8">
        <v>-1.88</v>
      </c>
      <c r="AD23" s="8">
        <v>-1.75</v>
      </c>
      <c r="AE23" s="8">
        <v>15.77</v>
      </c>
      <c r="AF23" s="8">
        <v>0.11</v>
      </c>
      <c r="AG23" s="8">
        <v>0.99</v>
      </c>
    </row>
    <row r="24" ht="16.5" customHeight="1">
      <c r="A24" s="8" t="s">
        <v>33</v>
      </c>
      <c r="B24" s="7">
        <v>2022.0</v>
      </c>
      <c r="C24" s="8">
        <v>1.4502158192E10</v>
      </c>
      <c r="D24" s="8">
        <v>-6.24</v>
      </c>
      <c r="E24" s="8">
        <v>352.6</v>
      </c>
      <c r="F24" s="8">
        <v>14.1</v>
      </c>
      <c r="G24" s="8">
        <v>6.31</v>
      </c>
      <c r="H24" s="8">
        <v>1.86</v>
      </c>
      <c r="I24" s="8">
        <v>72.89</v>
      </c>
      <c r="J24" s="8">
        <v>33.71</v>
      </c>
      <c r="K24" s="8">
        <v>4.1128771E7</v>
      </c>
      <c r="L24" s="8">
        <v>2.53</v>
      </c>
      <c r="M24" s="8">
        <v>2.7</v>
      </c>
      <c r="N24" s="8">
        <v>62.88</v>
      </c>
      <c r="O24" s="8">
        <v>44.8</v>
      </c>
      <c r="P24" s="8">
        <v>22.0</v>
      </c>
      <c r="Q24" s="8">
        <v>88.12</v>
      </c>
      <c r="R24" s="8">
        <v>26.62</v>
      </c>
      <c r="S24" s="8">
        <v>85.3</v>
      </c>
      <c r="T24" s="8">
        <v>82.18</v>
      </c>
      <c r="U24" s="8">
        <v>55.95</v>
      </c>
      <c r="V24" s="8">
        <v>0.14</v>
      </c>
      <c r="W24" s="8">
        <v>40.46</v>
      </c>
      <c r="X24" s="8">
        <v>20.0</v>
      </c>
      <c r="Y24" s="8">
        <v>22.14</v>
      </c>
      <c r="Z24" s="8">
        <v>12.26415062</v>
      </c>
      <c r="AA24" s="8">
        <v>-2.55</v>
      </c>
      <c r="AB24" s="8">
        <v>-1.27</v>
      </c>
      <c r="AC24" s="8">
        <v>-1.66</v>
      </c>
      <c r="AD24" s="8">
        <v>-0.46</v>
      </c>
      <c r="AE24" s="8">
        <v>15.77</v>
      </c>
      <c r="AF24" s="8">
        <v>0.11</v>
      </c>
      <c r="AG24" s="8">
        <v>0.99</v>
      </c>
    </row>
    <row r="25" ht="16.5" customHeight="1">
      <c r="A25" s="8" t="s">
        <v>33</v>
      </c>
      <c r="B25" s="7">
        <v>2023.0</v>
      </c>
      <c r="C25" s="8">
        <v>2.90969535102E11</v>
      </c>
      <c r="D25" s="8">
        <v>5.07</v>
      </c>
      <c r="E25" s="8">
        <v>2161.42</v>
      </c>
      <c r="F25" s="8">
        <v>14.39</v>
      </c>
      <c r="G25" s="8">
        <v>6.31</v>
      </c>
      <c r="H25" s="8">
        <v>1.86</v>
      </c>
      <c r="I25" s="8">
        <v>36.37</v>
      </c>
      <c r="J25" s="8">
        <v>33.71</v>
      </c>
      <c r="K25" s="8">
        <v>4.2239854E7</v>
      </c>
      <c r="L25" s="8">
        <v>2.67</v>
      </c>
      <c r="M25" s="8">
        <v>2.7</v>
      </c>
      <c r="N25" s="8">
        <v>65.53</v>
      </c>
      <c r="O25" s="8">
        <v>37.5</v>
      </c>
      <c r="P25" s="8">
        <v>22.0</v>
      </c>
      <c r="Q25" s="8">
        <v>88.12</v>
      </c>
      <c r="R25" s="8">
        <v>26.93</v>
      </c>
      <c r="S25" s="8">
        <v>73.2</v>
      </c>
      <c r="T25" s="8">
        <v>82.3</v>
      </c>
      <c r="U25" s="8">
        <v>55.23</v>
      </c>
      <c r="V25" s="8">
        <v>1.05</v>
      </c>
      <c r="W25" s="8">
        <v>32.57</v>
      </c>
      <c r="X25" s="8">
        <v>44.0</v>
      </c>
      <c r="Y25" s="8">
        <v>65.48</v>
      </c>
      <c r="Z25" s="8">
        <v>33.95</v>
      </c>
      <c r="AA25" s="8">
        <v>-0.69</v>
      </c>
      <c r="AB25" s="8">
        <v>-0.58</v>
      </c>
      <c r="AC25" s="8">
        <v>-0.89</v>
      </c>
      <c r="AD25" s="8">
        <v>-1.11</v>
      </c>
      <c r="AE25" s="8">
        <v>0.4</v>
      </c>
      <c r="AF25" s="8">
        <v>0.11</v>
      </c>
      <c r="AG25" s="8">
        <v>0.99</v>
      </c>
    </row>
    <row r="26" ht="16.5" customHeight="1">
      <c r="A26" s="8" t="s">
        <v>35</v>
      </c>
      <c r="B26" s="7">
        <v>2000.0</v>
      </c>
      <c r="C26" s="8">
        <v>4.607334184E8</v>
      </c>
      <c r="D26" s="8">
        <v>3.36</v>
      </c>
      <c r="E26" s="8">
        <v>784.62</v>
      </c>
      <c r="F26" s="8">
        <v>1.65</v>
      </c>
      <c r="G26" s="8">
        <v>4.01</v>
      </c>
      <c r="H26" s="8">
        <v>1.86</v>
      </c>
      <c r="I26" s="8">
        <v>74.03</v>
      </c>
      <c r="J26" s="8">
        <v>33.71</v>
      </c>
      <c r="K26" s="8">
        <v>587207.0</v>
      </c>
      <c r="L26" s="8">
        <v>2.8</v>
      </c>
      <c r="M26" s="8">
        <v>2.7</v>
      </c>
      <c r="N26" s="8">
        <v>62.01</v>
      </c>
      <c r="O26" s="8">
        <v>58.4</v>
      </c>
      <c r="P26" s="8">
        <v>22.0</v>
      </c>
      <c r="Q26" s="8">
        <v>80.79</v>
      </c>
      <c r="R26" s="8">
        <v>25.42</v>
      </c>
      <c r="S26" s="8">
        <v>31.2</v>
      </c>
      <c r="T26" s="8">
        <v>82.36</v>
      </c>
      <c r="U26" s="8">
        <v>46.9</v>
      </c>
      <c r="V26" s="8">
        <v>0.72</v>
      </c>
      <c r="W26" s="8">
        <v>32.92</v>
      </c>
      <c r="X26" s="8">
        <v>91.4</v>
      </c>
      <c r="Y26" s="8">
        <v>65.73</v>
      </c>
      <c r="Z26" s="8">
        <v>71.27659607</v>
      </c>
      <c r="AA26" s="8">
        <v>0.49</v>
      </c>
      <c r="AB26" s="8">
        <v>-0.43</v>
      </c>
      <c r="AC26" s="8">
        <v>0.13</v>
      </c>
      <c r="AD26" s="8">
        <v>-0.46</v>
      </c>
      <c r="AE26" s="8">
        <v>0.86</v>
      </c>
      <c r="AF26" s="8">
        <v>0.11</v>
      </c>
      <c r="AG26" s="8">
        <v>0.99</v>
      </c>
    </row>
    <row r="27" ht="16.5" customHeight="1">
      <c r="A27" s="8" t="s">
        <v>35</v>
      </c>
      <c r="B27" s="7">
        <v>2001.0</v>
      </c>
      <c r="C27" s="8">
        <v>4.961102257E8</v>
      </c>
      <c r="D27" s="8">
        <v>7.33</v>
      </c>
      <c r="E27" s="8">
        <v>822.42</v>
      </c>
      <c r="F27" s="8">
        <v>1.9</v>
      </c>
      <c r="G27" s="8">
        <v>3.41</v>
      </c>
      <c r="H27" s="8">
        <v>1.86</v>
      </c>
      <c r="I27" s="8">
        <v>71.09</v>
      </c>
      <c r="J27" s="8">
        <v>33.71</v>
      </c>
      <c r="K27" s="8">
        <v>603234.0</v>
      </c>
      <c r="L27" s="8">
        <v>2.69</v>
      </c>
      <c r="M27" s="8">
        <v>2.7</v>
      </c>
      <c r="N27" s="8">
        <v>63.44</v>
      </c>
      <c r="O27" s="8">
        <v>55.6</v>
      </c>
      <c r="P27" s="8">
        <v>22.0</v>
      </c>
      <c r="Q27" s="8">
        <v>82.15</v>
      </c>
      <c r="R27" s="8">
        <v>26.48</v>
      </c>
      <c r="S27" s="8">
        <v>40.2</v>
      </c>
      <c r="T27" s="8">
        <v>83.47</v>
      </c>
      <c r="U27" s="8">
        <v>47.26</v>
      </c>
      <c r="V27" s="8">
        <v>0.75</v>
      </c>
      <c r="W27" s="8">
        <v>33.34</v>
      </c>
      <c r="X27" s="8">
        <v>90.2</v>
      </c>
      <c r="Y27" s="8">
        <v>65.98</v>
      </c>
      <c r="Z27" s="8">
        <v>33.95</v>
      </c>
      <c r="AA27" s="8">
        <v>-0.69</v>
      </c>
      <c r="AB27" s="8">
        <v>-0.58</v>
      </c>
      <c r="AC27" s="8">
        <v>-0.89</v>
      </c>
      <c r="AD27" s="8">
        <v>-1.29</v>
      </c>
      <c r="AE27" s="8">
        <v>1.68</v>
      </c>
      <c r="AF27" s="8">
        <v>0.11</v>
      </c>
      <c r="AG27" s="8">
        <v>0.99</v>
      </c>
    </row>
    <row r="28" ht="16.5" customHeight="1">
      <c r="A28" s="8" t="s">
        <v>35</v>
      </c>
      <c r="B28" s="7">
        <v>2002.0</v>
      </c>
      <c r="C28" s="8">
        <v>5.593452637E8</v>
      </c>
      <c r="D28" s="8">
        <v>10.44</v>
      </c>
      <c r="E28" s="8">
        <v>903.56</v>
      </c>
      <c r="F28" s="8">
        <v>1.85</v>
      </c>
      <c r="G28" s="8">
        <v>2.46</v>
      </c>
      <c r="H28" s="8">
        <v>0.43</v>
      </c>
      <c r="I28" s="8">
        <v>70.28</v>
      </c>
      <c r="J28" s="8">
        <v>33.71</v>
      </c>
      <c r="K28" s="8">
        <v>619048.0</v>
      </c>
      <c r="L28" s="8">
        <v>2.59</v>
      </c>
      <c r="M28" s="8">
        <v>2.7</v>
      </c>
      <c r="N28" s="8">
        <v>64.08</v>
      </c>
      <c r="O28" s="8">
        <v>52.7</v>
      </c>
      <c r="P28" s="8">
        <v>22.0</v>
      </c>
      <c r="Q28" s="8">
        <v>83.75</v>
      </c>
      <c r="R28" s="8">
        <v>27.57</v>
      </c>
      <c r="S28" s="8">
        <v>44.1</v>
      </c>
      <c r="T28" s="8">
        <v>84.62</v>
      </c>
      <c r="U28" s="8">
        <v>49.15</v>
      </c>
      <c r="V28" s="8">
        <v>0.79</v>
      </c>
      <c r="W28" s="8">
        <v>33.75</v>
      </c>
      <c r="X28" s="8">
        <v>89.7</v>
      </c>
      <c r="Y28" s="8">
        <v>66.23</v>
      </c>
      <c r="Z28" s="8">
        <v>70.89946747</v>
      </c>
      <c r="AA28" s="8">
        <v>0.69</v>
      </c>
      <c r="AB28" s="8">
        <v>-0.51</v>
      </c>
      <c r="AC28" s="8">
        <v>0.07</v>
      </c>
      <c r="AD28" s="8">
        <v>-1.15</v>
      </c>
      <c r="AE28" s="8">
        <v>2.44</v>
      </c>
      <c r="AF28" s="8">
        <v>0.11</v>
      </c>
      <c r="AG28" s="8">
        <v>0.99</v>
      </c>
    </row>
    <row r="29" ht="16.5" customHeight="1">
      <c r="A29" s="8" t="s">
        <v>35</v>
      </c>
      <c r="B29" s="7">
        <v>2003.0</v>
      </c>
      <c r="C29" s="8">
        <v>6.519354303E8</v>
      </c>
      <c r="D29" s="8">
        <v>7.79</v>
      </c>
      <c r="E29" s="8">
        <v>1027.27</v>
      </c>
      <c r="F29" s="8">
        <v>1.8</v>
      </c>
      <c r="G29" s="8">
        <v>2.57</v>
      </c>
      <c r="H29" s="8">
        <v>0.52</v>
      </c>
      <c r="I29" s="8">
        <v>72.85</v>
      </c>
      <c r="J29" s="8">
        <v>40.9</v>
      </c>
      <c r="K29" s="8">
        <v>634627.0</v>
      </c>
      <c r="L29" s="8">
        <v>2.49</v>
      </c>
      <c r="M29" s="8">
        <v>13.4</v>
      </c>
      <c r="N29" s="8">
        <v>64.7</v>
      </c>
      <c r="O29" s="8">
        <v>49.9</v>
      </c>
      <c r="P29" s="8">
        <v>22.0</v>
      </c>
      <c r="Q29" s="8">
        <v>86.25</v>
      </c>
      <c r="R29" s="8">
        <v>28.69</v>
      </c>
      <c r="S29" s="8">
        <v>41.1</v>
      </c>
      <c r="T29" s="8">
        <v>85.75</v>
      </c>
      <c r="U29" s="8">
        <v>51.02</v>
      </c>
      <c r="V29" s="8">
        <v>0.8</v>
      </c>
      <c r="W29" s="8">
        <v>34.03</v>
      </c>
      <c r="X29" s="8">
        <v>89.7</v>
      </c>
      <c r="Y29" s="8">
        <v>69.41</v>
      </c>
      <c r="Z29" s="8">
        <v>82.01058197</v>
      </c>
      <c r="AA29" s="8">
        <v>0.92</v>
      </c>
      <c r="AB29" s="8">
        <v>-0.05</v>
      </c>
      <c r="AC29" s="8">
        <v>0.14</v>
      </c>
      <c r="AD29" s="8">
        <v>-0.97</v>
      </c>
      <c r="AE29" s="8">
        <v>3.16</v>
      </c>
      <c r="AF29" s="8">
        <v>0.11</v>
      </c>
      <c r="AG29" s="8">
        <v>0.99</v>
      </c>
    </row>
    <row r="30" ht="16.5" customHeight="1">
      <c r="A30" s="8" t="s">
        <v>35</v>
      </c>
      <c r="B30" s="7">
        <v>2004.0</v>
      </c>
      <c r="C30" s="8">
        <v>7.353484904E8</v>
      </c>
      <c r="D30" s="8">
        <v>5.16</v>
      </c>
      <c r="E30" s="8">
        <v>1131.32</v>
      </c>
      <c r="F30" s="8">
        <v>2.49</v>
      </c>
      <c r="G30" s="8">
        <v>4.11</v>
      </c>
      <c r="H30" s="8">
        <v>1.2</v>
      </c>
      <c r="I30" s="8">
        <v>89.06</v>
      </c>
      <c r="J30" s="8">
        <v>33.71</v>
      </c>
      <c r="K30" s="8">
        <v>649991.0</v>
      </c>
      <c r="L30" s="8">
        <v>2.39</v>
      </c>
      <c r="M30" s="8">
        <v>2.7</v>
      </c>
      <c r="N30" s="8">
        <v>65.27</v>
      </c>
      <c r="O30" s="8">
        <v>47.1</v>
      </c>
      <c r="P30" s="8">
        <v>22.0</v>
      </c>
      <c r="Q30" s="8">
        <v>89.68</v>
      </c>
      <c r="R30" s="8">
        <v>29.84</v>
      </c>
      <c r="S30" s="8">
        <v>51.9</v>
      </c>
      <c r="T30" s="8">
        <v>86.87</v>
      </c>
      <c r="U30" s="8">
        <v>52.84</v>
      </c>
      <c r="V30" s="8">
        <v>0.79</v>
      </c>
      <c r="W30" s="8">
        <v>34.07</v>
      </c>
      <c r="X30" s="8">
        <v>90.9</v>
      </c>
      <c r="Y30" s="8">
        <v>69.67</v>
      </c>
      <c r="Z30" s="8">
        <v>80.78817749</v>
      </c>
      <c r="AA30" s="8">
        <v>1.17</v>
      </c>
      <c r="AB30" s="8">
        <v>-0.92</v>
      </c>
      <c r="AC30" s="8">
        <v>0.22</v>
      </c>
      <c r="AD30" s="8">
        <v>-1.07</v>
      </c>
      <c r="AE30" s="8">
        <v>3.85</v>
      </c>
      <c r="AF30" s="8">
        <v>0.11</v>
      </c>
      <c r="AG30" s="8">
        <v>0.99</v>
      </c>
    </row>
    <row r="31" ht="16.5" customHeight="1">
      <c r="A31" s="8" t="s">
        <v>35</v>
      </c>
      <c r="B31" s="7">
        <v>2005.0</v>
      </c>
      <c r="C31" s="8">
        <v>8.603910002E8</v>
      </c>
      <c r="D31" s="8">
        <v>6.94</v>
      </c>
      <c r="E31" s="8">
        <v>1297.09</v>
      </c>
      <c r="F31" s="8">
        <v>3.1</v>
      </c>
      <c r="G31" s="8">
        <v>5.31</v>
      </c>
      <c r="H31" s="8">
        <v>0.72</v>
      </c>
      <c r="I31" s="8">
        <v>97.74</v>
      </c>
      <c r="J31" s="8">
        <v>33.71</v>
      </c>
      <c r="K31" s="8">
        <v>663323.0</v>
      </c>
      <c r="L31" s="8">
        <v>2.03</v>
      </c>
      <c r="M31" s="8">
        <v>2.7</v>
      </c>
      <c r="N31" s="8">
        <v>65.81</v>
      </c>
      <c r="O31" s="8">
        <v>44.4</v>
      </c>
      <c r="P31" s="8">
        <v>53.0</v>
      </c>
      <c r="Q31" s="8">
        <v>92.76</v>
      </c>
      <c r="R31" s="8">
        <v>30.97</v>
      </c>
      <c r="S31" s="8">
        <v>59.8</v>
      </c>
      <c r="T31" s="8">
        <v>87.96</v>
      </c>
      <c r="U31" s="8">
        <v>54.62</v>
      </c>
      <c r="V31" s="8">
        <v>0.84</v>
      </c>
      <c r="W31" s="8">
        <v>33.15</v>
      </c>
      <c r="X31" s="8">
        <v>88.7</v>
      </c>
      <c r="Y31" s="8">
        <v>69.93</v>
      </c>
      <c r="Z31" s="8">
        <v>79.02439117</v>
      </c>
      <c r="AA31" s="8">
        <v>1.28</v>
      </c>
      <c r="AB31" s="8">
        <v>-0.29</v>
      </c>
      <c r="AC31" s="8">
        <v>0.33</v>
      </c>
      <c r="AD31" s="8">
        <v>-1.06</v>
      </c>
      <c r="AE31" s="8">
        <v>4.52</v>
      </c>
      <c r="AF31" s="8">
        <v>0.11</v>
      </c>
      <c r="AG31" s="8">
        <v>0.99</v>
      </c>
    </row>
    <row r="32" ht="16.5" customHeight="1">
      <c r="A32" s="8" t="s">
        <v>35</v>
      </c>
      <c r="B32" s="7">
        <v>2006.0</v>
      </c>
      <c r="C32" s="8">
        <v>9.428798785E8</v>
      </c>
      <c r="D32" s="8">
        <v>5.64</v>
      </c>
      <c r="E32" s="8">
        <v>1400.47</v>
      </c>
      <c r="F32" s="8">
        <v>3.13</v>
      </c>
      <c r="G32" s="8">
        <v>5.0</v>
      </c>
      <c r="H32" s="8">
        <v>0.65</v>
      </c>
      <c r="I32" s="8">
        <v>108.16</v>
      </c>
      <c r="J32" s="8">
        <v>33.71</v>
      </c>
      <c r="K32" s="8">
        <v>673260.0</v>
      </c>
      <c r="L32" s="8">
        <v>1.49</v>
      </c>
      <c r="M32" s="8">
        <v>2.7</v>
      </c>
      <c r="N32" s="8">
        <v>66.36</v>
      </c>
      <c r="O32" s="8">
        <v>41.7</v>
      </c>
      <c r="P32" s="8">
        <v>22.0</v>
      </c>
      <c r="Q32" s="8">
        <v>97.15</v>
      </c>
      <c r="R32" s="8">
        <v>31.71</v>
      </c>
      <c r="S32" s="8">
        <v>59.7</v>
      </c>
      <c r="T32" s="8">
        <v>88.98</v>
      </c>
      <c r="U32" s="8">
        <v>56.27</v>
      </c>
      <c r="V32" s="8">
        <v>0.84</v>
      </c>
      <c r="W32" s="8">
        <v>31.1</v>
      </c>
      <c r="X32" s="8">
        <v>91.6</v>
      </c>
      <c r="Y32" s="8">
        <v>70.19</v>
      </c>
      <c r="Z32" s="8">
        <v>77.56097412</v>
      </c>
      <c r="AA32" s="8">
        <v>1.26</v>
      </c>
      <c r="AB32" s="8">
        <v>-0.58</v>
      </c>
      <c r="AC32" s="8">
        <v>0.21</v>
      </c>
      <c r="AD32" s="8">
        <v>-0.87</v>
      </c>
      <c r="AE32" s="8">
        <v>5.92</v>
      </c>
      <c r="AF32" s="8">
        <v>0.11</v>
      </c>
      <c r="AG32" s="8">
        <v>0.75</v>
      </c>
    </row>
    <row r="33" ht="16.5" customHeight="1">
      <c r="A33" s="8" t="s">
        <v>35</v>
      </c>
      <c r="B33" s="7">
        <v>2007.0</v>
      </c>
      <c r="C33" s="8">
        <v>1.255767964E9</v>
      </c>
      <c r="D33" s="8">
        <v>16.1</v>
      </c>
      <c r="E33" s="8">
        <v>1842.34</v>
      </c>
      <c r="F33" s="8">
        <v>3.7</v>
      </c>
      <c r="G33" s="8">
        <v>5.16</v>
      </c>
      <c r="H33" s="8">
        <v>5.88</v>
      </c>
      <c r="I33" s="8">
        <v>106.93</v>
      </c>
      <c r="J33" s="8">
        <v>38.1</v>
      </c>
      <c r="K33" s="8">
        <v>681614.0</v>
      </c>
      <c r="L33" s="8">
        <v>1.23</v>
      </c>
      <c r="M33" s="8">
        <v>5.9</v>
      </c>
      <c r="N33" s="8">
        <v>66.95</v>
      </c>
      <c r="O33" s="8">
        <v>39.3</v>
      </c>
      <c r="P33" s="8">
        <v>22.0</v>
      </c>
      <c r="Q33" s="8">
        <v>101.17</v>
      </c>
      <c r="R33" s="8">
        <v>32.47</v>
      </c>
      <c r="S33" s="8">
        <v>71.8</v>
      </c>
      <c r="T33" s="8">
        <v>89.99</v>
      </c>
      <c r="U33" s="8">
        <v>57.89</v>
      </c>
      <c r="V33" s="8">
        <v>0.85</v>
      </c>
      <c r="W33" s="8">
        <v>28.7</v>
      </c>
      <c r="X33" s="8">
        <v>92.0</v>
      </c>
      <c r="Y33" s="8">
        <v>70.45</v>
      </c>
      <c r="Z33" s="8">
        <v>78.1553421</v>
      </c>
      <c r="AA33" s="8">
        <v>0.57</v>
      </c>
      <c r="AB33" s="8">
        <v>-0.71</v>
      </c>
      <c r="AC33" s="8">
        <v>0.37</v>
      </c>
      <c r="AD33" s="8">
        <v>-0.51</v>
      </c>
      <c r="AE33" s="8">
        <v>6.55</v>
      </c>
      <c r="AF33" s="8">
        <v>0.11</v>
      </c>
      <c r="AG33" s="8">
        <v>0.13</v>
      </c>
    </row>
    <row r="34" ht="16.5" customHeight="1">
      <c r="A34" s="8" t="s">
        <v>35</v>
      </c>
      <c r="B34" s="7">
        <v>2008.0</v>
      </c>
      <c r="C34" s="8">
        <v>1.317517835E9</v>
      </c>
      <c r="D34" s="8">
        <v>4.53</v>
      </c>
      <c r="E34" s="8">
        <v>1910.17</v>
      </c>
      <c r="F34" s="8">
        <v>3.83</v>
      </c>
      <c r="G34" s="8">
        <v>8.33</v>
      </c>
      <c r="H34" s="8">
        <v>0.24</v>
      </c>
      <c r="I34" s="8">
        <v>101.95</v>
      </c>
      <c r="J34" s="8">
        <v>33.71</v>
      </c>
      <c r="K34" s="8">
        <v>689737.0</v>
      </c>
      <c r="L34" s="8">
        <v>1.18</v>
      </c>
      <c r="M34" s="8">
        <v>2.7</v>
      </c>
      <c r="N34" s="8">
        <v>67.5</v>
      </c>
      <c r="O34" s="8">
        <v>36.9</v>
      </c>
      <c r="P34" s="8">
        <v>22.0</v>
      </c>
      <c r="Q34" s="8">
        <v>104.59</v>
      </c>
      <c r="R34" s="8">
        <v>33.24</v>
      </c>
      <c r="S34" s="8">
        <v>67.6</v>
      </c>
      <c r="T34" s="8">
        <v>90.98</v>
      </c>
      <c r="U34" s="8">
        <v>59.48</v>
      </c>
      <c r="V34" s="8">
        <v>0.88</v>
      </c>
      <c r="W34" s="8">
        <v>26.7</v>
      </c>
      <c r="X34" s="8">
        <v>87.8</v>
      </c>
      <c r="Y34" s="8">
        <v>70.71</v>
      </c>
      <c r="Z34" s="8">
        <v>78.64077759</v>
      </c>
      <c r="AA34" s="8">
        <v>0.72</v>
      </c>
      <c r="AB34" s="8">
        <v>-0.77</v>
      </c>
      <c r="AC34" s="8">
        <v>0.42</v>
      </c>
      <c r="AD34" s="8">
        <v>-0.46</v>
      </c>
      <c r="AE34" s="8">
        <v>7.17</v>
      </c>
      <c r="AF34" s="8">
        <v>0.11</v>
      </c>
      <c r="AG34" s="8">
        <v>0.22</v>
      </c>
    </row>
    <row r="35" ht="16.5" customHeight="1">
      <c r="A35" s="8" t="s">
        <v>35</v>
      </c>
      <c r="B35" s="7">
        <v>2009.0</v>
      </c>
      <c r="C35" s="8">
        <v>1.331343798E9</v>
      </c>
      <c r="D35" s="8">
        <v>7.67</v>
      </c>
      <c r="E35" s="8">
        <v>1908.25</v>
      </c>
      <c r="F35" s="8">
        <v>3.96</v>
      </c>
      <c r="G35" s="8">
        <v>4.36</v>
      </c>
      <c r="H35" s="8">
        <v>1.37</v>
      </c>
      <c r="I35" s="8">
        <v>101.56</v>
      </c>
      <c r="J35" s="8">
        <v>33.71</v>
      </c>
      <c r="K35" s="8">
        <v>697678.0</v>
      </c>
      <c r="L35" s="8">
        <v>1.14</v>
      </c>
      <c r="M35" s="8">
        <v>2.7</v>
      </c>
      <c r="N35" s="8">
        <v>67.9</v>
      </c>
      <c r="O35" s="8">
        <v>34.6</v>
      </c>
      <c r="P35" s="8">
        <v>22.0</v>
      </c>
      <c r="Q35" s="8">
        <v>109.03</v>
      </c>
      <c r="R35" s="8">
        <v>34.01</v>
      </c>
      <c r="S35" s="8">
        <v>71.5</v>
      </c>
      <c r="T35" s="8">
        <v>91.96</v>
      </c>
      <c r="U35" s="8">
        <v>61.07</v>
      </c>
      <c r="V35" s="8">
        <v>1.19</v>
      </c>
      <c r="W35" s="8">
        <v>25.86</v>
      </c>
      <c r="X35" s="8">
        <v>87.8</v>
      </c>
      <c r="Y35" s="8">
        <v>70.97</v>
      </c>
      <c r="Z35" s="8">
        <v>79.42583466</v>
      </c>
      <c r="AA35" s="8">
        <v>0.8</v>
      </c>
      <c r="AB35" s="8">
        <v>-1.07</v>
      </c>
      <c r="AC35" s="8">
        <v>0.22</v>
      </c>
      <c r="AD35" s="8">
        <v>-0.42</v>
      </c>
      <c r="AE35" s="8">
        <v>13.6</v>
      </c>
      <c r="AF35" s="8">
        <v>0.11</v>
      </c>
      <c r="AG35" s="8">
        <v>0.14</v>
      </c>
    </row>
    <row r="36" ht="16.5" customHeight="1">
      <c r="A36" s="8" t="s">
        <v>35</v>
      </c>
      <c r="B36" s="7">
        <v>2010.0</v>
      </c>
      <c r="C36" s="8">
        <v>1.673464261E9</v>
      </c>
      <c r="D36" s="8">
        <v>11.93</v>
      </c>
      <c r="E36" s="8">
        <v>2371.97</v>
      </c>
      <c r="F36" s="8">
        <v>3.32</v>
      </c>
      <c r="G36" s="8">
        <v>7.04</v>
      </c>
      <c r="H36" s="8">
        <v>4.5</v>
      </c>
      <c r="I36" s="8">
        <v>107.23</v>
      </c>
      <c r="J36" s="8">
        <v>33.71</v>
      </c>
      <c r="K36" s="8">
        <v>705516.0</v>
      </c>
      <c r="L36" s="8">
        <v>1.12</v>
      </c>
      <c r="M36" s="8">
        <v>2.7</v>
      </c>
      <c r="N36" s="8">
        <v>68.43</v>
      </c>
      <c r="O36" s="8">
        <v>32.6</v>
      </c>
      <c r="P36" s="8">
        <v>22.0</v>
      </c>
      <c r="Q36" s="8">
        <v>111.82</v>
      </c>
      <c r="R36" s="8">
        <v>34.79</v>
      </c>
      <c r="S36" s="8">
        <v>73.3</v>
      </c>
      <c r="T36" s="8">
        <v>92.92</v>
      </c>
      <c r="U36" s="8">
        <v>62.63</v>
      </c>
      <c r="V36" s="8">
        <v>1.31</v>
      </c>
      <c r="W36" s="8">
        <v>30.47</v>
      </c>
      <c r="X36" s="8">
        <v>84.8</v>
      </c>
      <c r="Y36" s="8">
        <v>71.03</v>
      </c>
      <c r="Z36" s="8">
        <v>79.52381134</v>
      </c>
      <c r="AA36" s="8">
        <v>0.74</v>
      </c>
      <c r="AB36" s="8">
        <v>-1.16</v>
      </c>
      <c r="AC36" s="8">
        <v>0.16</v>
      </c>
      <c r="AD36" s="8">
        <v>-0.4</v>
      </c>
      <c r="AE36" s="8">
        <v>14.4</v>
      </c>
      <c r="AF36" s="8">
        <v>0.11</v>
      </c>
      <c r="AG36" s="8">
        <v>0.99</v>
      </c>
    </row>
    <row r="37" ht="16.5" customHeight="1">
      <c r="A37" s="8" t="s">
        <v>35</v>
      </c>
      <c r="B37" s="7">
        <v>2011.0</v>
      </c>
      <c r="C37" s="8">
        <v>1.938441289E9</v>
      </c>
      <c r="D37" s="8">
        <v>8.31</v>
      </c>
      <c r="E37" s="8">
        <v>2717.45</v>
      </c>
      <c r="F37" s="8">
        <v>3.23</v>
      </c>
      <c r="G37" s="8">
        <v>8.85</v>
      </c>
      <c r="H37" s="8">
        <v>1.61</v>
      </c>
      <c r="I37" s="8">
        <v>104.88</v>
      </c>
      <c r="J37" s="8">
        <v>33.71</v>
      </c>
      <c r="K37" s="8">
        <v>713331.0</v>
      </c>
      <c r="L37" s="8">
        <v>1.1</v>
      </c>
      <c r="M37" s="8">
        <v>2.7</v>
      </c>
      <c r="N37" s="8">
        <v>68.88</v>
      </c>
      <c r="O37" s="8">
        <v>30.7</v>
      </c>
      <c r="P37" s="8">
        <v>22.0</v>
      </c>
      <c r="Q37" s="8">
        <v>113.17</v>
      </c>
      <c r="R37" s="8">
        <v>35.59</v>
      </c>
      <c r="S37" s="8">
        <v>81.8</v>
      </c>
      <c r="T37" s="8">
        <v>93.87</v>
      </c>
      <c r="U37" s="8">
        <v>64.16</v>
      </c>
      <c r="V37" s="8">
        <v>1.57</v>
      </c>
      <c r="W37" s="8">
        <v>38.13</v>
      </c>
      <c r="X37" s="8">
        <v>84.9</v>
      </c>
      <c r="Y37" s="8">
        <v>71.08</v>
      </c>
      <c r="Z37" s="8">
        <v>77.25118256</v>
      </c>
      <c r="AA37" s="8">
        <v>0.83</v>
      </c>
      <c r="AB37" s="8">
        <v>-1.15</v>
      </c>
      <c r="AC37" s="8">
        <v>0.21</v>
      </c>
      <c r="AD37" s="8">
        <v>-0.28</v>
      </c>
      <c r="AE37" s="8">
        <v>15.6</v>
      </c>
      <c r="AF37" s="8">
        <v>0.11</v>
      </c>
      <c r="AG37" s="8">
        <v>0.02</v>
      </c>
    </row>
    <row r="38" ht="16.5" customHeight="1">
      <c r="A38" s="8" t="s">
        <v>35</v>
      </c>
      <c r="B38" s="7">
        <v>2012.0</v>
      </c>
      <c r="C38" s="8">
        <v>1.939730676E9</v>
      </c>
      <c r="D38" s="8">
        <v>5.1</v>
      </c>
      <c r="E38" s="8">
        <v>2689.79</v>
      </c>
      <c r="F38" s="8">
        <v>2.05</v>
      </c>
      <c r="G38" s="8">
        <v>10.92</v>
      </c>
      <c r="H38" s="8">
        <v>1.26</v>
      </c>
      <c r="I38" s="8">
        <v>95.68</v>
      </c>
      <c r="J38" s="8">
        <v>38.8</v>
      </c>
      <c r="K38" s="8">
        <v>721145.0</v>
      </c>
      <c r="L38" s="8">
        <v>1.09</v>
      </c>
      <c r="M38" s="8">
        <v>1.7</v>
      </c>
      <c r="N38" s="8">
        <v>69.33</v>
      </c>
      <c r="O38" s="8">
        <v>29.1</v>
      </c>
      <c r="P38" s="8">
        <v>55.0</v>
      </c>
      <c r="Q38" s="8">
        <v>112.42</v>
      </c>
      <c r="R38" s="8">
        <v>36.37</v>
      </c>
      <c r="S38" s="8">
        <v>91.5</v>
      </c>
      <c r="T38" s="8">
        <v>94.8</v>
      </c>
      <c r="U38" s="8">
        <v>65.67</v>
      </c>
      <c r="V38" s="8">
        <v>1.49</v>
      </c>
      <c r="W38" s="8">
        <v>37.42</v>
      </c>
      <c r="X38" s="8">
        <v>82.8</v>
      </c>
      <c r="Y38" s="8">
        <v>71.13</v>
      </c>
      <c r="Z38" s="8">
        <v>79.14691925</v>
      </c>
      <c r="AA38" s="8">
        <v>0.78</v>
      </c>
      <c r="AB38" s="8">
        <v>-1.09</v>
      </c>
      <c r="AC38" s="8">
        <v>0.26</v>
      </c>
      <c r="AD38" s="8">
        <v>-0.16</v>
      </c>
      <c r="AE38" s="8">
        <v>22.4</v>
      </c>
      <c r="AF38" s="8">
        <v>0.11</v>
      </c>
      <c r="AG38" s="8">
        <v>0.99</v>
      </c>
    </row>
    <row r="39" ht="16.5" customHeight="1">
      <c r="A39" s="8" t="s">
        <v>35</v>
      </c>
      <c r="B39" s="7">
        <v>2013.0</v>
      </c>
      <c r="C39" s="8">
        <v>1.913162477E9</v>
      </c>
      <c r="D39" s="8">
        <v>1.66</v>
      </c>
      <c r="E39" s="8">
        <v>2624.77</v>
      </c>
      <c r="F39" s="8">
        <v>2.87</v>
      </c>
      <c r="G39" s="8">
        <v>8.78</v>
      </c>
      <c r="H39" s="8">
        <v>1.07</v>
      </c>
      <c r="I39" s="8">
        <v>96.57</v>
      </c>
      <c r="J39" s="8">
        <v>33.71</v>
      </c>
      <c r="K39" s="8">
        <v>728889.0</v>
      </c>
      <c r="L39" s="8">
        <v>1.07</v>
      </c>
      <c r="M39" s="8">
        <v>2.7</v>
      </c>
      <c r="N39" s="8">
        <v>69.71</v>
      </c>
      <c r="O39" s="8">
        <v>27.8</v>
      </c>
      <c r="P39" s="8">
        <v>22.0</v>
      </c>
      <c r="Q39" s="8">
        <v>106.14</v>
      </c>
      <c r="R39" s="8">
        <v>37.15</v>
      </c>
      <c r="S39" s="8">
        <v>87.4</v>
      </c>
      <c r="T39" s="8">
        <v>95.71</v>
      </c>
      <c r="U39" s="8">
        <v>67.14</v>
      </c>
      <c r="V39" s="8">
        <v>1.54</v>
      </c>
      <c r="W39" s="8">
        <v>40.3</v>
      </c>
      <c r="X39" s="8">
        <v>81.7</v>
      </c>
      <c r="Y39" s="8">
        <v>71.18</v>
      </c>
      <c r="Z39" s="8">
        <v>79.14691925</v>
      </c>
      <c r="AA39" s="8">
        <v>0.78</v>
      </c>
      <c r="AB39" s="8">
        <v>-1.09</v>
      </c>
      <c r="AC39" s="8">
        <v>0.32</v>
      </c>
      <c r="AD39" s="8">
        <v>-0.1</v>
      </c>
      <c r="AE39" s="8">
        <v>30.3</v>
      </c>
      <c r="AF39" s="8">
        <v>0.11</v>
      </c>
      <c r="AG39" s="8">
        <v>0.99</v>
      </c>
    </row>
    <row r="40" ht="16.5" customHeight="1">
      <c r="A40" s="8" t="s">
        <v>35</v>
      </c>
      <c r="B40" s="7">
        <v>2014.0</v>
      </c>
      <c r="C40" s="8">
        <v>2.057330873E9</v>
      </c>
      <c r="D40" s="8">
        <v>5.72</v>
      </c>
      <c r="E40" s="8">
        <v>2793.93</v>
      </c>
      <c r="F40" s="8">
        <v>2.63</v>
      </c>
      <c r="G40" s="8">
        <v>8.27</v>
      </c>
      <c r="H40" s="8">
        <v>1.14</v>
      </c>
      <c r="I40" s="8">
        <v>89.29</v>
      </c>
      <c r="J40" s="8">
        <v>33.71</v>
      </c>
      <c r="K40" s="8">
        <v>736357.0</v>
      </c>
      <c r="L40" s="8">
        <v>1.02</v>
      </c>
      <c r="M40" s="8">
        <v>2.7</v>
      </c>
      <c r="N40" s="8">
        <v>70.05</v>
      </c>
      <c r="O40" s="8">
        <v>26.6</v>
      </c>
      <c r="P40" s="8">
        <v>22.0</v>
      </c>
      <c r="Q40" s="8">
        <v>104.01</v>
      </c>
      <c r="R40" s="8">
        <v>37.92</v>
      </c>
      <c r="S40" s="8">
        <v>91.4</v>
      </c>
      <c r="T40" s="8">
        <v>96.61</v>
      </c>
      <c r="U40" s="8">
        <v>68.59</v>
      </c>
      <c r="V40" s="8">
        <v>1.56</v>
      </c>
      <c r="W40" s="8">
        <v>37.49</v>
      </c>
      <c r="X40" s="8">
        <v>82.1</v>
      </c>
      <c r="Y40" s="8">
        <v>71.23</v>
      </c>
      <c r="Z40" s="8">
        <v>88.46154022</v>
      </c>
      <c r="AA40" s="8">
        <v>1.07</v>
      </c>
      <c r="AB40" s="8">
        <v>-1.01</v>
      </c>
      <c r="AC40" s="8">
        <v>0.42</v>
      </c>
      <c r="AD40" s="8">
        <v>-0.03</v>
      </c>
      <c r="AE40" s="8">
        <v>39.8</v>
      </c>
      <c r="AF40" s="8">
        <v>0.11</v>
      </c>
      <c r="AG40" s="8">
        <v>0.99</v>
      </c>
    </row>
    <row r="41" ht="16.5" customHeight="1">
      <c r="A41" s="8" t="s">
        <v>35</v>
      </c>
      <c r="B41" s="7">
        <v>2015.0</v>
      </c>
      <c r="C41" s="8">
        <v>2.154921011E9</v>
      </c>
      <c r="D41" s="8">
        <v>6.57</v>
      </c>
      <c r="E41" s="8">
        <v>2899.23</v>
      </c>
      <c r="F41" s="8">
        <v>2.45</v>
      </c>
      <c r="G41" s="8">
        <v>4.55</v>
      </c>
      <c r="H41" s="8">
        <v>0.3</v>
      </c>
      <c r="I41" s="8">
        <v>91.01</v>
      </c>
      <c r="J41" s="8">
        <v>33.71</v>
      </c>
      <c r="K41" s="8">
        <v>743274.0</v>
      </c>
      <c r="L41" s="8">
        <v>0.93</v>
      </c>
      <c r="M41" s="8">
        <v>2.7</v>
      </c>
      <c r="N41" s="8">
        <v>70.34</v>
      </c>
      <c r="O41" s="8">
        <v>25.5</v>
      </c>
      <c r="P41" s="8">
        <v>22.0</v>
      </c>
      <c r="Q41" s="8">
        <v>102.48</v>
      </c>
      <c r="R41" s="8">
        <v>38.68</v>
      </c>
      <c r="S41" s="8">
        <v>95.4</v>
      </c>
      <c r="T41" s="8">
        <v>97.49</v>
      </c>
      <c r="U41" s="8">
        <v>70.0</v>
      </c>
      <c r="V41" s="8">
        <v>1.8</v>
      </c>
      <c r="W41" s="8">
        <v>36.94</v>
      </c>
      <c r="X41" s="8">
        <v>81.6</v>
      </c>
      <c r="Y41" s="8">
        <v>71.23</v>
      </c>
      <c r="Z41" s="8">
        <v>80.95237732</v>
      </c>
      <c r="AA41" s="8">
        <v>0.96</v>
      </c>
      <c r="AB41" s="8">
        <v>-0.74</v>
      </c>
      <c r="AC41" s="8">
        <v>0.53</v>
      </c>
      <c r="AD41" s="8">
        <v>-0.03</v>
      </c>
      <c r="AE41" s="8">
        <v>46.5</v>
      </c>
      <c r="AF41" s="8">
        <v>0.11</v>
      </c>
      <c r="AG41" s="8">
        <v>0.99</v>
      </c>
    </row>
    <row r="42" ht="16.5" customHeight="1">
      <c r="A42" s="8" t="s">
        <v>35</v>
      </c>
      <c r="B42" s="7">
        <v>2016.0</v>
      </c>
      <c r="C42" s="8">
        <v>2.322730512E9</v>
      </c>
      <c r="D42" s="8">
        <v>8.4</v>
      </c>
      <c r="E42" s="8">
        <v>3097.96</v>
      </c>
      <c r="F42" s="8">
        <v>2.74</v>
      </c>
      <c r="G42" s="8">
        <v>3.22</v>
      </c>
      <c r="H42" s="8">
        <v>0.51</v>
      </c>
      <c r="I42" s="8">
        <v>77.53</v>
      </c>
      <c r="J42" s="8">
        <v>33.71</v>
      </c>
      <c r="K42" s="8">
        <v>749761.0</v>
      </c>
      <c r="L42" s="8">
        <v>0.87</v>
      </c>
      <c r="M42" s="8">
        <v>2.7</v>
      </c>
      <c r="N42" s="8">
        <v>70.6</v>
      </c>
      <c r="O42" s="8">
        <v>24.6</v>
      </c>
      <c r="P42" s="8">
        <v>22.0</v>
      </c>
      <c r="Q42" s="8">
        <v>100.94</v>
      </c>
      <c r="R42" s="8">
        <v>39.43</v>
      </c>
      <c r="S42" s="8">
        <v>99.3</v>
      </c>
      <c r="T42" s="8">
        <v>98.19</v>
      </c>
      <c r="U42" s="8">
        <v>71.39</v>
      </c>
      <c r="V42" s="8">
        <v>1.94</v>
      </c>
      <c r="W42" s="8">
        <v>33.81</v>
      </c>
      <c r="X42" s="8">
        <v>80.8</v>
      </c>
      <c r="Y42" s="8">
        <v>71.29</v>
      </c>
      <c r="Z42" s="8">
        <v>81.42857361</v>
      </c>
      <c r="AA42" s="8">
        <v>1.11</v>
      </c>
      <c r="AB42" s="8">
        <v>-0.69</v>
      </c>
      <c r="AC42" s="8">
        <v>0.51</v>
      </c>
      <c r="AD42" s="8">
        <v>0.01</v>
      </c>
      <c r="AE42" s="8">
        <v>54.3</v>
      </c>
      <c r="AF42" s="8">
        <v>0.11</v>
      </c>
      <c r="AG42" s="8">
        <v>0.99</v>
      </c>
    </row>
    <row r="43" ht="16.5" customHeight="1">
      <c r="A43" s="8" t="s">
        <v>35</v>
      </c>
      <c r="B43" s="7">
        <v>2017.0</v>
      </c>
      <c r="C43" s="8">
        <v>2.591358115E9</v>
      </c>
      <c r="D43" s="8">
        <v>3.51</v>
      </c>
      <c r="E43" s="8">
        <v>3427.17</v>
      </c>
      <c r="F43" s="8">
        <v>3.04</v>
      </c>
      <c r="G43" s="8">
        <v>4.96</v>
      </c>
      <c r="H43" s="8">
        <v>-0.64</v>
      </c>
      <c r="I43" s="8">
        <v>76.79</v>
      </c>
      <c r="J43" s="8">
        <v>37.4</v>
      </c>
      <c r="K43" s="8">
        <v>756121.0</v>
      </c>
      <c r="L43" s="8">
        <v>0.84</v>
      </c>
      <c r="M43" s="8">
        <v>0.9</v>
      </c>
      <c r="N43" s="8">
        <v>70.85</v>
      </c>
      <c r="O43" s="8">
        <v>23.6</v>
      </c>
      <c r="P43" s="8">
        <v>67.0</v>
      </c>
      <c r="Q43" s="8">
        <v>99.74</v>
      </c>
      <c r="R43" s="8">
        <v>40.17</v>
      </c>
      <c r="S43" s="8">
        <v>97.7</v>
      </c>
      <c r="T43" s="8">
        <v>98.66</v>
      </c>
      <c r="U43" s="8">
        <v>72.76</v>
      </c>
      <c r="V43" s="8">
        <v>2.1</v>
      </c>
      <c r="W43" s="8">
        <v>34.08</v>
      </c>
      <c r="X43" s="8">
        <v>79.7</v>
      </c>
      <c r="Y43" s="8">
        <v>71.35</v>
      </c>
      <c r="Z43" s="8">
        <v>90.95237732</v>
      </c>
      <c r="AA43" s="8">
        <v>1.1</v>
      </c>
      <c r="AB43" s="8">
        <v>-0.34</v>
      </c>
      <c r="AC43" s="8">
        <v>0.63</v>
      </c>
      <c r="AD43" s="8">
        <v>0.04</v>
      </c>
      <c r="AE43" s="8">
        <v>63.5</v>
      </c>
      <c r="AF43" s="8">
        <v>0.11</v>
      </c>
      <c r="AG43" s="8">
        <v>0.99</v>
      </c>
    </row>
    <row r="44" ht="16.5" customHeight="1">
      <c r="A44" s="8" t="s">
        <v>35</v>
      </c>
      <c r="B44" s="7">
        <v>2018.0</v>
      </c>
      <c r="C44" s="8">
        <v>2.583335723E9</v>
      </c>
      <c r="D44" s="8">
        <v>3.5</v>
      </c>
      <c r="E44" s="8">
        <v>3389.78</v>
      </c>
      <c r="F44" s="8">
        <v>3.35</v>
      </c>
      <c r="G44" s="8">
        <v>2.72</v>
      </c>
      <c r="H44" s="8">
        <v>0.1</v>
      </c>
      <c r="I44" s="8">
        <v>79.74</v>
      </c>
      <c r="J44" s="8">
        <v>33.71</v>
      </c>
      <c r="K44" s="8">
        <v>762096.0</v>
      </c>
      <c r="L44" s="8">
        <v>0.79</v>
      </c>
      <c r="M44" s="8">
        <v>2.7</v>
      </c>
      <c r="N44" s="8">
        <v>71.13</v>
      </c>
      <c r="O44" s="8">
        <v>22.9</v>
      </c>
      <c r="P44" s="8">
        <v>22.0</v>
      </c>
      <c r="Q44" s="8">
        <v>99.29</v>
      </c>
      <c r="R44" s="8">
        <v>40.9</v>
      </c>
      <c r="S44" s="8">
        <v>100.0</v>
      </c>
      <c r="T44" s="8">
        <v>98.76</v>
      </c>
      <c r="U44" s="8">
        <v>74.09</v>
      </c>
      <c r="V44" s="8">
        <v>2.4</v>
      </c>
      <c r="W44" s="8">
        <v>30.05</v>
      </c>
      <c r="X44" s="8">
        <v>80.0</v>
      </c>
      <c r="Y44" s="8">
        <v>71.4</v>
      </c>
      <c r="Z44" s="8">
        <v>91.42857361</v>
      </c>
      <c r="AA44" s="8">
        <v>1.08</v>
      </c>
      <c r="AB44" s="8">
        <v>-0.38</v>
      </c>
      <c r="AC44" s="8">
        <v>0.55</v>
      </c>
      <c r="AD44" s="8">
        <v>0.07</v>
      </c>
      <c r="AE44" s="8">
        <v>74.18</v>
      </c>
      <c r="AF44" s="8">
        <v>0.11</v>
      </c>
      <c r="AG44" s="8">
        <v>0.99</v>
      </c>
    </row>
    <row r="45" ht="16.5" customHeight="1">
      <c r="A45" s="8" t="s">
        <v>35</v>
      </c>
      <c r="B45" s="7">
        <v>2019.0</v>
      </c>
      <c r="C45" s="8">
        <v>2.735683409E9</v>
      </c>
      <c r="D45" s="8">
        <v>5.76</v>
      </c>
      <c r="E45" s="8">
        <v>3564.6</v>
      </c>
      <c r="F45" s="8">
        <v>2.72</v>
      </c>
      <c r="G45" s="8">
        <v>2.73</v>
      </c>
      <c r="H45" s="8">
        <v>0.48</v>
      </c>
      <c r="I45" s="8">
        <v>76.12</v>
      </c>
      <c r="J45" s="8">
        <v>33.71</v>
      </c>
      <c r="K45" s="8">
        <v>767459.0</v>
      </c>
      <c r="L45" s="8">
        <v>0.7</v>
      </c>
      <c r="M45" s="8">
        <v>2.7</v>
      </c>
      <c r="N45" s="8">
        <v>71.39</v>
      </c>
      <c r="O45" s="8">
        <v>22.1</v>
      </c>
      <c r="P45" s="8">
        <v>22.0</v>
      </c>
      <c r="Q45" s="8">
        <v>97.96</v>
      </c>
      <c r="R45" s="8">
        <v>41.61</v>
      </c>
      <c r="S45" s="8">
        <v>100.0</v>
      </c>
      <c r="T45" s="8">
        <v>98.87</v>
      </c>
      <c r="U45" s="8">
        <v>75.4</v>
      </c>
      <c r="V45" s="8">
        <v>2.61</v>
      </c>
      <c r="W45" s="8">
        <v>23.95</v>
      </c>
      <c r="X45" s="8">
        <v>81.0</v>
      </c>
      <c r="Y45" s="8">
        <v>71.45</v>
      </c>
      <c r="Z45" s="8">
        <v>91.42857361</v>
      </c>
      <c r="AA45" s="8">
        <v>1.07</v>
      </c>
      <c r="AB45" s="8">
        <v>-0.36</v>
      </c>
      <c r="AC45" s="8">
        <v>0.58</v>
      </c>
      <c r="AD45" s="8">
        <v>0.15</v>
      </c>
      <c r="AE45" s="8">
        <v>76.85</v>
      </c>
      <c r="AF45" s="8">
        <v>0.11</v>
      </c>
      <c r="AG45" s="8">
        <v>0.99</v>
      </c>
    </row>
    <row r="46" ht="16.5" customHeight="1">
      <c r="A46" s="8" t="s">
        <v>35</v>
      </c>
      <c r="B46" s="7">
        <v>2020.0</v>
      </c>
      <c r="C46" s="8">
        <v>2.457604042E9</v>
      </c>
      <c r="D46" s="8">
        <v>-10.22</v>
      </c>
      <c r="E46" s="8">
        <v>3181.34</v>
      </c>
      <c r="F46" s="8">
        <v>5.03</v>
      </c>
      <c r="G46" s="8">
        <v>5.63</v>
      </c>
      <c r="H46" s="8">
        <v>-0.11</v>
      </c>
      <c r="I46" s="8">
        <v>71.83</v>
      </c>
      <c r="J46" s="8">
        <v>33.71</v>
      </c>
      <c r="K46" s="8">
        <v>772506.0</v>
      </c>
      <c r="L46" s="8">
        <v>0.66</v>
      </c>
      <c r="M46" s="8">
        <v>2.7</v>
      </c>
      <c r="N46" s="8">
        <v>71.61</v>
      </c>
      <c r="O46" s="8">
        <v>21.4</v>
      </c>
      <c r="P46" s="8">
        <v>22.0</v>
      </c>
      <c r="Q46" s="8">
        <v>103.8</v>
      </c>
      <c r="R46" s="8">
        <v>42.32</v>
      </c>
      <c r="S46" s="8">
        <v>100.0</v>
      </c>
      <c r="T46" s="8">
        <v>98.98</v>
      </c>
      <c r="U46" s="8">
        <v>76.69</v>
      </c>
      <c r="V46" s="8">
        <v>2.0</v>
      </c>
      <c r="W46" s="8">
        <v>40.46</v>
      </c>
      <c r="X46" s="8">
        <v>83.9</v>
      </c>
      <c r="Y46" s="8">
        <v>71.5</v>
      </c>
      <c r="Z46" s="8">
        <v>93.33333588</v>
      </c>
      <c r="AA46" s="8">
        <v>1.01</v>
      </c>
      <c r="AB46" s="8">
        <v>-0.33</v>
      </c>
      <c r="AC46" s="8">
        <v>0.58</v>
      </c>
      <c r="AD46" s="8">
        <v>0.22</v>
      </c>
      <c r="AE46" s="8">
        <v>85.64</v>
      </c>
      <c r="AF46" s="8">
        <v>0.11</v>
      </c>
      <c r="AG46" s="8">
        <v>0.99</v>
      </c>
    </row>
    <row r="47" ht="16.5" customHeight="1">
      <c r="A47" s="8" t="s">
        <v>35</v>
      </c>
      <c r="B47" s="7">
        <v>2021.0</v>
      </c>
      <c r="C47" s="8">
        <v>2.768802803E9</v>
      </c>
      <c r="D47" s="8">
        <v>4.42</v>
      </c>
      <c r="E47" s="8">
        <v>3561.23</v>
      </c>
      <c r="F47" s="8">
        <v>4.8</v>
      </c>
      <c r="G47" s="8">
        <v>7.35</v>
      </c>
      <c r="H47" s="8">
        <v>0.24</v>
      </c>
      <c r="I47" s="8">
        <v>77.58</v>
      </c>
      <c r="J47" s="8">
        <v>33.71</v>
      </c>
      <c r="K47" s="8">
        <v>777486.0</v>
      </c>
      <c r="L47" s="8">
        <v>0.64</v>
      </c>
      <c r="M47" s="8">
        <v>2.7</v>
      </c>
      <c r="N47" s="8">
        <v>71.82</v>
      </c>
      <c r="O47" s="8">
        <v>20.7</v>
      </c>
      <c r="P47" s="8">
        <v>22.0</v>
      </c>
      <c r="Q47" s="8">
        <v>103.03</v>
      </c>
      <c r="R47" s="8">
        <v>43.01</v>
      </c>
      <c r="S47" s="8">
        <v>100.0</v>
      </c>
      <c r="T47" s="8">
        <v>99.13</v>
      </c>
      <c r="U47" s="8">
        <v>77.95</v>
      </c>
      <c r="V47" s="8">
        <v>2.18</v>
      </c>
      <c r="W47" s="8">
        <v>40.46</v>
      </c>
      <c r="X47" s="8">
        <v>81.8</v>
      </c>
      <c r="Y47" s="8">
        <v>22.14</v>
      </c>
      <c r="Z47" s="8">
        <v>90.47618866</v>
      </c>
      <c r="AA47" s="8">
        <v>0.8</v>
      </c>
      <c r="AB47" s="8">
        <v>-0.41</v>
      </c>
      <c r="AC47" s="8">
        <v>0.6</v>
      </c>
      <c r="AD47" s="8">
        <v>0.16</v>
      </c>
      <c r="AE47" s="8">
        <v>86.84</v>
      </c>
      <c r="AF47" s="8">
        <v>0.11</v>
      </c>
      <c r="AG47" s="8">
        <v>0.99</v>
      </c>
    </row>
    <row r="48" ht="16.5" customHeight="1">
      <c r="A48" s="8" t="s">
        <v>35</v>
      </c>
      <c r="B48" s="7">
        <v>2022.0</v>
      </c>
      <c r="C48" s="8">
        <v>2.898227713E9</v>
      </c>
      <c r="D48" s="8">
        <v>5.21</v>
      </c>
      <c r="E48" s="8">
        <v>3704.02</v>
      </c>
      <c r="F48" s="8">
        <v>5.95</v>
      </c>
      <c r="G48" s="8">
        <v>5.64</v>
      </c>
      <c r="H48" s="8">
        <v>0.29</v>
      </c>
      <c r="I48" s="8">
        <v>85.93</v>
      </c>
      <c r="J48" s="8">
        <v>28.5</v>
      </c>
      <c r="K48" s="8">
        <v>782455.0</v>
      </c>
      <c r="L48" s="8">
        <v>0.64</v>
      </c>
      <c r="M48" s="8">
        <v>2.7</v>
      </c>
      <c r="N48" s="8">
        <v>72.23</v>
      </c>
      <c r="O48" s="8">
        <v>20.1</v>
      </c>
      <c r="P48" s="8">
        <v>72.0</v>
      </c>
      <c r="Q48" s="8">
        <v>106.08</v>
      </c>
      <c r="R48" s="8">
        <v>43.69</v>
      </c>
      <c r="S48" s="8">
        <v>100.0</v>
      </c>
      <c r="T48" s="8">
        <v>99.13</v>
      </c>
      <c r="U48" s="8">
        <v>77.94</v>
      </c>
      <c r="V48" s="8">
        <v>2.19</v>
      </c>
      <c r="W48" s="8">
        <v>40.46</v>
      </c>
      <c r="X48" s="8">
        <v>82.5</v>
      </c>
      <c r="Y48" s="8">
        <v>22.14</v>
      </c>
      <c r="Z48" s="8">
        <v>90.09433746</v>
      </c>
      <c r="AA48" s="8">
        <v>0.86</v>
      </c>
      <c r="AB48" s="8">
        <v>-0.38</v>
      </c>
      <c r="AC48" s="8">
        <v>0.67</v>
      </c>
      <c r="AD48" s="8">
        <v>-0.46</v>
      </c>
      <c r="AE48" s="8">
        <v>15.77</v>
      </c>
      <c r="AF48" s="8">
        <v>0.11</v>
      </c>
      <c r="AG48" s="8">
        <v>0.99</v>
      </c>
    </row>
    <row r="49" ht="16.5" customHeight="1">
      <c r="A49" s="7" t="s">
        <v>35</v>
      </c>
      <c r="B49" s="7">
        <v>2023.0</v>
      </c>
      <c r="C49" s="7">
        <v>2.90969535102E11</v>
      </c>
      <c r="D49" s="7">
        <v>5.07</v>
      </c>
      <c r="E49" s="7">
        <v>2161.42</v>
      </c>
      <c r="F49" s="7">
        <v>5.65</v>
      </c>
      <c r="G49" s="7">
        <v>4.23</v>
      </c>
      <c r="H49" s="7">
        <v>1.86</v>
      </c>
      <c r="I49" s="7">
        <v>36.37</v>
      </c>
      <c r="J49" s="7">
        <v>33.71</v>
      </c>
      <c r="K49" s="7">
        <v>787424.0</v>
      </c>
      <c r="L49" s="7">
        <v>0.63</v>
      </c>
      <c r="M49" s="7">
        <v>2.7</v>
      </c>
      <c r="N49" s="7">
        <v>65.53</v>
      </c>
      <c r="O49" s="7">
        <v>37.5</v>
      </c>
      <c r="P49" s="7">
        <v>22.0</v>
      </c>
      <c r="Q49" s="7">
        <v>88.12</v>
      </c>
      <c r="R49" s="7">
        <v>44.35</v>
      </c>
      <c r="S49" s="7">
        <v>73.2</v>
      </c>
      <c r="T49" s="7">
        <v>82.3</v>
      </c>
      <c r="U49" s="7">
        <v>55.23</v>
      </c>
      <c r="V49" s="7">
        <v>1.05</v>
      </c>
      <c r="W49" s="7">
        <v>53.21</v>
      </c>
      <c r="X49" s="7">
        <v>44.0</v>
      </c>
      <c r="Y49" s="7">
        <v>14.75</v>
      </c>
      <c r="Z49" s="7">
        <v>33.95</v>
      </c>
      <c r="AA49" s="7">
        <v>-0.69</v>
      </c>
      <c r="AB49" s="7">
        <v>-0.58</v>
      </c>
      <c r="AC49" s="7">
        <v>-0.89</v>
      </c>
      <c r="AD49" s="7">
        <v>-0.23</v>
      </c>
      <c r="AE49" s="7">
        <v>0.07</v>
      </c>
      <c r="AF49" s="7">
        <v>0.11</v>
      </c>
      <c r="AG49" s="7">
        <v>0.99</v>
      </c>
    </row>
    <row r="50" ht="16.5" customHeight="1">
      <c r="A50" s="8" t="s">
        <v>36</v>
      </c>
      <c r="B50" s="7">
        <v>2000.0</v>
      </c>
      <c r="C50" s="8">
        <v>5.3369787319E10</v>
      </c>
      <c r="D50" s="8">
        <v>5.29</v>
      </c>
      <c r="E50" s="8">
        <v>413.1</v>
      </c>
      <c r="F50" s="8">
        <v>3.27</v>
      </c>
      <c r="G50" s="8">
        <v>2.21</v>
      </c>
      <c r="H50" s="8">
        <v>0.53</v>
      </c>
      <c r="I50" s="8">
        <v>29.32</v>
      </c>
      <c r="J50" s="8">
        <v>33.4</v>
      </c>
      <c r="K50" s="8">
        <v>1.29193327E8</v>
      </c>
      <c r="L50" s="8">
        <v>1.91</v>
      </c>
      <c r="M50" s="8">
        <v>33.3</v>
      </c>
      <c r="N50" s="8">
        <v>65.78</v>
      </c>
      <c r="O50" s="8">
        <v>63.0</v>
      </c>
      <c r="P50" s="8">
        <v>22.0</v>
      </c>
      <c r="Q50" s="8">
        <v>88.12</v>
      </c>
      <c r="R50" s="8">
        <v>23.59</v>
      </c>
      <c r="S50" s="8">
        <v>32.0</v>
      </c>
      <c r="T50" s="8">
        <v>94.82</v>
      </c>
      <c r="U50" s="8">
        <v>24.51</v>
      </c>
      <c r="V50" s="8">
        <v>0.21</v>
      </c>
      <c r="W50" s="8">
        <v>53.54</v>
      </c>
      <c r="X50" s="8">
        <v>60.2</v>
      </c>
      <c r="Y50" s="8">
        <v>14.73</v>
      </c>
      <c r="Z50" s="8">
        <v>6.914893627</v>
      </c>
      <c r="AA50" s="8">
        <v>-0.73</v>
      </c>
      <c r="AB50" s="8">
        <v>-0.94</v>
      </c>
      <c r="AC50" s="8">
        <v>-0.99</v>
      </c>
      <c r="AD50" s="8">
        <v>-0.46</v>
      </c>
      <c r="AE50" s="8">
        <v>0.13</v>
      </c>
      <c r="AF50" s="8">
        <v>0.11</v>
      </c>
      <c r="AG50" s="8">
        <v>0.99</v>
      </c>
    </row>
    <row r="51" ht="16.5" customHeight="1">
      <c r="A51" s="8" t="s">
        <v>36</v>
      </c>
      <c r="B51" s="7">
        <v>2001.0</v>
      </c>
      <c r="C51" s="8">
        <v>5.3991289844E10</v>
      </c>
      <c r="D51" s="8">
        <v>5.08</v>
      </c>
      <c r="E51" s="8">
        <v>410.05</v>
      </c>
      <c r="F51" s="8">
        <v>3.61</v>
      </c>
      <c r="G51" s="8">
        <v>2.01</v>
      </c>
      <c r="H51" s="8">
        <v>0.15</v>
      </c>
      <c r="I51" s="8">
        <v>32.1</v>
      </c>
      <c r="J51" s="8">
        <v>33.71</v>
      </c>
      <c r="K51" s="8">
        <v>1.31670484E8</v>
      </c>
      <c r="L51" s="8">
        <v>1.9</v>
      </c>
      <c r="M51" s="8">
        <v>2.7</v>
      </c>
      <c r="N51" s="8">
        <v>66.14</v>
      </c>
      <c r="O51" s="8">
        <v>59.9</v>
      </c>
      <c r="P51" s="8">
        <v>47.0</v>
      </c>
      <c r="Q51" s="8">
        <v>88.12</v>
      </c>
      <c r="R51" s="8">
        <v>24.1</v>
      </c>
      <c r="S51" s="8">
        <v>35.0</v>
      </c>
      <c r="T51" s="8">
        <v>94.99</v>
      </c>
      <c r="U51" s="8">
        <v>26.07</v>
      </c>
      <c r="V51" s="8">
        <v>0.24</v>
      </c>
      <c r="W51" s="8">
        <v>54.0</v>
      </c>
      <c r="X51" s="8">
        <v>55.9</v>
      </c>
      <c r="Y51" s="8">
        <v>14.7</v>
      </c>
      <c r="Z51" s="8">
        <v>33.95</v>
      </c>
      <c r="AA51" s="8">
        <v>-0.69</v>
      </c>
      <c r="AB51" s="8">
        <v>-0.58</v>
      </c>
      <c r="AC51" s="8">
        <v>-0.89</v>
      </c>
      <c r="AD51" s="8">
        <v>-0.43</v>
      </c>
      <c r="AE51" s="8">
        <v>0.14</v>
      </c>
      <c r="AF51" s="8">
        <v>0.11</v>
      </c>
      <c r="AG51" s="8">
        <v>0.99</v>
      </c>
    </row>
    <row r="52" ht="16.5" customHeight="1">
      <c r="A52" s="8" t="s">
        <v>36</v>
      </c>
      <c r="B52" s="7">
        <v>2002.0</v>
      </c>
      <c r="C52" s="8">
        <v>5.4724081491E10</v>
      </c>
      <c r="D52" s="8">
        <v>3.83</v>
      </c>
      <c r="E52" s="8">
        <v>407.96</v>
      </c>
      <c r="F52" s="8">
        <v>3.97</v>
      </c>
      <c r="G52" s="8">
        <v>3.33</v>
      </c>
      <c r="H52" s="8">
        <v>0.1</v>
      </c>
      <c r="I52" s="8">
        <v>28.97</v>
      </c>
      <c r="J52" s="8">
        <v>33.71</v>
      </c>
      <c r="K52" s="8">
        <v>1.34139826E8</v>
      </c>
      <c r="L52" s="8">
        <v>1.86</v>
      </c>
      <c r="M52" s="8">
        <v>2.7</v>
      </c>
      <c r="N52" s="8">
        <v>66.61</v>
      </c>
      <c r="O52" s="8">
        <v>57.0</v>
      </c>
      <c r="P52" s="8">
        <v>22.0</v>
      </c>
      <c r="Q52" s="8">
        <v>88.12</v>
      </c>
      <c r="R52" s="8">
        <v>24.76</v>
      </c>
      <c r="S52" s="8">
        <v>37.8</v>
      </c>
      <c r="T52" s="8">
        <v>95.17</v>
      </c>
      <c r="U52" s="8">
        <v>27.66</v>
      </c>
      <c r="V52" s="8">
        <v>0.25</v>
      </c>
      <c r="W52" s="8">
        <v>54.44</v>
      </c>
      <c r="X52" s="8">
        <v>54.4</v>
      </c>
      <c r="Y52" s="8">
        <v>14.68</v>
      </c>
      <c r="Z52" s="8">
        <v>1.587301612</v>
      </c>
      <c r="AA52" s="8">
        <v>-1.03</v>
      </c>
      <c r="AB52" s="8">
        <v>-1.06</v>
      </c>
      <c r="AC52" s="8">
        <v>-0.99</v>
      </c>
      <c r="AD52" s="8">
        <v>-0.55</v>
      </c>
      <c r="AE52" s="8">
        <v>0.16</v>
      </c>
      <c r="AF52" s="8">
        <v>0.11</v>
      </c>
      <c r="AG52" s="8">
        <v>0.99</v>
      </c>
    </row>
    <row r="53" ht="16.5" customHeight="1">
      <c r="A53" s="8" t="s">
        <v>36</v>
      </c>
      <c r="B53" s="7">
        <v>2003.0</v>
      </c>
      <c r="C53" s="8">
        <v>6.0158929188E10</v>
      </c>
      <c r="D53" s="8">
        <v>4.74</v>
      </c>
      <c r="E53" s="8">
        <v>440.71</v>
      </c>
      <c r="F53" s="8">
        <v>4.32</v>
      </c>
      <c r="G53" s="8">
        <v>5.67</v>
      </c>
      <c r="H53" s="8">
        <v>0.45</v>
      </c>
      <c r="I53" s="8">
        <v>27.66</v>
      </c>
      <c r="J53" s="8">
        <v>33.71</v>
      </c>
      <c r="K53" s="8">
        <v>1.36503206E8</v>
      </c>
      <c r="L53" s="8">
        <v>1.75</v>
      </c>
      <c r="M53" s="8">
        <v>2.7</v>
      </c>
      <c r="N53" s="8">
        <v>66.82</v>
      </c>
      <c r="O53" s="8">
        <v>54.3</v>
      </c>
      <c r="P53" s="8">
        <v>22.0</v>
      </c>
      <c r="Q53" s="8">
        <v>88.12</v>
      </c>
      <c r="R53" s="8">
        <v>25.43</v>
      </c>
      <c r="S53" s="8">
        <v>40.5</v>
      </c>
      <c r="T53" s="8">
        <v>95.35</v>
      </c>
      <c r="U53" s="8">
        <v>29.23</v>
      </c>
      <c r="V53" s="8">
        <v>0.26</v>
      </c>
      <c r="W53" s="8">
        <v>54.71</v>
      </c>
      <c r="X53" s="8">
        <v>52.6</v>
      </c>
      <c r="Y53" s="8">
        <v>14.65</v>
      </c>
      <c r="Z53" s="8">
        <v>0.529100537</v>
      </c>
      <c r="AA53" s="8">
        <v>-1.12</v>
      </c>
      <c r="AB53" s="8">
        <v>-1.04</v>
      </c>
      <c r="AC53" s="8">
        <v>-1.15</v>
      </c>
      <c r="AD53" s="8">
        <v>-0.67</v>
      </c>
      <c r="AE53" s="8">
        <v>0.2</v>
      </c>
      <c r="AF53" s="8">
        <v>0.11</v>
      </c>
      <c r="AG53" s="8">
        <v>0.99</v>
      </c>
    </row>
    <row r="54" ht="16.5" customHeight="1">
      <c r="A54" s="8" t="s">
        <v>36</v>
      </c>
      <c r="B54" s="7">
        <v>2004.0</v>
      </c>
      <c r="C54" s="8">
        <v>6.510854425E10</v>
      </c>
      <c r="D54" s="8">
        <v>5.24</v>
      </c>
      <c r="E54" s="8">
        <v>469.12</v>
      </c>
      <c r="F54" s="8">
        <v>4.29</v>
      </c>
      <c r="G54" s="8">
        <v>7.59</v>
      </c>
      <c r="H54" s="8">
        <v>0.69</v>
      </c>
      <c r="I54" s="8">
        <v>26.86</v>
      </c>
      <c r="J54" s="8">
        <v>33.71</v>
      </c>
      <c r="K54" s="8">
        <v>1.38789725E8</v>
      </c>
      <c r="L54" s="8">
        <v>1.66</v>
      </c>
      <c r="M54" s="8">
        <v>2.7</v>
      </c>
      <c r="N54" s="8">
        <v>67.19</v>
      </c>
      <c r="O54" s="8">
        <v>51.7</v>
      </c>
      <c r="P54" s="8">
        <v>22.0</v>
      </c>
      <c r="Q54" s="8">
        <v>88.12</v>
      </c>
      <c r="R54" s="8">
        <v>26.11</v>
      </c>
      <c r="S54" s="8">
        <v>40.6</v>
      </c>
      <c r="T54" s="8">
        <v>95.53</v>
      </c>
      <c r="U54" s="8">
        <v>30.8</v>
      </c>
      <c r="V54" s="8">
        <v>0.27</v>
      </c>
      <c r="W54" s="8">
        <v>54.66</v>
      </c>
      <c r="X54" s="8">
        <v>52.0</v>
      </c>
      <c r="Y54" s="8">
        <v>14.63</v>
      </c>
      <c r="Z54" s="8">
        <v>0.985221684</v>
      </c>
      <c r="AA54" s="8">
        <v>-1.36</v>
      </c>
      <c r="AB54" s="8">
        <v>-1.18</v>
      </c>
      <c r="AC54" s="8">
        <v>-1.12</v>
      </c>
      <c r="AD54" s="8">
        <v>-0.57</v>
      </c>
      <c r="AE54" s="8">
        <v>0.24</v>
      </c>
      <c r="AF54" s="8">
        <v>0.11</v>
      </c>
      <c r="AG54" s="8">
        <v>0.99</v>
      </c>
    </row>
    <row r="55" ht="16.5" customHeight="1">
      <c r="A55" s="8" t="s">
        <v>36</v>
      </c>
      <c r="B55" s="7">
        <v>2005.0</v>
      </c>
      <c r="C55" s="8">
        <v>6.947600143E10</v>
      </c>
      <c r="D55" s="8">
        <v>6.54</v>
      </c>
      <c r="E55" s="8">
        <v>493.04</v>
      </c>
      <c r="F55" s="8">
        <v>4.25</v>
      </c>
      <c r="G55" s="8">
        <v>7.05</v>
      </c>
      <c r="H55" s="8">
        <v>1.17</v>
      </c>
      <c r="I55" s="8">
        <v>34.4</v>
      </c>
      <c r="J55" s="8">
        <v>33.2</v>
      </c>
      <c r="K55" s="8">
        <v>1.4091259E8</v>
      </c>
      <c r="L55" s="8">
        <v>1.52</v>
      </c>
      <c r="M55" s="8">
        <v>24.0</v>
      </c>
      <c r="N55" s="8">
        <v>67.3</v>
      </c>
      <c r="O55" s="8">
        <v>49.3</v>
      </c>
      <c r="P55" s="8">
        <v>22.0</v>
      </c>
      <c r="Q55" s="8">
        <v>99.95</v>
      </c>
      <c r="R55" s="8">
        <v>26.81</v>
      </c>
      <c r="S55" s="8">
        <v>44.2</v>
      </c>
      <c r="T55" s="8">
        <v>95.71</v>
      </c>
      <c r="U55" s="8">
        <v>32.44</v>
      </c>
      <c r="V55" s="8">
        <v>0.28</v>
      </c>
      <c r="W55" s="8">
        <v>53.2</v>
      </c>
      <c r="X55" s="8">
        <v>50.6</v>
      </c>
      <c r="Y55" s="8">
        <v>14.61</v>
      </c>
      <c r="Z55" s="8">
        <v>2.926829338</v>
      </c>
      <c r="AA55" s="8">
        <v>-1.86</v>
      </c>
      <c r="AB55" s="8">
        <v>-1.08</v>
      </c>
      <c r="AC55" s="8">
        <v>-0.98</v>
      </c>
      <c r="AD55" s="8">
        <v>-0.45</v>
      </c>
      <c r="AE55" s="8">
        <v>1.0</v>
      </c>
      <c r="AF55" s="8">
        <v>0.11</v>
      </c>
      <c r="AG55" s="8">
        <v>0.99</v>
      </c>
    </row>
    <row r="56" ht="16.5" customHeight="1">
      <c r="A56" s="8" t="s">
        <v>36</v>
      </c>
      <c r="B56" s="7">
        <v>2006.0</v>
      </c>
      <c r="C56" s="8">
        <v>7.1795735672E10</v>
      </c>
      <c r="D56" s="8">
        <v>6.67</v>
      </c>
      <c r="E56" s="8">
        <v>503.37</v>
      </c>
      <c r="F56" s="8">
        <v>3.59</v>
      </c>
      <c r="G56" s="8">
        <v>6.77</v>
      </c>
      <c r="H56" s="8">
        <v>0.64</v>
      </c>
      <c r="I56" s="8">
        <v>38.11</v>
      </c>
      <c r="J56" s="8">
        <v>33.71</v>
      </c>
      <c r="K56" s="8">
        <v>1.42628831E8</v>
      </c>
      <c r="L56" s="8">
        <v>1.21</v>
      </c>
      <c r="M56" s="8">
        <v>2.7</v>
      </c>
      <c r="N56" s="8">
        <v>67.24</v>
      </c>
      <c r="O56" s="8">
        <v>47.0</v>
      </c>
      <c r="P56" s="8">
        <v>22.0</v>
      </c>
      <c r="Q56" s="8">
        <v>99.98</v>
      </c>
      <c r="R56" s="8">
        <v>27.52</v>
      </c>
      <c r="S56" s="8">
        <v>50.5</v>
      </c>
      <c r="T56" s="8">
        <v>95.88</v>
      </c>
      <c r="U56" s="8">
        <v>34.09</v>
      </c>
      <c r="V56" s="8">
        <v>0.3</v>
      </c>
      <c r="W56" s="8">
        <v>50.08</v>
      </c>
      <c r="X56" s="8">
        <v>48.6</v>
      </c>
      <c r="Y56" s="8">
        <v>14.58</v>
      </c>
      <c r="Z56" s="8">
        <v>2.926829338</v>
      </c>
      <c r="AA56" s="8">
        <v>-1.51</v>
      </c>
      <c r="AB56" s="8">
        <v>-1.01</v>
      </c>
      <c r="AC56" s="8">
        <v>-0.91</v>
      </c>
      <c r="AD56" s="8">
        <v>-0.57</v>
      </c>
      <c r="AE56" s="8">
        <v>1.8</v>
      </c>
      <c r="AF56" s="8">
        <v>0.11</v>
      </c>
      <c r="AG56" s="8">
        <v>0.99</v>
      </c>
    </row>
    <row r="57" ht="16.5" customHeight="1">
      <c r="A57" s="8" t="s">
        <v>36</v>
      </c>
      <c r="B57" s="7">
        <v>2007.0</v>
      </c>
      <c r="C57" s="8">
        <v>7.9611644984E10</v>
      </c>
      <c r="D57" s="8">
        <v>7.06</v>
      </c>
      <c r="E57" s="8">
        <v>552.34</v>
      </c>
      <c r="F57" s="8">
        <v>4.05</v>
      </c>
      <c r="G57" s="8">
        <v>9.11</v>
      </c>
      <c r="H57" s="8">
        <v>0.82</v>
      </c>
      <c r="I57" s="8">
        <v>39.94</v>
      </c>
      <c r="J57" s="8">
        <v>33.71</v>
      </c>
      <c r="K57" s="8">
        <v>1.44135934E8</v>
      </c>
      <c r="L57" s="8">
        <v>1.05</v>
      </c>
      <c r="M57" s="8">
        <v>2.7</v>
      </c>
      <c r="N57" s="8">
        <v>66.71</v>
      </c>
      <c r="O57" s="8">
        <v>44.8</v>
      </c>
      <c r="P57" s="8">
        <v>47.0</v>
      </c>
      <c r="Q57" s="8">
        <v>98.19</v>
      </c>
      <c r="R57" s="8">
        <v>28.24</v>
      </c>
      <c r="S57" s="8">
        <v>46.5</v>
      </c>
      <c r="T57" s="8">
        <v>96.06</v>
      </c>
      <c r="U57" s="8">
        <v>35.73</v>
      </c>
      <c r="V57" s="8">
        <v>0.31</v>
      </c>
      <c r="W57" s="8">
        <v>46.44</v>
      </c>
      <c r="X57" s="8">
        <v>47.2</v>
      </c>
      <c r="Y57" s="8">
        <v>14.56</v>
      </c>
      <c r="Z57" s="8">
        <v>13.5922327</v>
      </c>
      <c r="AA57" s="8">
        <v>-1.54</v>
      </c>
      <c r="AB57" s="8">
        <v>-0.95</v>
      </c>
      <c r="AC57" s="8">
        <v>-0.83</v>
      </c>
      <c r="AD57" s="8">
        <v>-0.44</v>
      </c>
      <c r="AE57" s="8">
        <v>2.5</v>
      </c>
      <c r="AF57" s="8">
        <v>0.11</v>
      </c>
      <c r="AG57" s="8">
        <v>0.44</v>
      </c>
    </row>
    <row r="58" ht="16.5" customHeight="1">
      <c r="A58" s="8" t="s">
        <v>36</v>
      </c>
      <c r="B58" s="7">
        <v>2008.0</v>
      </c>
      <c r="C58" s="8">
        <v>9.1636997445E10</v>
      </c>
      <c r="D58" s="8">
        <v>6.01</v>
      </c>
      <c r="E58" s="8">
        <v>630.15</v>
      </c>
      <c r="F58" s="8">
        <v>4.52</v>
      </c>
      <c r="G58" s="8">
        <v>8.9</v>
      </c>
      <c r="H58" s="8">
        <v>1.45</v>
      </c>
      <c r="I58" s="8">
        <v>42.62</v>
      </c>
      <c r="J58" s="8">
        <v>33.71</v>
      </c>
      <c r="K58" s="8">
        <v>1.45421318E8</v>
      </c>
      <c r="L58" s="8">
        <v>0.89</v>
      </c>
      <c r="M58" s="8">
        <v>2.7</v>
      </c>
      <c r="N58" s="8">
        <v>67.05</v>
      </c>
      <c r="O58" s="8">
        <v>42.7</v>
      </c>
      <c r="P58" s="8">
        <v>22.0</v>
      </c>
      <c r="Q58" s="8">
        <v>95.11</v>
      </c>
      <c r="R58" s="8">
        <v>28.97</v>
      </c>
      <c r="S58" s="8">
        <v>54.3</v>
      </c>
      <c r="T58" s="8">
        <v>96.23</v>
      </c>
      <c r="U58" s="8">
        <v>37.37</v>
      </c>
      <c r="V58" s="8">
        <v>0.35</v>
      </c>
      <c r="W58" s="8">
        <v>43.42</v>
      </c>
      <c r="X58" s="8">
        <v>45.2</v>
      </c>
      <c r="Y58" s="8">
        <v>14.53</v>
      </c>
      <c r="Z58" s="8">
        <v>15.04854393</v>
      </c>
      <c r="AA58" s="8">
        <v>-1.51</v>
      </c>
      <c r="AB58" s="8">
        <v>-0.91</v>
      </c>
      <c r="AC58" s="8">
        <v>-0.75</v>
      </c>
      <c r="AD58" s="8">
        <v>-0.29</v>
      </c>
      <c r="AE58" s="8">
        <v>3.1</v>
      </c>
      <c r="AF58" s="8">
        <v>0.11</v>
      </c>
      <c r="AG58" s="8">
        <v>0.31</v>
      </c>
    </row>
    <row r="59" ht="16.5" customHeight="1">
      <c r="A59" s="8" t="s">
        <v>36</v>
      </c>
      <c r="B59" s="7">
        <v>2009.0</v>
      </c>
      <c r="C59" s="8">
        <v>1.02E11</v>
      </c>
      <c r="D59" s="8">
        <v>5.05</v>
      </c>
      <c r="E59" s="8">
        <v>698.5</v>
      </c>
      <c r="F59" s="8">
        <v>5.0</v>
      </c>
      <c r="G59" s="8">
        <v>5.42</v>
      </c>
      <c r="H59" s="8">
        <v>0.88</v>
      </c>
      <c r="I59" s="8">
        <v>40.09</v>
      </c>
      <c r="J59" s="8">
        <v>33.71</v>
      </c>
      <c r="K59" s="8">
        <v>1.4670681E8</v>
      </c>
      <c r="L59" s="8">
        <v>0.88</v>
      </c>
      <c r="M59" s="8">
        <v>2.7</v>
      </c>
      <c r="N59" s="8">
        <v>67.4</v>
      </c>
      <c r="O59" s="8">
        <v>40.7</v>
      </c>
      <c r="P59" s="8">
        <v>22.0</v>
      </c>
      <c r="Q59" s="8">
        <v>97.63</v>
      </c>
      <c r="R59" s="8">
        <v>29.71</v>
      </c>
      <c r="S59" s="8">
        <v>57.1</v>
      </c>
      <c r="T59" s="8">
        <v>96.39</v>
      </c>
      <c r="U59" s="8">
        <v>39.01</v>
      </c>
      <c r="V59" s="8">
        <v>0.37</v>
      </c>
      <c r="W59" s="8">
        <v>42.16</v>
      </c>
      <c r="X59" s="8">
        <v>43.1</v>
      </c>
      <c r="Y59" s="8">
        <v>14.51</v>
      </c>
      <c r="Z59" s="8">
        <v>14.83253574</v>
      </c>
      <c r="AA59" s="8">
        <v>-1.55</v>
      </c>
      <c r="AB59" s="8">
        <v>-0.87</v>
      </c>
      <c r="AC59" s="8">
        <v>-0.78</v>
      </c>
      <c r="AD59" s="8">
        <v>-0.27</v>
      </c>
      <c r="AE59" s="8">
        <v>3.7</v>
      </c>
      <c r="AF59" s="8">
        <v>0.11</v>
      </c>
      <c r="AG59" s="8">
        <v>0.21</v>
      </c>
    </row>
    <row r="60" ht="16.5" customHeight="1">
      <c r="A60" s="8" t="s">
        <v>36</v>
      </c>
      <c r="B60" s="7">
        <v>2010.0</v>
      </c>
      <c r="C60" s="8">
        <v>1.15E11</v>
      </c>
      <c r="D60" s="8">
        <v>5.57</v>
      </c>
      <c r="E60" s="8">
        <v>776.84</v>
      </c>
      <c r="F60" s="8">
        <v>3.38</v>
      </c>
      <c r="G60" s="8">
        <v>8.13</v>
      </c>
      <c r="H60" s="8">
        <v>1.07</v>
      </c>
      <c r="I60" s="8">
        <v>37.8</v>
      </c>
      <c r="J60" s="8">
        <v>32.1</v>
      </c>
      <c r="K60" s="8">
        <v>1.48391139E8</v>
      </c>
      <c r="L60" s="8">
        <v>1.14</v>
      </c>
      <c r="M60" s="8">
        <v>18.2</v>
      </c>
      <c r="N60" s="8">
        <v>68.64</v>
      </c>
      <c r="O60" s="8">
        <v>38.9</v>
      </c>
      <c r="P60" s="8">
        <v>22.0</v>
      </c>
      <c r="Q60" s="8">
        <v>99.74</v>
      </c>
      <c r="R60" s="8">
        <v>30.46</v>
      </c>
      <c r="S60" s="8">
        <v>55.3</v>
      </c>
      <c r="T60" s="8">
        <v>96.55</v>
      </c>
      <c r="U60" s="8">
        <v>40.64</v>
      </c>
      <c r="V60" s="8">
        <v>0.4</v>
      </c>
      <c r="W60" s="8">
        <v>52.3</v>
      </c>
      <c r="X60" s="8">
        <v>40.3</v>
      </c>
      <c r="Y60" s="8">
        <v>14.5</v>
      </c>
      <c r="Z60" s="8">
        <v>14.76190472</v>
      </c>
      <c r="AA60" s="8">
        <v>-1.43</v>
      </c>
      <c r="AB60" s="8">
        <v>-0.86</v>
      </c>
      <c r="AC60" s="8">
        <v>-0.8</v>
      </c>
      <c r="AD60" s="8">
        <v>-0.32</v>
      </c>
      <c r="AE60" s="8">
        <v>4.5</v>
      </c>
      <c r="AF60" s="8">
        <v>0.11</v>
      </c>
      <c r="AG60" s="8">
        <v>0.19</v>
      </c>
    </row>
    <row r="61" ht="16.5" customHeight="1">
      <c r="A61" s="8" t="s">
        <v>36</v>
      </c>
      <c r="B61" s="7">
        <v>2011.0</v>
      </c>
      <c r="C61" s="8">
        <v>1.29E11</v>
      </c>
      <c r="D61" s="8">
        <v>6.46</v>
      </c>
      <c r="E61" s="8">
        <v>856.18</v>
      </c>
      <c r="F61" s="8">
        <v>3.73</v>
      </c>
      <c r="G61" s="8">
        <v>11.4</v>
      </c>
      <c r="H61" s="8">
        <v>0.98</v>
      </c>
      <c r="I61" s="8">
        <v>47.42</v>
      </c>
      <c r="J61" s="8">
        <v>33.71</v>
      </c>
      <c r="K61" s="8">
        <v>1.50211005E8</v>
      </c>
      <c r="L61" s="8">
        <v>1.22</v>
      </c>
      <c r="M61" s="8">
        <v>2.7</v>
      </c>
      <c r="N61" s="8">
        <v>68.81</v>
      </c>
      <c r="O61" s="8">
        <v>37.2</v>
      </c>
      <c r="P61" s="8">
        <v>59.0</v>
      </c>
      <c r="Q61" s="8">
        <v>88.12</v>
      </c>
      <c r="R61" s="8">
        <v>31.23</v>
      </c>
      <c r="S61" s="8">
        <v>59.6</v>
      </c>
      <c r="T61" s="8">
        <v>96.71</v>
      </c>
      <c r="U61" s="8">
        <v>42.27</v>
      </c>
      <c r="V61" s="8">
        <v>0.42</v>
      </c>
      <c r="W61" s="8">
        <v>65.16</v>
      </c>
      <c r="X61" s="8">
        <v>38.4</v>
      </c>
      <c r="Y61" s="8">
        <v>14.49</v>
      </c>
      <c r="Z61" s="8">
        <v>13.74407578</v>
      </c>
      <c r="AA61" s="8">
        <v>-1.4</v>
      </c>
      <c r="AB61" s="8">
        <v>-0.82</v>
      </c>
      <c r="AC61" s="8">
        <v>-0.73</v>
      </c>
      <c r="AD61" s="8">
        <v>-0.4</v>
      </c>
      <c r="AE61" s="8">
        <v>5.0</v>
      </c>
      <c r="AF61" s="8">
        <v>0.11</v>
      </c>
      <c r="AG61" s="8">
        <v>0.46</v>
      </c>
    </row>
    <row r="62" ht="16.5" customHeight="1">
      <c r="A62" s="8" t="s">
        <v>36</v>
      </c>
      <c r="B62" s="7">
        <v>2012.0</v>
      </c>
      <c r="C62" s="8">
        <v>1.33E11</v>
      </c>
      <c r="D62" s="8">
        <v>6.52</v>
      </c>
      <c r="E62" s="8">
        <v>876.52</v>
      </c>
      <c r="F62" s="8">
        <v>4.08</v>
      </c>
      <c r="G62" s="8">
        <v>6.22</v>
      </c>
      <c r="H62" s="8">
        <v>1.19</v>
      </c>
      <c r="I62" s="8">
        <v>48.11</v>
      </c>
      <c r="J62" s="8">
        <v>33.71</v>
      </c>
      <c r="K62" s="8">
        <v>1.52090649E8</v>
      </c>
      <c r="L62" s="8">
        <v>1.24</v>
      </c>
      <c r="M62" s="8">
        <v>2.7</v>
      </c>
      <c r="N62" s="8">
        <v>69.55</v>
      </c>
      <c r="O62" s="8">
        <v>35.6</v>
      </c>
      <c r="P62" s="8">
        <v>58.0</v>
      </c>
      <c r="Q62" s="8">
        <v>88.12</v>
      </c>
      <c r="R62" s="8">
        <v>31.99</v>
      </c>
      <c r="S62" s="8">
        <v>65.5</v>
      </c>
      <c r="T62" s="8">
        <v>96.86</v>
      </c>
      <c r="U62" s="8">
        <v>43.89</v>
      </c>
      <c r="V62" s="8">
        <v>0.45</v>
      </c>
      <c r="W62" s="8">
        <v>64.38</v>
      </c>
      <c r="X62" s="8">
        <v>37.3</v>
      </c>
      <c r="Y62" s="8">
        <v>14.48</v>
      </c>
      <c r="Z62" s="8">
        <v>20.85308075</v>
      </c>
      <c r="AA62" s="8">
        <v>-1.38</v>
      </c>
      <c r="AB62" s="8">
        <v>-0.96</v>
      </c>
      <c r="AC62" s="8">
        <v>-0.94</v>
      </c>
      <c r="AD62" s="8">
        <v>-0.41</v>
      </c>
      <c r="AE62" s="8">
        <v>6.63</v>
      </c>
      <c r="AF62" s="8">
        <v>0.11</v>
      </c>
      <c r="AG62" s="8">
        <v>0.3</v>
      </c>
    </row>
    <row r="63" ht="16.5" customHeight="1">
      <c r="A63" s="8" t="s">
        <v>36</v>
      </c>
      <c r="B63" s="7">
        <v>2013.0</v>
      </c>
      <c r="C63" s="8">
        <v>1.5E11</v>
      </c>
      <c r="D63" s="8">
        <v>6.01</v>
      </c>
      <c r="E63" s="8">
        <v>973.83</v>
      </c>
      <c r="F63" s="8">
        <v>4.43</v>
      </c>
      <c r="G63" s="8">
        <v>7.53</v>
      </c>
      <c r="H63" s="8">
        <v>1.74</v>
      </c>
      <c r="I63" s="8">
        <v>46.3</v>
      </c>
      <c r="J63" s="8">
        <v>33.71</v>
      </c>
      <c r="K63" s="8">
        <v>1.54030139E8</v>
      </c>
      <c r="L63" s="8">
        <v>1.27</v>
      </c>
      <c r="M63" s="8">
        <v>2.7</v>
      </c>
      <c r="N63" s="8">
        <v>69.57</v>
      </c>
      <c r="O63" s="8">
        <v>34.1</v>
      </c>
      <c r="P63" s="8">
        <v>61.0</v>
      </c>
      <c r="Q63" s="8">
        <v>88.12</v>
      </c>
      <c r="R63" s="8">
        <v>32.76</v>
      </c>
      <c r="S63" s="8">
        <v>61.5</v>
      </c>
      <c r="T63" s="8">
        <v>97.01</v>
      </c>
      <c r="U63" s="8">
        <v>45.5</v>
      </c>
      <c r="V63" s="8">
        <v>0.47</v>
      </c>
      <c r="W63" s="8">
        <v>68.33</v>
      </c>
      <c r="X63" s="8">
        <v>37.0</v>
      </c>
      <c r="Y63" s="8">
        <v>14.48</v>
      </c>
      <c r="Z63" s="8">
        <v>21.32701492</v>
      </c>
      <c r="AA63" s="8">
        <v>-1.63</v>
      </c>
      <c r="AB63" s="8">
        <v>-0.92</v>
      </c>
      <c r="AC63" s="8">
        <v>-0.87</v>
      </c>
      <c r="AD63" s="8">
        <v>-0.47</v>
      </c>
      <c r="AE63" s="8">
        <v>11.9</v>
      </c>
      <c r="AF63" s="8">
        <v>0.11</v>
      </c>
      <c r="AG63" s="8">
        <v>0.99</v>
      </c>
    </row>
    <row r="64" ht="16.5" customHeight="1">
      <c r="A64" s="8" t="s">
        <v>36</v>
      </c>
      <c r="B64" s="7">
        <v>2014.0</v>
      </c>
      <c r="C64" s="8">
        <v>1.73E11</v>
      </c>
      <c r="D64" s="8">
        <v>6.06</v>
      </c>
      <c r="E64" s="8">
        <v>1108.52</v>
      </c>
      <c r="F64" s="8">
        <v>4.41</v>
      </c>
      <c r="G64" s="8">
        <v>6.99</v>
      </c>
      <c r="H64" s="8">
        <v>1.47</v>
      </c>
      <c r="I64" s="8">
        <v>44.51</v>
      </c>
      <c r="J64" s="8">
        <v>33.71</v>
      </c>
      <c r="K64" s="8">
        <v>1.55961299E8</v>
      </c>
      <c r="L64" s="8">
        <v>1.25</v>
      </c>
      <c r="M64" s="8">
        <v>2.7</v>
      </c>
      <c r="N64" s="8">
        <v>69.99</v>
      </c>
      <c r="O64" s="8">
        <v>32.7</v>
      </c>
      <c r="P64" s="8">
        <v>61.0</v>
      </c>
      <c r="Q64" s="8">
        <v>88.12</v>
      </c>
      <c r="R64" s="8">
        <v>33.54</v>
      </c>
      <c r="S64" s="8">
        <v>62.4</v>
      </c>
      <c r="T64" s="8">
        <v>97.16</v>
      </c>
      <c r="U64" s="8">
        <v>47.1</v>
      </c>
      <c r="V64" s="8">
        <v>0.49</v>
      </c>
      <c r="W64" s="8">
        <v>64.11</v>
      </c>
      <c r="X64" s="8">
        <v>35.4</v>
      </c>
      <c r="Y64" s="8">
        <v>14.47</v>
      </c>
      <c r="Z64" s="8">
        <v>18.75</v>
      </c>
      <c r="AA64" s="8">
        <v>-0.9</v>
      </c>
      <c r="AB64" s="8">
        <v>-0.96</v>
      </c>
      <c r="AC64" s="8">
        <v>-0.78</v>
      </c>
      <c r="AD64" s="8">
        <v>-0.51</v>
      </c>
      <c r="AE64" s="8">
        <v>12.9</v>
      </c>
      <c r="AF64" s="8">
        <v>0.11</v>
      </c>
      <c r="AG64" s="8">
        <v>0.31</v>
      </c>
    </row>
    <row r="65" ht="16.5" customHeight="1">
      <c r="A65" s="8" t="s">
        <v>36</v>
      </c>
      <c r="B65" s="7">
        <v>2015.0</v>
      </c>
      <c r="C65" s="8">
        <v>1.95E11</v>
      </c>
      <c r="D65" s="8">
        <v>6.55</v>
      </c>
      <c r="E65" s="8">
        <v>1236.44</v>
      </c>
      <c r="F65" s="8">
        <v>4.38</v>
      </c>
      <c r="G65" s="8">
        <v>6.19</v>
      </c>
      <c r="H65" s="8">
        <v>1.45</v>
      </c>
      <c r="I65" s="8">
        <v>42.09</v>
      </c>
      <c r="J65" s="8">
        <v>33.71</v>
      </c>
      <c r="K65" s="8">
        <v>1.5783E8</v>
      </c>
      <c r="L65" s="8">
        <v>1.19</v>
      </c>
      <c r="M65" s="8">
        <v>2.7</v>
      </c>
      <c r="N65" s="8">
        <v>70.49</v>
      </c>
      <c r="O65" s="8">
        <v>31.4</v>
      </c>
      <c r="P65" s="8">
        <v>65.0</v>
      </c>
      <c r="Q65" s="8">
        <v>88.12</v>
      </c>
      <c r="R65" s="8">
        <v>34.31</v>
      </c>
      <c r="S65" s="8">
        <v>74.0</v>
      </c>
      <c r="T65" s="8">
        <v>97.3</v>
      </c>
      <c r="U65" s="8">
        <v>48.68</v>
      </c>
      <c r="V65" s="8">
        <v>0.54</v>
      </c>
      <c r="W65" s="8">
        <v>63.68</v>
      </c>
      <c r="X65" s="8">
        <v>33.1</v>
      </c>
      <c r="Y65" s="8">
        <v>14.47</v>
      </c>
      <c r="Z65" s="8">
        <v>21.90476227</v>
      </c>
      <c r="AA65" s="8">
        <v>-1.21</v>
      </c>
      <c r="AB65" s="8">
        <v>-0.92</v>
      </c>
      <c r="AC65" s="8">
        <v>-0.77</v>
      </c>
      <c r="AD65" s="8">
        <v>-0.58</v>
      </c>
      <c r="AE65" s="8">
        <v>18.1</v>
      </c>
      <c r="AF65" s="8">
        <v>0.11</v>
      </c>
      <c r="AG65" s="8">
        <v>0.99</v>
      </c>
    </row>
    <row r="66" ht="16.5" customHeight="1">
      <c r="A66" s="8" t="s">
        <v>36</v>
      </c>
      <c r="B66" s="7">
        <v>2016.0</v>
      </c>
      <c r="C66" s="8">
        <v>2.65E11</v>
      </c>
      <c r="D66" s="8">
        <v>7.11</v>
      </c>
      <c r="E66" s="8">
        <v>1659.89</v>
      </c>
      <c r="F66" s="8">
        <v>4.35</v>
      </c>
      <c r="G66" s="8">
        <v>5.51</v>
      </c>
      <c r="H66" s="8">
        <v>0.88</v>
      </c>
      <c r="I66" s="8">
        <v>31.33</v>
      </c>
      <c r="J66" s="8">
        <v>32.4</v>
      </c>
      <c r="K66" s="8">
        <v>1.59784568E8</v>
      </c>
      <c r="L66" s="8">
        <v>1.23</v>
      </c>
      <c r="M66" s="8">
        <v>13.5</v>
      </c>
      <c r="N66" s="8">
        <v>71.09</v>
      </c>
      <c r="O66" s="8">
        <v>30.1</v>
      </c>
      <c r="P66" s="8">
        <v>73.0</v>
      </c>
      <c r="Q66" s="8">
        <v>88.12</v>
      </c>
      <c r="R66" s="8">
        <v>35.08</v>
      </c>
      <c r="S66" s="8">
        <v>75.9</v>
      </c>
      <c r="T66" s="8">
        <v>97.44</v>
      </c>
      <c r="U66" s="8">
        <v>50.26</v>
      </c>
      <c r="V66" s="8">
        <v>0.58</v>
      </c>
      <c r="W66" s="8">
        <v>58.34</v>
      </c>
      <c r="X66" s="8">
        <v>30.2</v>
      </c>
      <c r="Y66" s="8">
        <v>14.47</v>
      </c>
      <c r="Z66" s="8">
        <v>18.5714283</v>
      </c>
      <c r="AA66" s="8">
        <v>-1.26</v>
      </c>
      <c r="AB66" s="8">
        <v>-0.81</v>
      </c>
      <c r="AC66" s="8">
        <v>-0.67</v>
      </c>
      <c r="AD66" s="8">
        <v>-0.62</v>
      </c>
      <c r="AE66" s="8">
        <v>21.5</v>
      </c>
      <c r="AF66" s="8">
        <v>0.11</v>
      </c>
      <c r="AG66" s="8">
        <v>0.99</v>
      </c>
    </row>
    <row r="67" ht="16.5" customHeight="1">
      <c r="A67" s="8" t="s">
        <v>36</v>
      </c>
      <c r="B67" s="7">
        <v>2017.0</v>
      </c>
      <c r="C67" s="8">
        <v>2.94E11</v>
      </c>
      <c r="D67" s="8">
        <v>6.59</v>
      </c>
      <c r="E67" s="8">
        <v>1815.47</v>
      </c>
      <c r="F67" s="8">
        <v>4.37</v>
      </c>
      <c r="G67" s="8">
        <v>5.7</v>
      </c>
      <c r="H67" s="8">
        <v>0.62</v>
      </c>
      <c r="I67" s="8">
        <v>30.0</v>
      </c>
      <c r="J67" s="8">
        <v>33.71</v>
      </c>
      <c r="K67" s="8">
        <v>1.61793964E8</v>
      </c>
      <c r="L67" s="8">
        <v>1.25</v>
      </c>
      <c r="M67" s="8">
        <v>2.7</v>
      </c>
      <c r="N67" s="8">
        <v>71.79</v>
      </c>
      <c r="O67" s="8">
        <v>28.9</v>
      </c>
      <c r="P67" s="8">
        <v>73.0</v>
      </c>
      <c r="Q67" s="8">
        <v>109.13</v>
      </c>
      <c r="R67" s="8">
        <v>35.86</v>
      </c>
      <c r="S67" s="8">
        <v>88.0</v>
      </c>
      <c r="T67" s="8">
        <v>97.57</v>
      </c>
      <c r="U67" s="8">
        <v>51.82</v>
      </c>
      <c r="V67" s="8">
        <v>0.62</v>
      </c>
      <c r="W67" s="8">
        <v>59.51</v>
      </c>
      <c r="X67" s="8">
        <v>28.1</v>
      </c>
      <c r="Y67" s="8">
        <v>14.47</v>
      </c>
      <c r="Z67" s="8">
        <v>18.5714283</v>
      </c>
      <c r="AA67" s="8">
        <v>-1.25</v>
      </c>
      <c r="AB67" s="8">
        <v>-0.83</v>
      </c>
      <c r="AC67" s="8">
        <v>-0.68</v>
      </c>
      <c r="AD67" s="8">
        <v>-0.74</v>
      </c>
      <c r="AE67" s="8">
        <v>25.6</v>
      </c>
      <c r="AF67" s="8">
        <v>0.11</v>
      </c>
      <c r="AG67" s="8">
        <v>0.99</v>
      </c>
    </row>
    <row r="68" ht="16.5" customHeight="1">
      <c r="A68" s="8" t="s">
        <v>36</v>
      </c>
      <c r="B68" s="7">
        <v>2018.0</v>
      </c>
      <c r="C68" s="8">
        <v>3.21E11</v>
      </c>
      <c r="D68" s="8">
        <v>7.32</v>
      </c>
      <c r="E68" s="8">
        <v>1963.31</v>
      </c>
      <c r="F68" s="8">
        <v>4.53</v>
      </c>
      <c r="G68" s="8">
        <v>5.54</v>
      </c>
      <c r="H68" s="8">
        <v>0.75</v>
      </c>
      <c r="I68" s="8">
        <v>32.51</v>
      </c>
      <c r="J68" s="8">
        <v>33.71</v>
      </c>
      <c r="K68" s="8">
        <v>1.63683958E8</v>
      </c>
      <c r="L68" s="8">
        <v>1.16</v>
      </c>
      <c r="M68" s="8">
        <v>2.7</v>
      </c>
      <c r="N68" s="8">
        <v>72.57</v>
      </c>
      <c r="O68" s="8">
        <v>27.8</v>
      </c>
      <c r="P68" s="8">
        <v>74.0</v>
      </c>
      <c r="Q68" s="8">
        <v>112.43</v>
      </c>
      <c r="R68" s="8">
        <v>36.63</v>
      </c>
      <c r="S68" s="8">
        <v>86.9</v>
      </c>
      <c r="T68" s="8">
        <v>97.7</v>
      </c>
      <c r="U68" s="8">
        <v>53.37</v>
      </c>
      <c r="V68" s="8">
        <v>0.67</v>
      </c>
      <c r="W68" s="8">
        <v>50.36</v>
      </c>
      <c r="X68" s="8">
        <v>27.0</v>
      </c>
      <c r="Y68" s="8">
        <v>14.47</v>
      </c>
      <c r="Z68" s="8">
        <v>17.1428566</v>
      </c>
      <c r="AA68" s="8">
        <v>-0.99</v>
      </c>
      <c r="AB68" s="8">
        <v>-0.85</v>
      </c>
      <c r="AC68" s="8">
        <v>-0.65</v>
      </c>
      <c r="AD68" s="8">
        <v>-0.74</v>
      </c>
      <c r="AE68" s="8">
        <v>30.4</v>
      </c>
      <c r="AF68" s="8">
        <v>0.11</v>
      </c>
      <c r="AG68" s="8">
        <v>0.99</v>
      </c>
    </row>
    <row r="69" ht="16.5" customHeight="1">
      <c r="A69" s="8" t="s">
        <v>36</v>
      </c>
      <c r="B69" s="7">
        <v>2019.0</v>
      </c>
      <c r="C69" s="8">
        <v>3.51E11</v>
      </c>
      <c r="D69" s="8">
        <v>7.88</v>
      </c>
      <c r="E69" s="8">
        <v>2122.04</v>
      </c>
      <c r="F69" s="8">
        <v>4.69</v>
      </c>
      <c r="G69" s="8">
        <v>5.59</v>
      </c>
      <c r="H69" s="8">
        <v>0.54</v>
      </c>
      <c r="I69" s="8">
        <v>31.58</v>
      </c>
      <c r="J69" s="8">
        <v>33.71</v>
      </c>
      <c r="K69" s="8">
        <v>1.65516222E8</v>
      </c>
      <c r="L69" s="8">
        <v>1.11</v>
      </c>
      <c r="M69" s="8">
        <v>2.7</v>
      </c>
      <c r="N69" s="8">
        <v>72.81</v>
      </c>
      <c r="O69" s="8">
        <v>26.7</v>
      </c>
      <c r="P69" s="8">
        <v>75.0</v>
      </c>
      <c r="Q69" s="8">
        <v>88.12</v>
      </c>
      <c r="R69" s="8">
        <v>37.41</v>
      </c>
      <c r="S69" s="8">
        <v>92.2</v>
      </c>
      <c r="T69" s="8">
        <v>97.83</v>
      </c>
      <c r="U69" s="8">
        <v>54.91</v>
      </c>
      <c r="V69" s="8">
        <v>0.65</v>
      </c>
      <c r="W69" s="8">
        <v>42.38</v>
      </c>
      <c r="X69" s="8">
        <v>26.1</v>
      </c>
      <c r="Y69" s="8">
        <v>14.47</v>
      </c>
      <c r="Z69" s="8">
        <v>16.19047546</v>
      </c>
      <c r="AA69" s="8">
        <v>-0.93</v>
      </c>
      <c r="AB69" s="8">
        <v>-0.94</v>
      </c>
      <c r="AC69" s="8">
        <v>-0.64</v>
      </c>
      <c r="AD69" s="8">
        <v>-0.77</v>
      </c>
      <c r="AE69" s="8">
        <v>36.11</v>
      </c>
      <c r="AF69" s="8">
        <v>0.11</v>
      </c>
      <c r="AG69" s="8">
        <v>0.99</v>
      </c>
    </row>
    <row r="70" ht="16.5" customHeight="1">
      <c r="A70" s="8" t="s">
        <v>36</v>
      </c>
      <c r="B70" s="7">
        <v>2020.0</v>
      </c>
      <c r="C70" s="8">
        <v>3.74E11</v>
      </c>
      <c r="D70" s="8">
        <v>3.45</v>
      </c>
      <c r="E70" s="8">
        <v>2233.77</v>
      </c>
      <c r="F70" s="8">
        <v>5.83</v>
      </c>
      <c r="G70" s="8">
        <v>5.69</v>
      </c>
      <c r="H70" s="8">
        <v>0.41</v>
      </c>
      <c r="I70" s="8">
        <v>26.27</v>
      </c>
      <c r="J70" s="8">
        <v>33.71</v>
      </c>
      <c r="K70" s="8">
        <v>1.67420951E8</v>
      </c>
      <c r="L70" s="8">
        <v>1.14</v>
      </c>
      <c r="M70" s="8">
        <v>2.7</v>
      </c>
      <c r="N70" s="8">
        <v>71.97</v>
      </c>
      <c r="O70" s="8">
        <v>25.7</v>
      </c>
      <c r="P70" s="8">
        <v>75.0</v>
      </c>
      <c r="Q70" s="8">
        <v>118.43</v>
      </c>
      <c r="R70" s="8">
        <v>38.18</v>
      </c>
      <c r="S70" s="8">
        <v>96.2</v>
      </c>
      <c r="T70" s="8">
        <v>97.95</v>
      </c>
      <c r="U70" s="8">
        <v>56.43</v>
      </c>
      <c r="V70" s="8">
        <v>0.6</v>
      </c>
      <c r="W70" s="8">
        <v>40.46</v>
      </c>
      <c r="X70" s="8">
        <v>27.2</v>
      </c>
      <c r="Y70" s="8">
        <v>14.47</v>
      </c>
      <c r="Z70" s="8">
        <v>17.1428566</v>
      </c>
      <c r="AA70" s="8">
        <v>-0.92</v>
      </c>
      <c r="AB70" s="8">
        <v>-0.91</v>
      </c>
      <c r="AC70" s="8">
        <v>-0.57</v>
      </c>
      <c r="AD70" s="8">
        <v>-0.77</v>
      </c>
      <c r="AE70" s="8">
        <v>38.92</v>
      </c>
      <c r="AF70" s="8">
        <v>0.11</v>
      </c>
      <c r="AG70" s="8">
        <v>0.99</v>
      </c>
    </row>
    <row r="71" ht="16.5" customHeight="1">
      <c r="A71" s="8" t="s">
        <v>36</v>
      </c>
      <c r="B71" s="7">
        <v>2021.0</v>
      </c>
      <c r="C71" s="8">
        <v>4.16E11</v>
      </c>
      <c r="D71" s="8">
        <v>6.94</v>
      </c>
      <c r="E71" s="8">
        <v>2457.96</v>
      </c>
      <c r="F71" s="8">
        <v>5.82</v>
      </c>
      <c r="G71" s="8">
        <v>5.55</v>
      </c>
      <c r="H71" s="8">
        <v>0.41</v>
      </c>
      <c r="I71" s="8">
        <v>27.72</v>
      </c>
      <c r="J71" s="8">
        <v>33.71</v>
      </c>
      <c r="K71" s="8">
        <v>1.69356251E8</v>
      </c>
      <c r="L71" s="8">
        <v>1.15</v>
      </c>
      <c r="M71" s="8">
        <v>2.7</v>
      </c>
      <c r="N71" s="8">
        <v>72.38</v>
      </c>
      <c r="O71" s="8">
        <v>24.9</v>
      </c>
      <c r="P71" s="8">
        <v>76.0</v>
      </c>
      <c r="Q71" s="8">
        <v>115.45</v>
      </c>
      <c r="R71" s="8">
        <v>38.95</v>
      </c>
      <c r="S71" s="8">
        <v>99.0</v>
      </c>
      <c r="T71" s="8">
        <v>98.03</v>
      </c>
      <c r="U71" s="8">
        <v>57.94</v>
      </c>
      <c r="V71" s="8">
        <v>0.62</v>
      </c>
      <c r="W71" s="8">
        <v>40.46</v>
      </c>
      <c r="X71" s="8">
        <v>25.0</v>
      </c>
      <c r="Y71" s="8">
        <v>22.14</v>
      </c>
      <c r="Z71" s="8">
        <v>18.09523773</v>
      </c>
      <c r="AA71" s="8">
        <v>-1.04</v>
      </c>
      <c r="AB71" s="8">
        <v>-0.85</v>
      </c>
      <c r="AC71" s="8">
        <v>-0.63</v>
      </c>
      <c r="AD71" s="8">
        <v>-0.75</v>
      </c>
      <c r="AE71" s="8">
        <v>41.62</v>
      </c>
      <c r="AF71" s="8">
        <v>0.11</v>
      </c>
      <c r="AG71" s="8">
        <v>0.99</v>
      </c>
    </row>
    <row r="72" ht="16.5" customHeight="1">
      <c r="A72" s="8" t="s">
        <v>36</v>
      </c>
      <c r="B72" s="7">
        <v>2022.0</v>
      </c>
      <c r="C72" s="8">
        <v>4.6E11</v>
      </c>
      <c r="D72" s="8">
        <v>7.1</v>
      </c>
      <c r="E72" s="8">
        <v>2687.9</v>
      </c>
      <c r="F72" s="8">
        <v>5.25</v>
      </c>
      <c r="G72" s="8">
        <v>7.7</v>
      </c>
      <c r="H72" s="8">
        <v>0.36</v>
      </c>
      <c r="I72" s="8">
        <v>33.78</v>
      </c>
      <c r="J72" s="8">
        <v>33.4</v>
      </c>
      <c r="K72" s="8">
        <v>1.71186372E8</v>
      </c>
      <c r="L72" s="8">
        <v>1.07</v>
      </c>
      <c r="M72" s="8">
        <v>5.0</v>
      </c>
      <c r="N72" s="8">
        <v>73.7</v>
      </c>
      <c r="O72" s="8">
        <v>24.1</v>
      </c>
      <c r="P72" s="8">
        <v>22.0</v>
      </c>
      <c r="Q72" s="8">
        <v>117.66</v>
      </c>
      <c r="R72" s="8">
        <v>39.71</v>
      </c>
      <c r="S72" s="8">
        <v>99.4</v>
      </c>
      <c r="T72" s="8">
        <v>98.1</v>
      </c>
      <c r="U72" s="8">
        <v>59.3</v>
      </c>
      <c r="V72" s="8">
        <v>0.64</v>
      </c>
      <c r="W72" s="8">
        <v>40.46</v>
      </c>
      <c r="X72" s="8">
        <v>44.0</v>
      </c>
      <c r="Y72" s="8">
        <v>22.14</v>
      </c>
      <c r="Z72" s="8">
        <v>15.56603813</v>
      </c>
      <c r="AA72" s="8">
        <v>-1.09</v>
      </c>
      <c r="AB72" s="8">
        <v>-0.93</v>
      </c>
      <c r="AC72" s="8">
        <v>-0.6</v>
      </c>
      <c r="AD72" s="8">
        <v>-0.46</v>
      </c>
      <c r="AE72" s="8">
        <v>44.5</v>
      </c>
      <c r="AF72" s="8">
        <v>0.11</v>
      </c>
      <c r="AG72" s="8">
        <v>0.99</v>
      </c>
    </row>
    <row r="73" ht="16.5" customHeight="1">
      <c r="A73" s="8" t="s">
        <v>36</v>
      </c>
      <c r="B73" s="7">
        <v>2023.0</v>
      </c>
      <c r="C73" s="8">
        <v>4.37E11</v>
      </c>
      <c r="D73" s="8">
        <v>5.78</v>
      </c>
      <c r="E73" s="8">
        <v>2529.08</v>
      </c>
      <c r="F73" s="8">
        <v>5.06</v>
      </c>
      <c r="G73" s="8">
        <v>9.88</v>
      </c>
      <c r="H73" s="8">
        <v>0.32</v>
      </c>
      <c r="I73" s="8">
        <v>30.98</v>
      </c>
      <c r="J73" s="8">
        <v>33.71</v>
      </c>
      <c r="K73" s="8">
        <v>1.72954319E8</v>
      </c>
      <c r="L73" s="8">
        <v>1.03</v>
      </c>
      <c r="M73" s="8">
        <v>2.7</v>
      </c>
      <c r="N73" s="9">
        <v>67.62</v>
      </c>
      <c r="O73" s="8">
        <v>37.5</v>
      </c>
      <c r="P73" s="8">
        <v>22.0</v>
      </c>
      <c r="Q73" s="8">
        <v>111.6</v>
      </c>
      <c r="R73" s="8">
        <v>40.47</v>
      </c>
      <c r="S73" s="8">
        <v>73.2</v>
      </c>
      <c r="T73" s="8">
        <v>82.3</v>
      </c>
      <c r="U73" s="8">
        <v>55.23</v>
      </c>
      <c r="V73" s="8">
        <v>1.05</v>
      </c>
      <c r="W73" s="8">
        <v>61.51</v>
      </c>
      <c r="X73" s="8">
        <v>44.0</v>
      </c>
      <c r="Y73" s="8">
        <v>22.73</v>
      </c>
      <c r="Z73" s="8">
        <v>33.95</v>
      </c>
      <c r="AA73" s="8">
        <v>-0.69</v>
      </c>
      <c r="AB73" s="8">
        <v>-0.58</v>
      </c>
      <c r="AC73" s="8">
        <v>-0.89</v>
      </c>
      <c r="AD73" s="8">
        <v>0.35</v>
      </c>
      <c r="AE73" s="8">
        <v>0.53</v>
      </c>
      <c r="AF73" s="8">
        <v>0.11</v>
      </c>
      <c r="AG73" s="8">
        <v>0.99</v>
      </c>
    </row>
    <row r="74" ht="16.5" customHeight="1">
      <c r="A74" s="8" t="s">
        <v>37</v>
      </c>
      <c r="B74" s="7">
        <v>2000.0</v>
      </c>
      <c r="C74" s="8">
        <v>4.68E11</v>
      </c>
      <c r="D74" s="8">
        <v>3.84</v>
      </c>
      <c r="E74" s="8">
        <v>442.04</v>
      </c>
      <c r="F74" s="8">
        <v>7.86</v>
      </c>
      <c r="G74" s="8">
        <v>4.01</v>
      </c>
      <c r="H74" s="8">
        <v>0.77</v>
      </c>
      <c r="I74" s="8">
        <v>26.9</v>
      </c>
      <c r="J74" s="8">
        <v>33.71</v>
      </c>
      <c r="K74" s="8">
        <v>1.059633675E9</v>
      </c>
      <c r="L74" s="8">
        <v>1.82</v>
      </c>
      <c r="M74" s="8">
        <v>2.7</v>
      </c>
      <c r="N74" s="8">
        <v>62.67</v>
      </c>
      <c r="O74" s="8">
        <v>66.4</v>
      </c>
      <c r="P74" s="8">
        <v>22.0</v>
      </c>
      <c r="Q74" s="8">
        <v>94.0</v>
      </c>
      <c r="R74" s="8">
        <v>27.67</v>
      </c>
      <c r="S74" s="8">
        <v>60.3</v>
      </c>
      <c r="T74" s="8">
        <v>79.88</v>
      </c>
      <c r="U74" s="8">
        <v>14.09</v>
      </c>
      <c r="V74" s="8">
        <v>0.94</v>
      </c>
      <c r="W74" s="8">
        <v>61.91</v>
      </c>
      <c r="X74" s="8">
        <v>46.9</v>
      </c>
      <c r="Y74" s="8">
        <v>22.8</v>
      </c>
      <c r="Z74" s="8">
        <v>43.61701965</v>
      </c>
      <c r="AA74" s="8">
        <v>-1.0</v>
      </c>
      <c r="AB74" s="8">
        <v>-0.16</v>
      </c>
      <c r="AC74" s="8">
        <v>0.35</v>
      </c>
      <c r="AD74" s="8">
        <v>-0.46</v>
      </c>
      <c r="AE74" s="8">
        <v>0.66</v>
      </c>
      <c r="AF74" s="8">
        <v>0.76</v>
      </c>
      <c r="AG74" s="8">
        <v>0.99</v>
      </c>
    </row>
    <row r="75" ht="16.5" customHeight="1">
      <c r="A75" s="8" t="s">
        <v>37</v>
      </c>
      <c r="B75" s="7">
        <v>2001.0</v>
      </c>
      <c r="C75" s="8">
        <v>4.85E11</v>
      </c>
      <c r="D75" s="8">
        <v>4.82</v>
      </c>
      <c r="E75" s="8">
        <v>449.91</v>
      </c>
      <c r="F75" s="8">
        <v>8.04</v>
      </c>
      <c r="G75" s="8">
        <v>3.78</v>
      </c>
      <c r="H75" s="8">
        <v>1.06</v>
      </c>
      <c r="I75" s="8">
        <v>25.99</v>
      </c>
      <c r="J75" s="8">
        <v>33.71</v>
      </c>
      <c r="K75" s="8">
        <v>1.078970907E9</v>
      </c>
      <c r="L75" s="8">
        <v>1.81</v>
      </c>
      <c r="M75" s="8">
        <v>2.7</v>
      </c>
      <c r="N75" s="8">
        <v>63.09</v>
      </c>
      <c r="O75" s="8">
        <v>64.5</v>
      </c>
      <c r="P75" s="8">
        <v>61.0</v>
      </c>
      <c r="Q75" s="8">
        <v>99.0</v>
      </c>
      <c r="R75" s="8">
        <v>27.92</v>
      </c>
      <c r="S75" s="8">
        <v>62.0</v>
      </c>
      <c r="T75" s="8">
        <v>80.49</v>
      </c>
      <c r="U75" s="8">
        <v>16.72</v>
      </c>
      <c r="V75" s="8">
        <v>0.94</v>
      </c>
      <c r="W75" s="8">
        <v>62.37</v>
      </c>
      <c r="X75" s="8">
        <v>47.1</v>
      </c>
      <c r="Y75" s="8">
        <v>22.86</v>
      </c>
      <c r="Z75" s="8">
        <v>33.95</v>
      </c>
      <c r="AA75" s="8">
        <v>-0.69</v>
      </c>
      <c r="AB75" s="8">
        <v>-0.58</v>
      </c>
      <c r="AC75" s="8">
        <v>-0.89</v>
      </c>
      <c r="AD75" s="8">
        <v>0.43</v>
      </c>
      <c r="AE75" s="8">
        <v>1.54</v>
      </c>
      <c r="AF75" s="8">
        <v>0.74</v>
      </c>
      <c r="AG75" s="8">
        <v>0.99</v>
      </c>
    </row>
    <row r="76" ht="16.5" customHeight="1">
      <c r="A76" s="8" t="s">
        <v>37</v>
      </c>
      <c r="B76" s="7">
        <v>2002.0</v>
      </c>
      <c r="C76" s="8">
        <v>5.15E11</v>
      </c>
      <c r="D76" s="8">
        <v>3.8</v>
      </c>
      <c r="E76" s="8">
        <v>468.85</v>
      </c>
      <c r="F76" s="8">
        <v>8.25</v>
      </c>
      <c r="G76" s="8">
        <v>4.3</v>
      </c>
      <c r="H76" s="8">
        <v>1.01</v>
      </c>
      <c r="I76" s="8">
        <v>29.51</v>
      </c>
      <c r="J76" s="8">
        <v>33.71</v>
      </c>
      <c r="K76" s="8">
        <v>1.098313039E9</v>
      </c>
      <c r="L76" s="8">
        <v>1.78</v>
      </c>
      <c r="M76" s="8">
        <v>2.7</v>
      </c>
      <c r="N76" s="8">
        <v>63.62</v>
      </c>
      <c r="O76" s="8">
        <v>62.6</v>
      </c>
      <c r="P76" s="8">
        <v>22.0</v>
      </c>
      <c r="Q76" s="8">
        <v>98.07</v>
      </c>
      <c r="R76" s="8">
        <v>28.24</v>
      </c>
      <c r="S76" s="8">
        <v>62.3</v>
      </c>
      <c r="T76" s="8">
        <v>81.13</v>
      </c>
      <c r="U76" s="8">
        <v>19.54</v>
      </c>
      <c r="V76" s="8">
        <v>0.96</v>
      </c>
      <c r="W76" s="8">
        <v>62.77</v>
      </c>
      <c r="X76" s="8">
        <v>45.8</v>
      </c>
      <c r="Y76" s="8">
        <v>22.93</v>
      </c>
      <c r="Z76" s="8">
        <v>36.50793839</v>
      </c>
      <c r="AA76" s="8">
        <v>-1.21</v>
      </c>
      <c r="AB76" s="8">
        <v>-0.38</v>
      </c>
      <c r="AC76" s="8">
        <v>-0.02</v>
      </c>
      <c r="AD76" s="8">
        <v>0.45</v>
      </c>
      <c r="AE76" s="8">
        <v>1.69</v>
      </c>
      <c r="AF76" s="8">
        <v>0.73</v>
      </c>
      <c r="AG76" s="8">
        <v>0.99</v>
      </c>
    </row>
    <row r="77" ht="16.5" customHeight="1">
      <c r="A77" s="8" t="s">
        <v>37</v>
      </c>
      <c r="B77" s="7">
        <v>2003.0</v>
      </c>
      <c r="C77" s="8">
        <v>6.08E11</v>
      </c>
      <c r="D77" s="8">
        <v>7.86</v>
      </c>
      <c r="E77" s="8">
        <v>543.85</v>
      </c>
      <c r="F77" s="8">
        <v>8.4</v>
      </c>
      <c r="G77" s="8">
        <v>3.81</v>
      </c>
      <c r="H77" s="8">
        <v>0.61</v>
      </c>
      <c r="I77" s="8">
        <v>30.59</v>
      </c>
      <c r="J77" s="8">
        <v>33.71</v>
      </c>
      <c r="K77" s="8">
        <v>1.117415123E9</v>
      </c>
      <c r="L77" s="8">
        <v>1.72</v>
      </c>
      <c r="M77" s="8">
        <v>2.7</v>
      </c>
      <c r="N77" s="8">
        <v>64.09</v>
      </c>
      <c r="O77" s="8">
        <v>60.6</v>
      </c>
      <c r="P77" s="8">
        <v>22.0</v>
      </c>
      <c r="Q77" s="8">
        <v>106.22</v>
      </c>
      <c r="R77" s="8">
        <v>28.57</v>
      </c>
      <c r="S77" s="8">
        <v>65.4</v>
      </c>
      <c r="T77" s="8">
        <v>81.77</v>
      </c>
      <c r="U77" s="8">
        <v>22.37</v>
      </c>
      <c r="V77" s="8">
        <v>0.97</v>
      </c>
      <c r="W77" s="8">
        <v>62.95</v>
      </c>
      <c r="X77" s="8">
        <v>45.6</v>
      </c>
      <c r="Y77" s="8">
        <v>22.99</v>
      </c>
      <c r="Z77" s="8">
        <v>40.74074173</v>
      </c>
      <c r="AA77" s="8">
        <v>-1.51</v>
      </c>
      <c r="AB77" s="8">
        <v>-0.38</v>
      </c>
      <c r="AC77" s="8">
        <v>0.12</v>
      </c>
      <c r="AD77" s="8">
        <v>0.4</v>
      </c>
      <c r="AE77" s="8">
        <v>1.98</v>
      </c>
      <c r="AF77" s="8">
        <v>0.72</v>
      </c>
      <c r="AG77" s="8">
        <v>0.99</v>
      </c>
    </row>
    <row r="78" ht="16.5" customHeight="1">
      <c r="A78" s="8" t="s">
        <v>37</v>
      </c>
      <c r="B78" s="7">
        <v>2004.0</v>
      </c>
      <c r="C78" s="8">
        <v>7.09E11</v>
      </c>
      <c r="D78" s="8">
        <v>7.92</v>
      </c>
      <c r="E78" s="8">
        <v>624.11</v>
      </c>
      <c r="F78" s="8">
        <v>8.55</v>
      </c>
      <c r="G78" s="8">
        <v>3.77</v>
      </c>
      <c r="H78" s="8">
        <v>0.77</v>
      </c>
      <c r="I78" s="8">
        <v>37.5</v>
      </c>
      <c r="J78" s="8">
        <v>34.0</v>
      </c>
      <c r="K78" s="8">
        <v>1.136264583E9</v>
      </c>
      <c r="L78" s="8">
        <v>1.67</v>
      </c>
      <c r="M78" s="8">
        <v>40.6</v>
      </c>
      <c r="N78" s="8">
        <v>64.52</v>
      </c>
      <c r="O78" s="8">
        <v>58.7</v>
      </c>
      <c r="P78" s="8">
        <v>22.0</v>
      </c>
      <c r="Q78" s="8">
        <v>88.12</v>
      </c>
      <c r="R78" s="8">
        <v>28.9</v>
      </c>
      <c r="S78" s="8">
        <v>64.4</v>
      </c>
      <c r="T78" s="8">
        <v>82.4</v>
      </c>
      <c r="U78" s="8">
        <v>25.22</v>
      </c>
      <c r="V78" s="8">
        <v>1.03</v>
      </c>
      <c r="W78" s="8">
        <v>62.77</v>
      </c>
      <c r="X78" s="8">
        <v>44.9</v>
      </c>
      <c r="Y78" s="8">
        <v>23.05</v>
      </c>
      <c r="Z78" s="8">
        <v>37.93103409</v>
      </c>
      <c r="AA78" s="8">
        <v>-1.28</v>
      </c>
      <c r="AB78" s="8">
        <v>-0.38</v>
      </c>
      <c r="AC78" s="8">
        <v>0.05</v>
      </c>
      <c r="AD78" s="8">
        <v>0.41</v>
      </c>
      <c r="AE78" s="8">
        <v>2.39</v>
      </c>
      <c r="AF78" s="8">
        <v>0.76</v>
      </c>
      <c r="AG78" s="8">
        <v>0.99</v>
      </c>
    </row>
    <row r="79" ht="16.5" customHeight="1">
      <c r="A79" s="8" t="s">
        <v>37</v>
      </c>
      <c r="B79" s="7">
        <v>2005.0</v>
      </c>
      <c r="C79" s="8">
        <v>8.2E11</v>
      </c>
      <c r="D79" s="8">
        <v>7.92</v>
      </c>
      <c r="E79" s="8">
        <v>710.51</v>
      </c>
      <c r="F79" s="8">
        <v>8.7</v>
      </c>
      <c r="G79" s="8">
        <v>4.25</v>
      </c>
      <c r="H79" s="8">
        <v>0.89</v>
      </c>
      <c r="I79" s="8">
        <v>42.0</v>
      </c>
      <c r="J79" s="8">
        <v>33.71</v>
      </c>
      <c r="K79" s="8">
        <v>1.154638713E9</v>
      </c>
      <c r="L79" s="8">
        <v>1.6</v>
      </c>
      <c r="M79" s="8">
        <v>2.7</v>
      </c>
      <c r="N79" s="8">
        <v>65.0</v>
      </c>
      <c r="O79" s="8">
        <v>56.8</v>
      </c>
      <c r="P79" s="8">
        <v>22.0</v>
      </c>
      <c r="Q79" s="8">
        <v>88.12</v>
      </c>
      <c r="R79" s="8">
        <v>29.24</v>
      </c>
      <c r="S79" s="8">
        <v>68.8</v>
      </c>
      <c r="T79" s="8">
        <v>83.04</v>
      </c>
      <c r="U79" s="8">
        <v>28.09</v>
      </c>
      <c r="V79" s="8">
        <v>1.05</v>
      </c>
      <c r="W79" s="8">
        <v>61.2</v>
      </c>
      <c r="X79" s="8">
        <v>44.2</v>
      </c>
      <c r="Y79" s="8">
        <v>23.12</v>
      </c>
      <c r="Z79" s="8">
        <v>44.87804794</v>
      </c>
      <c r="AA79" s="8">
        <v>-1.01</v>
      </c>
      <c r="AB79" s="8">
        <v>-0.29</v>
      </c>
      <c r="AC79" s="8">
        <v>0.13</v>
      </c>
      <c r="AD79" s="8">
        <v>0.44</v>
      </c>
      <c r="AE79" s="8">
        <v>2.81</v>
      </c>
      <c r="AF79" s="8">
        <v>0.82</v>
      </c>
      <c r="AG79" s="8">
        <v>0.99</v>
      </c>
    </row>
    <row r="80" ht="16.5" customHeight="1">
      <c r="A80" s="8" t="s">
        <v>37</v>
      </c>
      <c r="B80" s="7">
        <v>2006.0</v>
      </c>
      <c r="C80" s="8">
        <v>9.4E11</v>
      </c>
      <c r="D80" s="8">
        <v>8.06</v>
      </c>
      <c r="E80" s="8">
        <v>802.01</v>
      </c>
      <c r="F80" s="8">
        <v>8.61</v>
      </c>
      <c r="G80" s="8">
        <v>5.8</v>
      </c>
      <c r="H80" s="8">
        <v>2.13</v>
      </c>
      <c r="I80" s="8">
        <v>45.72</v>
      </c>
      <c r="J80" s="8">
        <v>33.71</v>
      </c>
      <c r="K80" s="8">
        <v>1.172373788E9</v>
      </c>
      <c r="L80" s="8">
        <v>1.52</v>
      </c>
      <c r="M80" s="8">
        <v>2.7</v>
      </c>
      <c r="N80" s="8">
        <v>65.41</v>
      </c>
      <c r="O80" s="8">
        <v>54.8</v>
      </c>
      <c r="P80" s="8">
        <v>63.0</v>
      </c>
      <c r="Q80" s="8">
        <v>88.12</v>
      </c>
      <c r="R80" s="8">
        <v>29.57</v>
      </c>
      <c r="S80" s="8">
        <v>67.9</v>
      </c>
      <c r="T80" s="8">
        <v>83.67</v>
      </c>
      <c r="U80" s="8">
        <v>30.98</v>
      </c>
      <c r="V80" s="8">
        <v>1.11</v>
      </c>
      <c r="W80" s="8">
        <v>58.02</v>
      </c>
      <c r="X80" s="8">
        <v>43.2</v>
      </c>
      <c r="Y80" s="8">
        <v>23.18</v>
      </c>
      <c r="Z80" s="8">
        <v>47.31707382</v>
      </c>
      <c r="AA80" s="8">
        <v>-1.07</v>
      </c>
      <c r="AB80" s="8">
        <v>-0.28</v>
      </c>
      <c r="AC80" s="8">
        <v>0.18</v>
      </c>
      <c r="AD80" s="8">
        <v>0.45</v>
      </c>
      <c r="AE80" s="8">
        <v>3.95</v>
      </c>
      <c r="AF80" s="8">
        <v>0.8</v>
      </c>
      <c r="AG80" s="8">
        <v>0.99</v>
      </c>
    </row>
    <row r="81" ht="16.5" customHeight="1">
      <c r="A81" s="8" t="s">
        <v>37</v>
      </c>
      <c r="B81" s="7">
        <v>2007.0</v>
      </c>
      <c r="C81" s="8">
        <v>1.22E12</v>
      </c>
      <c r="D81" s="8">
        <v>7.66</v>
      </c>
      <c r="E81" s="8">
        <v>1022.73</v>
      </c>
      <c r="F81" s="8">
        <v>8.53</v>
      </c>
      <c r="G81" s="8">
        <v>6.37</v>
      </c>
      <c r="H81" s="8">
        <v>2.07</v>
      </c>
      <c r="I81" s="8">
        <v>45.69</v>
      </c>
      <c r="J81" s="8">
        <v>33.71</v>
      </c>
      <c r="K81" s="8">
        <v>1.189691809E9</v>
      </c>
      <c r="L81" s="8">
        <v>1.47</v>
      </c>
      <c r="M81" s="8">
        <v>2.7</v>
      </c>
      <c r="N81" s="8">
        <v>65.79</v>
      </c>
      <c r="O81" s="8">
        <v>52.8</v>
      </c>
      <c r="P81" s="8">
        <v>22.0</v>
      </c>
      <c r="Q81" s="8">
        <v>114.11</v>
      </c>
      <c r="R81" s="8">
        <v>29.91</v>
      </c>
      <c r="S81" s="8">
        <v>72.3</v>
      </c>
      <c r="T81" s="8">
        <v>84.29</v>
      </c>
      <c r="U81" s="8">
        <v>33.88</v>
      </c>
      <c r="V81" s="8">
        <v>1.19</v>
      </c>
      <c r="W81" s="8">
        <v>54.37</v>
      </c>
      <c r="X81" s="8">
        <v>41.5</v>
      </c>
      <c r="Y81" s="8">
        <v>23.25</v>
      </c>
      <c r="Z81" s="8">
        <v>41.26213455</v>
      </c>
      <c r="AA81" s="8">
        <v>-1.15</v>
      </c>
      <c r="AB81" s="8">
        <v>-0.31</v>
      </c>
      <c r="AC81" s="8">
        <v>0.1</v>
      </c>
      <c r="AD81" s="8">
        <v>0.46</v>
      </c>
      <c r="AE81" s="8">
        <v>4.38</v>
      </c>
      <c r="AF81" s="8">
        <v>0.81</v>
      </c>
      <c r="AG81" s="8">
        <v>0.99</v>
      </c>
    </row>
    <row r="82" ht="16.5" customHeight="1">
      <c r="A82" s="8" t="s">
        <v>37</v>
      </c>
      <c r="B82" s="7">
        <v>2008.0</v>
      </c>
      <c r="C82" s="8">
        <v>1.2E12</v>
      </c>
      <c r="D82" s="8">
        <v>3.09</v>
      </c>
      <c r="E82" s="8">
        <v>993.5</v>
      </c>
      <c r="F82" s="8">
        <v>8.49</v>
      </c>
      <c r="G82" s="8">
        <v>8.35</v>
      </c>
      <c r="H82" s="8">
        <v>3.62</v>
      </c>
      <c r="I82" s="8">
        <v>53.37</v>
      </c>
      <c r="J82" s="8">
        <v>33.71</v>
      </c>
      <c r="K82" s="8">
        <v>1.206734806E9</v>
      </c>
      <c r="L82" s="8">
        <v>1.42</v>
      </c>
      <c r="M82" s="8">
        <v>2.7</v>
      </c>
      <c r="N82" s="8">
        <v>66.15</v>
      </c>
      <c r="O82" s="8">
        <v>50.8</v>
      </c>
      <c r="P82" s="8">
        <v>22.0</v>
      </c>
      <c r="Q82" s="8">
        <v>114.63</v>
      </c>
      <c r="R82" s="8">
        <v>30.25</v>
      </c>
      <c r="S82" s="8">
        <v>74.1</v>
      </c>
      <c r="T82" s="8">
        <v>84.91</v>
      </c>
      <c r="U82" s="8">
        <v>36.81</v>
      </c>
      <c r="V82" s="8">
        <v>1.25</v>
      </c>
      <c r="W82" s="8">
        <v>51.35</v>
      </c>
      <c r="X82" s="8">
        <v>39.4</v>
      </c>
      <c r="Y82" s="8">
        <v>23.31</v>
      </c>
      <c r="Z82" s="8">
        <v>43.68931961</v>
      </c>
      <c r="AA82" s="8">
        <v>-1.11</v>
      </c>
      <c r="AB82" s="8">
        <v>-0.41</v>
      </c>
      <c r="AC82" s="8">
        <v>0.1</v>
      </c>
      <c r="AD82" s="8">
        <v>0.46</v>
      </c>
      <c r="AE82" s="8">
        <v>5.12</v>
      </c>
      <c r="AF82" s="8">
        <v>0.86</v>
      </c>
      <c r="AG82" s="8">
        <v>9.57</v>
      </c>
    </row>
    <row r="83" ht="16.5" customHeight="1">
      <c r="A83" s="8" t="s">
        <v>37</v>
      </c>
      <c r="B83" s="7">
        <v>2009.0</v>
      </c>
      <c r="C83" s="8">
        <v>1.34E12</v>
      </c>
      <c r="D83" s="8">
        <v>7.86</v>
      </c>
      <c r="E83" s="8">
        <v>1096.64</v>
      </c>
      <c r="F83" s="8">
        <v>8.41</v>
      </c>
      <c r="G83" s="8">
        <v>10.88</v>
      </c>
      <c r="H83" s="8">
        <v>2.65</v>
      </c>
      <c r="I83" s="8">
        <v>46.27</v>
      </c>
      <c r="J83" s="8">
        <v>34.9</v>
      </c>
      <c r="K83" s="8">
        <v>1.22364016E9</v>
      </c>
      <c r="L83" s="8">
        <v>1.39</v>
      </c>
      <c r="M83" s="8">
        <v>33.5</v>
      </c>
      <c r="N83" s="8">
        <v>66.51</v>
      </c>
      <c r="O83" s="8">
        <v>48.7</v>
      </c>
      <c r="P83" s="8">
        <v>22.0</v>
      </c>
      <c r="Q83" s="8">
        <v>113.05</v>
      </c>
      <c r="R83" s="8">
        <v>30.59</v>
      </c>
      <c r="S83" s="8">
        <v>75.0</v>
      </c>
      <c r="T83" s="8">
        <v>85.53</v>
      </c>
      <c r="U83" s="8">
        <v>39.75</v>
      </c>
      <c r="V83" s="8">
        <v>1.34</v>
      </c>
      <c r="W83" s="8">
        <v>50.1</v>
      </c>
      <c r="X83" s="8">
        <v>37.4</v>
      </c>
      <c r="Y83" s="8">
        <v>23.37</v>
      </c>
      <c r="Z83" s="8">
        <v>39.23445129</v>
      </c>
      <c r="AA83" s="8">
        <v>-1.36</v>
      </c>
      <c r="AB83" s="8">
        <v>-0.35</v>
      </c>
      <c r="AC83" s="8">
        <v>0.02</v>
      </c>
      <c r="AD83" s="8">
        <v>0.44</v>
      </c>
      <c r="AE83" s="8">
        <v>7.5</v>
      </c>
      <c r="AF83" s="8">
        <v>0.83</v>
      </c>
      <c r="AG83" s="8">
        <v>7.72</v>
      </c>
    </row>
    <row r="84" ht="16.5" customHeight="1">
      <c r="A84" s="8" t="s">
        <v>37</v>
      </c>
      <c r="B84" s="7">
        <v>2010.0</v>
      </c>
      <c r="C84" s="8">
        <v>1.68E12</v>
      </c>
      <c r="D84" s="8">
        <v>8.5</v>
      </c>
      <c r="E84" s="8">
        <v>1350.63</v>
      </c>
      <c r="F84" s="8">
        <v>8.32</v>
      </c>
      <c r="G84" s="8">
        <v>11.99</v>
      </c>
      <c r="H84" s="8">
        <v>1.64</v>
      </c>
      <c r="I84" s="8">
        <v>49.26</v>
      </c>
      <c r="J84" s="8">
        <v>33.71</v>
      </c>
      <c r="K84" s="8">
        <v>1.24061362E9</v>
      </c>
      <c r="L84" s="8">
        <v>1.38</v>
      </c>
      <c r="M84" s="8">
        <v>2.7</v>
      </c>
      <c r="N84" s="8">
        <v>66.91</v>
      </c>
      <c r="O84" s="8">
        <v>46.7</v>
      </c>
      <c r="P84" s="8">
        <v>22.0</v>
      </c>
      <c r="Q84" s="8">
        <v>112.53</v>
      </c>
      <c r="R84" s="8">
        <v>30.93</v>
      </c>
      <c r="S84" s="8">
        <v>76.3</v>
      </c>
      <c r="T84" s="8">
        <v>86.15</v>
      </c>
      <c r="U84" s="8">
        <v>42.71</v>
      </c>
      <c r="V84" s="8">
        <v>1.41</v>
      </c>
      <c r="W84" s="8">
        <v>61.71</v>
      </c>
      <c r="X84" s="8">
        <v>36.2</v>
      </c>
      <c r="Y84" s="8">
        <v>23.46</v>
      </c>
      <c r="Z84" s="8">
        <v>39.04761887</v>
      </c>
      <c r="AA84" s="8">
        <v>-1.28</v>
      </c>
      <c r="AB84" s="8">
        <v>-0.41</v>
      </c>
      <c r="AC84" s="8">
        <v>-0.04</v>
      </c>
      <c r="AD84" s="8">
        <v>0.44</v>
      </c>
      <c r="AE84" s="8">
        <v>10.07</v>
      </c>
      <c r="AF84" s="8">
        <v>0.79</v>
      </c>
      <c r="AG84" s="8">
        <v>7.87</v>
      </c>
    </row>
    <row r="85" ht="16.5" customHeight="1">
      <c r="A85" s="8" t="s">
        <v>37</v>
      </c>
      <c r="B85" s="7">
        <v>2011.0</v>
      </c>
      <c r="C85" s="8">
        <v>1.82E12</v>
      </c>
      <c r="D85" s="8">
        <v>5.24</v>
      </c>
      <c r="E85" s="8">
        <v>1449.6</v>
      </c>
      <c r="F85" s="8">
        <v>8.22</v>
      </c>
      <c r="G85" s="8">
        <v>8.91</v>
      </c>
      <c r="H85" s="8">
        <v>2.0</v>
      </c>
      <c r="I85" s="8">
        <v>55.62</v>
      </c>
      <c r="J85" s="8">
        <v>35.4</v>
      </c>
      <c r="K85" s="8">
        <v>1.257621191E9</v>
      </c>
      <c r="L85" s="8">
        <v>1.36</v>
      </c>
      <c r="M85" s="8">
        <v>22.9</v>
      </c>
      <c r="N85" s="8">
        <v>67.36</v>
      </c>
      <c r="O85" s="8">
        <v>44.6</v>
      </c>
      <c r="P85" s="8">
        <v>69.0</v>
      </c>
      <c r="Q85" s="8">
        <v>109.71</v>
      </c>
      <c r="R85" s="8">
        <v>31.28</v>
      </c>
      <c r="S85" s="8">
        <v>79.5</v>
      </c>
      <c r="T85" s="8">
        <v>86.76</v>
      </c>
      <c r="U85" s="8">
        <v>45.68</v>
      </c>
      <c r="V85" s="8">
        <v>1.47</v>
      </c>
      <c r="W85" s="8">
        <v>74.0</v>
      </c>
      <c r="X85" s="8">
        <v>35.0</v>
      </c>
      <c r="Y85" s="8">
        <v>23.55</v>
      </c>
      <c r="Z85" s="8">
        <v>35.54502487</v>
      </c>
      <c r="AA85" s="8">
        <v>-1.33</v>
      </c>
      <c r="AB85" s="8">
        <v>-0.36</v>
      </c>
      <c r="AC85" s="8">
        <v>-0.09</v>
      </c>
      <c r="AD85" s="8">
        <v>0.4</v>
      </c>
      <c r="AE85" s="8">
        <v>11.1</v>
      </c>
      <c r="AF85" s="8">
        <v>0.76</v>
      </c>
      <c r="AG85" s="8">
        <v>7.7</v>
      </c>
    </row>
    <row r="86" ht="16.5" customHeight="1">
      <c r="A86" s="8" t="s">
        <v>37</v>
      </c>
      <c r="B86" s="7">
        <v>2012.0</v>
      </c>
      <c r="C86" s="8">
        <v>1.83E12</v>
      </c>
      <c r="D86" s="8">
        <v>5.46</v>
      </c>
      <c r="E86" s="8">
        <v>1434.02</v>
      </c>
      <c r="F86" s="8">
        <v>8.16</v>
      </c>
      <c r="G86" s="8">
        <v>9.48</v>
      </c>
      <c r="H86" s="8">
        <v>1.31</v>
      </c>
      <c r="I86" s="8">
        <v>55.79</v>
      </c>
      <c r="J86" s="8">
        <v>33.71</v>
      </c>
      <c r="K86" s="8">
        <v>1.274487215E9</v>
      </c>
      <c r="L86" s="8">
        <v>1.33</v>
      </c>
      <c r="M86" s="8">
        <v>2.7</v>
      </c>
      <c r="N86" s="8">
        <v>67.89</v>
      </c>
      <c r="O86" s="8">
        <v>42.5</v>
      </c>
      <c r="P86" s="8">
        <v>22.0</v>
      </c>
      <c r="Q86" s="8">
        <v>111.78</v>
      </c>
      <c r="R86" s="8">
        <v>31.63</v>
      </c>
      <c r="S86" s="8">
        <v>79.9</v>
      </c>
      <c r="T86" s="8">
        <v>87.37</v>
      </c>
      <c r="U86" s="8">
        <v>48.68</v>
      </c>
      <c r="V86" s="8">
        <v>1.59</v>
      </c>
      <c r="W86" s="8">
        <v>76.25</v>
      </c>
      <c r="X86" s="8">
        <v>34.8</v>
      </c>
      <c r="Y86" s="8">
        <v>23.64</v>
      </c>
      <c r="Z86" s="8">
        <v>36.4928894</v>
      </c>
      <c r="AA86" s="8">
        <v>-1.29</v>
      </c>
      <c r="AB86" s="8">
        <v>-0.48</v>
      </c>
      <c r="AC86" s="8">
        <v>-0.06</v>
      </c>
      <c r="AD86" s="8">
        <v>0.43</v>
      </c>
      <c r="AE86" s="8">
        <v>12.3</v>
      </c>
      <c r="AF86" s="8">
        <v>0.74</v>
      </c>
      <c r="AG86" s="8">
        <v>8.87</v>
      </c>
    </row>
    <row r="87" ht="16.5" customHeight="1">
      <c r="A87" s="8" t="s">
        <v>37</v>
      </c>
      <c r="B87" s="7">
        <v>2013.0</v>
      </c>
      <c r="C87" s="8">
        <v>1.86E12</v>
      </c>
      <c r="D87" s="8">
        <v>6.39</v>
      </c>
      <c r="E87" s="8">
        <v>1438.06</v>
      </c>
      <c r="F87" s="8">
        <v>8.09</v>
      </c>
      <c r="G87" s="8">
        <v>10.02</v>
      </c>
      <c r="H87" s="8">
        <v>1.52</v>
      </c>
      <c r="I87" s="8">
        <v>53.84</v>
      </c>
      <c r="J87" s="8">
        <v>33.71</v>
      </c>
      <c r="K87" s="8">
        <v>1.291132063E9</v>
      </c>
      <c r="L87" s="8">
        <v>1.3</v>
      </c>
      <c r="M87" s="8">
        <v>2.7</v>
      </c>
      <c r="N87" s="8">
        <v>68.46</v>
      </c>
      <c r="O87" s="8">
        <v>40.5</v>
      </c>
      <c r="P87" s="8">
        <v>22.0</v>
      </c>
      <c r="Q87" s="8">
        <v>113.42</v>
      </c>
      <c r="R87" s="8">
        <v>32.0</v>
      </c>
      <c r="S87" s="8">
        <v>83.1</v>
      </c>
      <c r="T87" s="8">
        <v>87.98</v>
      </c>
      <c r="U87" s="8">
        <v>51.69</v>
      </c>
      <c r="V87" s="8">
        <v>1.61</v>
      </c>
      <c r="W87" s="8">
        <v>79.04</v>
      </c>
      <c r="X87" s="8">
        <v>34.9</v>
      </c>
      <c r="Y87" s="8">
        <v>23.73</v>
      </c>
      <c r="Z87" s="8">
        <v>36.96682358</v>
      </c>
      <c r="AA87" s="8">
        <v>-1.23</v>
      </c>
      <c r="AB87" s="8">
        <v>-0.48</v>
      </c>
      <c r="AC87" s="8">
        <v>-0.05</v>
      </c>
      <c r="AD87" s="8">
        <v>0.41</v>
      </c>
      <c r="AE87" s="8">
        <v>13.5</v>
      </c>
      <c r="AF87" s="8">
        <v>0.71</v>
      </c>
      <c r="AG87" s="8">
        <v>9.22</v>
      </c>
    </row>
    <row r="88" ht="16.5" customHeight="1">
      <c r="A88" s="8" t="s">
        <v>37</v>
      </c>
      <c r="B88" s="7">
        <v>2014.0</v>
      </c>
      <c r="C88" s="8">
        <v>2.04E12</v>
      </c>
      <c r="D88" s="8">
        <v>7.41</v>
      </c>
      <c r="E88" s="8">
        <v>1559.86</v>
      </c>
      <c r="F88" s="8">
        <v>7.99</v>
      </c>
      <c r="G88" s="8">
        <v>6.67</v>
      </c>
      <c r="H88" s="8">
        <v>1.7</v>
      </c>
      <c r="I88" s="8">
        <v>48.92</v>
      </c>
      <c r="J88" s="8">
        <v>33.71</v>
      </c>
      <c r="K88" s="8">
        <v>1.307246509E9</v>
      </c>
      <c r="L88" s="8">
        <v>1.24</v>
      </c>
      <c r="M88" s="8">
        <v>2.7</v>
      </c>
      <c r="N88" s="8">
        <v>69.07</v>
      </c>
      <c r="O88" s="8">
        <v>38.5</v>
      </c>
      <c r="P88" s="8">
        <v>22.0</v>
      </c>
      <c r="Q88" s="8">
        <v>111.58</v>
      </c>
      <c r="R88" s="8">
        <v>32.38</v>
      </c>
      <c r="S88" s="8">
        <v>85.1</v>
      </c>
      <c r="T88" s="8">
        <v>88.59</v>
      </c>
      <c r="U88" s="8">
        <v>54.73</v>
      </c>
      <c r="V88" s="8">
        <v>1.72</v>
      </c>
      <c r="W88" s="8">
        <v>73.81</v>
      </c>
      <c r="X88" s="8">
        <v>33.9</v>
      </c>
      <c r="Y88" s="8">
        <v>23.82</v>
      </c>
      <c r="Z88" s="8">
        <v>39.90384674</v>
      </c>
      <c r="AA88" s="8">
        <v>-1.0</v>
      </c>
      <c r="AB88" s="8">
        <v>-0.48</v>
      </c>
      <c r="AC88" s="8">
        <v>-0.07</v>
      </c>
      <c r="AD88" s="8">
        <v>0.43</v>
      </c>
      <c r="AE88" s="8">
        <v>14.9</v>
      </c>
      <c r="AF88" s="8">
        <v>0.7</v>
      </c>
      <c r="AG88" s="8">
        <v>8.02</v>
      </c>
    </row>
    <row r="89" ht="16.5" customHeight="1">
      <c r="A89" s="8" t="s">
        <v>37</v>
      </c>
      <c r="B89" s="7">
        <v>2015.0</v>
      </c>
      <c r="C89" s="8">
        <v>2.1E12</v>
      </c>
      <c r="D89" s="8">
        <v>8.0</v>
      </c>
      <c r="E89" s="8">
        <v>1590.17</v>
      </c>
      <c r="F89" s="8">
        <v>7.89</v>
      </c>
      <c r="G89" s="8">
        <v>4.91</v>
      </c>
      <c r="H89" s="8">
        <v>2.09</v>
      </c>
      <c r="I89" s="8">
        <v>41.92</v>
      </c>
      <c r="J89" s="8">
        <v>34.7</v>
      </c>
      <c r="K89" s="8">
        <v>1.322866505E9</v>
      </c>
      <c r="L89" s="8">
        <v>1.19</v>
      </c>
      <c r="M89" s="8">
        <v>18.8</v>
      </c>
      <c r="N89" s="8">
        <v>69.64</v>
      </c>
      <c r="O89" s="8">
        <v>36.5</v>
      </c>
      <c r="P89" s="8">
        <v>22.0</v>
      </c>
      <c r="Q89" s="8">
        <v>112.94</v>
      </c>
      <c r="R89" s="8">
        <v>32.78</v>
      </c>
      <c r="S89" s="8">
        <v>88.0</v>
      </c>
      <c r="T89" s="8">
        <v>89.19</v>
      </c>
      <c r="U89" s="8">
        <v>57.78</v>
      </c>
      <c r="V89" s="8">
        <v>1.71</v>
      </c>
      <c r="W89" s="8">
        <v>75.79</v>
      </c>
      <c r="X89" s="8">
        <v>33.4</v>
      </c>
      <c r="Y89" s="8">
        <v>23.91</v>
      </c>
      <c r="Z89" s="8">
        <v>42.8571434</v>
      </c>
      <c r="AA89" s="8">
        <v>-0.95</v>
      </c>
      <c r="AB89" s="8">
        <v>-0.42</v>
      </c>
      <c r="AC89" s="8">
        <v>-0.07</v>
      </c>
      <c r="AD89" s="8">
        <v>0.44</v>
      </c>
      <c r="AE89" s="8">
        <v>16.5</v>
      </c>
      <c r="AF89" s="8">
        <v>0.69</v>
      </c>
      <c r="AG89" s="8">
        <v>7.66</v>
      </c>
    </row>
    <row r="90" ht="16.5" customHeight="1">
      <c r="A90" s="8" t="s">
        <v>37</v>
      </c>
      <c r="B90" s="7">
        <v>2016.0</v>
      </c>
      <c r="C90" s="8">
        <v>2.29E12</v>
      </c>
      <c r="D90" s="8">
        <v>8.26</v>
      </c>
      <c r="E90" s="8">
        <v>1714.28</v>
      </c>
      <c r="F90" s="8">
        <v>7.8</v>
      </c>
      <c r="G90" s="8">
        <v>4.95</v>
      </c>
      <c r="H90" s="8">
        <v>1.94</v>
      </c>
      <c r="I90" s="8">
        <v>40.08</v>
      </c>
      <c r="J90" s="8">
        <v>34.7</v>
      </c>
      <c r="K90" s="8">
        <v>1.33863634E9</v>
      </c>
      <c r="L90" s="8">
        <v>1.19</v>
      </c>
      <c r="M90" s="8">
        <v>18.1</v>
      </c>
      <c r="N90" s="8">
        <v>70.12</v>
      </c>
      <c r="O90" s="8">
        <v>34.7</v>
      </c>
      <c r="P90" s="8">
        <v>22.0</v>
      </c>
      <c r="Q90" s="8">
        <v>119.51</v>
      </c>
      <c r="R90" s="8">
        <v>33.18</v>
      </c>
      <c r="S90" s="8">
        <v>89.6</v>
      </c>
      <c r="T90" s="8">
        <v>89.79</v>
      </c>
      <c r="U90" s="8">
        <v>60.84</v>
      </c>
      <c r="V90" s="8">
        <v>1.72</v>
      </c>
      <c r="W90" s="8">
        <v>67.31</v>
      </c>
      <c r="X90" s="8">
        <v>33.0</v>
      </c>
      <c r="Y90" s="8">
        <v>24.0</v>
      </c>
      <c r="Z90" s="8">
        <v>43.80952454</v>
      </c>
      <c r="AA90" s="8">
        <v>-0.96</v>
      </c>
      <c r="AB90" s="8">
        <v>-0.31</v>
      </c>
      <c r="AC90" s="8">
        <v>-0.06</v>
      </c>
      <c r="AD90" s="8">
        <v>0.39</v>
      </c>
      <c r="AE90" s="8">
        <v>18.2</v>
      </c>
      <c r="AF90" s="8">
        <v>0.67</v>
      </c>
      <c r="AG90" s="8">
        <v>7.36</v>
      </c>
    </row>
    <row r="91" ht="16.5" customHeight="1">
      <c r="A91" s="8" t="s">
        <v>37</v>
      </c>
      <c r="B91" s="7">
        <v>2017.0</v>
      </c>
      <c r="C91" s="8">
        <v>2.65E12</v>
      </c>
      <c r="D91" s="8">
        <v>6.8</v>
      </c>
      <c r="E91" s="8">
        <v>1957.97</v>
      </c>
      <c r="F91" s="8">
        <v>7.72</v>
      </c>
      <c r="G91" s="8">
        <v>3.33</v>
      </c>
      <c r="H91" s="8">
        <v>1.51</v>
      </c>
      <c r="I91" s="8">
        <v>40.74</v>
      </c>
      <c r="J91" s="8">
        <v>35.9</v>
      </c>
      <c r="K91" s="8">
        <v>1.35419568E9</v>
      </c>
      <c r="L91" s="8">
        <v>1.16</v>
      </c>
      <c r="M91" s="8">
        <v>13.4</v>
      </c>
      <c r="N91" s="8">
        <v>70.47</v>
      </c>
      <c r="O91" s="8">
        <v>32.9</v>
      </c>
      <c r="P91" s="8">
        <v>22.0</v>
      </c>
      <c r="Q91" s="8">
        <v>117.87</v>
      </c>
      <c r="R91" s="8">
        <v>33.6</v>
      </c>
      <c r="S91" s="8">
        <v>91.8</v>
      </c>
      <c r="T91" s="8">
        <v>90.38</v>
      </c>
      <c r="U91" s="8">
        <v>63.83</v>
      </c>
      <c r="V91" s="8">
        <v>1.8</v>
      </c>
      <c r="W91" s="8">
        <v>68.12</v>
      </c>
      <c r="X91" s="8">
        <v>32.5</v>
      </c>
      <c r="Y91" s="8">
        <v>24.09</v>
      </c>
      <c r="Z91" s="8">
        <v>45.7142868</v>
      </c>
      <c r="AA91" s="8">
        <v>-0.77</v>
      </c>
      <c r="AB91" s="8">
        <v>-0.26</v>
      </c>
      <c r="AC91" s="8">
        <v>-0.03</v>
      </c>
      <c r="AD91" s="8">
        <v>0.36</v>
      </c>
      <c r="AE91" s="8">
        <v>20.08</v>
      </c>
      <c r="AF91" s="8">
        <v>0.67</v>
      </c>
      <c r="AG91" s="8">
        <v>9.03</v>
      </c>
    </row>
    <row r="92" ht="16.5" customHeight="1">
      <c r="A92" s="8" t="s">
        <v>37</v>
      </c>
      <c r="B92" s="7">
        <v>2018.0</v>
      </c>
      <c r="C92" s="8">
        <v>2.7E12</v>
      </c>
      <c r="D92" s="8">
        <v>6.45</v>
      </c>
      <c r="E92" s="8">
        <v>1974.38</v>
      </c>
      <c r="F92" s="8">
        <v>7.65</v>
      </c>
      <c r="G92" s="8">
        <v>3.94</v>
      </c>
      <c r="H92" s="8">
        <v>1.56</v>
      </c>
      <c r="I92" s="8">
        <v>43.62</v>
      </c>
      <c r="J92" s="8">
        <v>34.5</v>
      </c>
      <c r="K92" s="8">
        <v>1.369003306E9</v>
      </c>
      <c r="L92" s="8">
        <v>1.09</v>
      </c>
      <c r="M92" s="8">
        <v>11.1</v>
      </c>
      <c r="N92" s="8">
        <v>70.71</v>
      </c>
      <c r="O92" s="8">
        <v>31.3</v>
      </c>
      <c r="P92" s="8">
        <v>22.0</v>
      </c>
      <c r="Q92" s="8">
        <v>101.1</v>
      </c>
      <c r="R92" s="8">
        <v>34.03</v>
      </c>
      <c r="S92" s="8">
        <v>95.7</v>
      </c>
      <c r="T92" s="8">
        <v>90.97</v>
      </c>
      <c r="U92" s="8">
        <v>66.75</v>
      </c>
      <c r="V92" s="8">
        <v>1.88</v>
      </c>
      <c r="W92" s="8">
        <v>59.89</v>
      </c>
      <c r="X92" s="8">
        <v>32.9</v>
      </c>
      <c r="Y92" s="8">
        <v>24.18</v>
      </c>
      <c r="Z92" s="8">
        <v>47.61904907</v>
      </c>
      <c r="AA92" s="8">
        <v>-1.0</v>
      </c>
      <c r="AB92" s="8">
        <v>-0.23</v>
      </c>
      <c r="AC92" s="8">
        <v>-0.89</v>
      </c>
      <c r="AD92" s="8">
        <v>0.27</v>
      </c>
      <c r="AE92" s="8">
        <v>29.52</v>
      </c>
      <c r="AF92" s="8">
        <v>0.66</v>
      </c>
      <c r="AG92" s="8">
        <v>10.22</v>
      </c>
    </row>
    <row r="93" ht="16.5" customHeight="1">
      <c r="A93" s="8" t="s">
        <v>37</v>
      </c>
      <c r="B93" s="7">
        <v>2019.0</v>
      </c>
      <c r="C93" s="8">
        <v>2.84E12</v>
      </c>
      <c r="D93" s="8">
        <v>3.87</v>
      </c>
      <c r="E93" s="8">
        <v>2050.16</v>
      </c>
      <c r="F93" s="8">
        <v>6.51</v>
      </c>
      <c r="G93" s="8">
        <v>3.73</v>
      </c>
      <c r="H93" s="8">
        <v>1.78</v>
      </c>
      <c r="I93" s="8">
        <v>39.91</v>
      </c>
      <c r="J93" s="8">
        <v>33.8</v>
      </c>
      <c r="K93" s="8">
        <v>1.38311205E9</v>
      </c>
      <c r="L93" s="8">
        <v>1.03</v>
      </c>
      <c r="M93" s="8">
        <v>13.2</v>
      </c>
      <c r="N93" s="8">
        <v>70.91</v>
      </c>
      <c r="O93" s="8">
        <v>29.7</v>
      </c>
      <c r="P93" s="8">
        <v>22.0</v>
      </c>
      <c r="Q93" s="8">
        <v>99.5</v>
      </c>
      <c r="R93" s="8">
        <v>34.47</v>
      </c>
      <c r="S93" s="8">
        <v>95.9</v>
      </c>
      <c r="T93" s="8">
        <v>91.56</v>
      </c>
      <c r="U93" s="8">
        <v>69.66</v>
      </c>
      <c r="V93" s="8">
        <v>1.84</v>
      </c>
      <c r="W93" s="8">
        <v>48.39</v>
      </c>
      <c r="X93" s="8">
        <v>33.5</v>
      </c>
      <c r="Y93" s="8">
        <v>24.27</v>
      </c>
      <c r="Z93" s="8">
        <v>44.76190567</v>
      </c>
      <c r="AA93" s="8">
        <v>-0.8</v>
      </c>
      <c r="AB93" s="8">
        <v>-0.15</v>
      </c>
      <c r="AC93" s="8">
        <v>-0.07</v>
      </c>
      <c r="AD93" s="8">
        <v>0.13</v>
      </c>
      <c r="AE93" s="8">
        <v>43.41</v>
      </c>
      <c r="AF93" s="8">
        <v>0.66</v>
      </c>
      <c r="AG93" s="8">
        <v>11.03</v>
      </c>
    </row>
    <row r="94" ht="16.5" customHeight="1">
      <c r="A94" s="8" t="s">
        <v>37</v>
      </c>
      <c r="B94" s="7">
        <v>2020.0</v>
      </c>
      <c r="C94" s="8">
        <v>2.67E12</v>
      </c>
      <c r="D94" s="8">
        <v>-5.78</v>
      </c>
      <c r="E94" s="8">
        <v>1915.55</v>
      </c>
      <c r="F94" s="8">
        <v>7.86</v>
      </c>
      <c r="G94" s="8">
        <v>6.62</v>
      </c>
      <c r="H94" s="8">
        <v>2.41</v>
      </c>
      <c r="I94" s="8">
        <v>37.76</v>
      </c>
      <c r="J94" s="8">
        <v>33.8</v>
      </c>
      <c r="K94" s="8">
        <v>1.396387127E9</v>
      </c>
      <c r="L94" s="8">
        <v>0.96</v>
      </c>
      <c r="M94" s="8">
        <v>15.5</v>
      </c>
      <c r="N94" s="8">
        <v>70.15</v>
      </c>
      <c r="O94" s="8">
        <v>28.1</v>
      </c>
      <c r="P94" s="8">
        <v>22.0</v>
      </c>
      <c r="Q94" s="8">
        <v>101.29</v>
      </c>
      <c r="R94" s="8">
        <v>34.93</v>
      </c>
      <c r="S94" s="8">
        <v>96.5</v>
      </c>
      <c r="T94" s="8">
        <v>92.15</v>
      </c>
      <c r="U94" s="8">
        <v>72.58</v>
      </c>
      <c r="V94" s="8">
        <v>1.66</v>
      </c>
      <c r="W94" s="8">
        <v>40.46</v>
      </c>
      <c r="X94" s="8">
        <v>36.1</v>
      </c>
      <c r="Y94" s="8">
        <v>24.36</v>
      </c>
      <c r="Z94" s="8">
        <v>45.23809433</v>
      </c>
      <c r="AA94" s="8">
        <v>-0.84</v>
      </c>
      <c r="AB94" s="8">
        <v>-0.13</v>
      </c>
      <c r="AC94" s="8">
        <v>-0.06</v>
      </c>
      <c r="AD94" s="8">
        <v>0.09</v>
      </c>
      <c r="AE94" s="8">
        <v>15.77</v>
      </c>
      <c r="AF94" s="8">
        <v>0.65</v>
      </c>
      <c r="AG94" s="8">
        <v>10.21</v>
      </c>
    </row>
    <row r="95" ht="16.5" customHeight="1">
      <c r="A95" s="8" t="s">
        <v>37</v>
      </c>
      <c r="B95" s="7">
        <v>2021.0</v>
      </c>
      <c r="C95" s="8">
        <v>3.17E12</v>
      </c>
      <c r="D95" s="8">
        <v>9.69</v>
      </c>
      <c r="E95" s="8">
        <v>2250.18</v>
      </c>
      <c r="F95" s="8">
        <v>6.38</v>
      </c>
      <c r="G95" s="8">
        <v>5.13</v>
      </c>
      <c r="H95" s="8">
        <v>1.41</v>
      </c>
      <c r="I95" s="8">
        <v>45.42</v>
      </c>
      <c r="J95" s="8">
        <v>32.8</v>
      </c>
      <c r="K95" s="8">
        <v>1.407563842E9</v>
      </c>
      <c r="L95" s="8">
        <v>0.8</v>
      </c>
      <c r="M95" s="8">
        <v>12.9</v>
      </c>
      <c r="N95" s="8">
        <v>67.24</v>
      </c>
      <c r="O95" s="8">
        <v>26.8</v>
      </c>
      <c r="P95" s="8">
        <v>22.0</v>
      </c>
      <c r="Q95" s="8">
        <v>102.32</v>
      </c>
      <c r="R95" s="8">
        <v>35.39</v>
      </c>
      <c r="S95" s="8">
        <v>99.6</v>
      </c>
      <c r="T95" s="8">
        <v>92.72</v>
      </c>
      <c r="U95" s="8">
        <v>75.48</v>
      </c>
      <c r="V95" s="8">
        <v>1.8</v>
      </c>
      <c r="W95" s="8">
        <v>40.46</v>
      </c>
      <c r="X95" s="8">
        <v>34.9</v>
      </c>
      <c r="Y95" s="8">
        <v>22.14</v>
      </c>
      <c r="Z95" s="8">
        <v>45.23809433</v>
      </c>
      <c r="AA95" s="8">
        <v>-0.69</v>
      </c>
      <c r="AB95" s="8">
        <v>-0.09</v>
      </c>
      <c r="AC95" s="8">
        <v>-0.11</v>
      </c>
      <c r="AD95" s="8">
        <v>0.05</v>
      </c>
      <c r="AE95" s="8">
        <v>15.77</v>
      </c>
      <c r="AF95" s="8">
        <v>0.11</v>
      </c>
      <c r="AG95" s="8">
        <v>12.48</v>
      </c>
    </row>
    <row r="96" ht="16.5" customHeight="1">
      <c r="A96" s="8" t="s">
        <v>37</v>
      </c>
      <c r="B96" s="7">
        <v>2022.0</v>
      </c>
      <c r="C96" s="8">
        <v>3.35E12</v>
      </c>
      <c r="D96" s="8">
        <v>6.99</v>
      </c>
      <c r="E96" s="8">
        <v>2366.31</v>
      </c>
      <c r="F96" s="8">
        <v>4.82</v>
      </c>
      <c r="G96" s="8">
        <v>6.7</v>
      </c>
      <c r="H96" s="8">
        <v>1.49</v>
      </c>
      <c r="I96" s="8">
        <v>49.97</v>
      </c>
      <c r="J96" s="8">
        <v>33.71</v>
      </c>
      <c r="K96" s="8">
        <v>1.417173173E9</v>
      </c>
      <c r="L96" s="8">
        <v>0.68</v>
      </c>
      <c r="M96" s="8">
        <v>2.7</v>
      </c>
      <c r="N96" s="8">
        <v>67.74</v>
      </c>
      <c r="O96" s="8">
        <v>25.5</v>
      </c>
      <c r="P96" s="8">
        <v>76.0</v>
      </c>
      <c r="Q96" s="8">
        <v>111.08</v>
      </c>
      <c r="R96" s="8">
        <v>35.87</v>
      </c>
      <c r="S96" s="8">
        <v>99.2</v>
      </c>
      <c r="T96" s="8">
        <v>93.3</v>
      </c>
      <c r="U96" s="8">
        <v>78.39</v>
      </c>
      <c r="V96" s="8">
        <v>1.9</v>
      </c>
      <c r="W96" s="8">
        <v>40.46</v>
      </c>
      <c r="X96" s="8">
        <v>44.0</v>
      </c>
      <c r="Y96" s="8">
        <v>22.14</v>
      </c>
      <c r="Z96" s="8">
        <v>44.3396225</v>
      </c>
      <c r="AA96" s="8">
        <v>-0.57</v>
      </c>
      <c r="AB96" s="8">
        <v>-0.05</v>
      </c>
      <c r="AC96" s="8">
        <v>0.11</v>
      </c>
      <c r="AD96" s="8">
        <v>-0.46</v>
      </c>
      <c r="AE96" s="8">
        <v>15.77</v>
      </c>
      <c r="AF96" s="8">
        <v>0.11</v>
      </c>
      <c r="AG96" s="8">
        <v>0.99</v>
      </c>
    </row>
    <row r="97" ht="16.5" customHeight="1">
      <c r="A97" s="8" t="s">
        <v>37</v>
      </c>
      <c r="B97" s="7">
        <v>2023.0</v>
      </c>
      <c r="C97" s="8">
        <v>3.55E12</v>
      </c>
      <c r="D97" s="8">
        <v>7.58</v>
      </c>
      <c r="E97" s="8">
        <v>2484.85</v>
      </c>
      <c r="F97" s="8">
        <v>4.17</v>
      </c>
      <c r="G97" s="8">
        <v>5.65</v>
      </c>
      <c r="H97" s="8">
        <v>0.79</v>
      </c>
      <c r="I97" s="8">
        <v>45.85</v>
      </c>
      <c r="J97" s="8">
        <v>33.71</v>
      </c>
      <c r="K97" s="8">
        <v>1.428627663E9</v>
      </c>
      <c r="L97" s="8">
        <v>0.81</v>
      </c>
      <c r="M97" s="8">
        <v>2.7</v>
      </c>
      <c r="N97" s="8">
        <v>65.53</v>
      </c>
      <c r="O97" s="8">
        <v>37.5</v>
      </c>
      <c r="P97" s="8">
        <v>77.0</v>
      </c>
      <c r="Q97" s="8">
        <v>112.03</v>
      </c>
      <c r="R97" s="8">
        <v>36.36</v>
      </c>
      <c r="S97" s="8">
        <v>73.2</v>
      </c>
      <c r="T97" s="8">
        <v>82.3</v>
      </c>
      <c r="U97" s="8">
        <v>55.23</v>
      </c>
      <c r="V97" s="8">
        <v>1.05</v>
      </c>
      <c r="W97" s="8">
        <v>16.81</v>
      </c>
      <c r="X97" s="8">
        <v>44.0</v>
      </c>
      <c r="Y97" s="8">
        <v>2.73</v>
      </c>
      <c r="Z97" s="8">
        <v>33.95</v>
      </c>
      <c r="AA97" s="8">
        <v>-0.69</v>
      </c>
      <c r="AB97" s="8">
        <v>-0.58</v>
      </c>
      <c r="AC97" s="8">
        <v>-0.89</v>
      </c>
      <c r="AD97" s="8">
        <v>-0.76</v>
      </c>
      <c r="AE97" s="8">
        <v>2.2</v>
      </c>
      <c r="AF97" s="8">
        <v>0.11</v>
      </c>
      <c r="AG97" s="8">
        <v>0.99</v>
      </c>
    </row>
    <row r="98" ht="16.5" customHeight="1">
      <c r="A98" s="8" t="s">
        <v>38</v>
      </c>
      <c r="B98" s="7">
        <v>2000.0</v>
      </c>
      <c r="C98" s="8">
        <v>6.243371453E8</v>
      </c>
      <c r="D98" s="8">
        <v>3.85</v>
      </c>
      <c r="E98" s="8">
        <v>2209.99</v>
      </c>
      <c r="F98" s="8">
        <v>1.97</v>
      </c>
      <c r="G98" s="8">
        <v>-1.17</v>
      </c>
      <c r="H98" s="8">
        <v>3.57</v>
      </c>
      <c r="I98" s="8">
        <v>36.37</v>
      </c>
      <c r="J98" s="8">
        <v>33.71</v>
      </c>
      <c r="K98" s="8">
        <v>282507.0</v>
      </c>
      <c r="L98" s="8">
        <v>1.57</v>
      </c>
      <c r="M98" s="8">
        <v>2.7</v>
      </c>
      <c r="N98" s="8">
        <v>70.88</v>
      </c>
      <c r="O98" s="8">
        <v>31.8</v>
      </c>
      <c r="P98" s="8">
        <v>96.0</v>
      </c>
      <c r="Q98" s="8">
        <v>127.29</v>
      </c>
      <c r="R98" s="8">
        <v>27.71</v>
      </c>
      <c r="S98" s="8">
        <v>83.8</v>
      </c>
      <c r="T98" s="8">
        <v>93.82</v>
      </c>
      <c r="U98" s="8">
        <v>74.85</v>
      </c>
      <c r="V98" s="8">
        <v>2.48</v>
      </c>
      <c r="W98" s="8">
        <v>16.57</v>
      </c>
      <c r="X98" s="8">
        <v>2.3</v>
      </c>
      <c r="Y98" s="8">
        <v>2.73</v>
      </c>
      <c r="Z98" s="8">
        <v>47.3404274</v>
      </c>
      <c r="AA98" s="8">
        <v>1.18</v>
      </c>
      <c r="AB98" s="8">
        <v>0.99</v>
      </c>
      <c r="AC98" s="8">
        <v>0.25</v>
      </c>
      <c r="AD98" s="8">
        <v>-0.46</v>
      </c>
      <c r="AE98" s="8">
        <v>3.62</v>
      </c>
      <c r="AF98" s="8">
        <v>0.11</v>
      </c>
      <c r="AG98" s="8">
        <v>0.99</v>
      </c>
    </row>
    <row r="99" ht="16.5" customHeight="1">
      <c r="A99" s="8" t="s">
        <v>38</v>
      </c>
      <c r="B99" s="7">
        <v>2001.0</v>
      </c>
      <c r="C99" s="8">
        <v>8.700316768E8</v>
      </c>
      <c r="D99" s="8">
        <v>-3.94</v>
      </c>
      <c r="E99" s="8">
        <v>3028.05</v>
      </c>
      <c r="F99" s="8">
        <v>3.06</v>
      </c>
      <c r="G99" s="8">
        <v>0.67</v>
      </c>
      <c r="H99" s="8">
        <v>2.36</v>
      </c>
      <c r="I99" s="8">
        <v>36.37</v>
      </c>
      <c r="J99" s="8">
        <v>33.71</v>
      </c>
      <c r="K99" s="8">
        <v>287324.0</v>
      </c>
      <c r="L99" s="8">
        <v>1.69</v>
      </c>
      <c r="M99" s="8">
        <v>2.7</v>
      </c>
      <c r="N99" s="8">
        <v>72.18</v>
      </c>
      <c r="O99" s="8">
        <v>28.7</v>
      </c>
      <c r="P99" s="8">
        <v>22.0</v>
      </c>
      <c r="Q99" s="8">
        <v>124.85</v>
      </c>
      <c r="R99" s="8">
        <v>28.86</v>
      </c>
      <c r="S99" s="8">
        <v>87.5</v>
      </c>
      <c r="T99" s="8">
        <v>94.2</v>
      </c>
      <c r="U99" s="8">
        <v>76.26</v>
      </c>
      <c r="V99" s="8">
        <v>2.1</v>
      </c>
      <c r="W99" s="8">
        <v>16.43</v>
      </c>
      <c r="X99" s="8">
        <v>2.3</v>
      </c>
      <c r="Y99" s="8">
        <v>2.73</v>
      </c>
      <c r="Z99" s="8">
        <v>33.95</v>
      </c>
      <c r="AA99" s="8">
        <v>-0.69</v>
      </c>
      <c r="AB99" s="8">
        <v>-0.58</v>
      </c>
      <c r="AC99" s="8">
        <v>-0.89</v>
      </c>
      <c r="AD99" s="8">
        <v>-0.84</v>
      </c>
      <c r="AE99" s="8">
        <v>5.35</v>
      </c>
      <c r="AF99" s="8">
        <v>0.11</v>
      </c>
      <c r="AG99" s="8">
        <v>0.99</v>
      </c>
    </row>
    <row r="100" ht="16.5" customHeight="1">
      <c r="A100" s="8" t="s">
        <v>38</v>
      </c>
      <c r="B100" s="7">
        <v>2002.0</v>
      </c>
      <c r="C100" s="8">
        <v>8.9703125E8</v>
      </c>
      <c r="D100" s="8">
        <v>7.27</v>
      </c>
      <c r="E100" s="8">
        <v>3069.04</v>
      </c>
      <c r="F100" s="8">
        <v>4.14</v>
      </c>
      <c r="G100" s="8">
        <v>4.18</v>
      </c>
      <c r="H100" s="8">
        <v>2.76</v>
      </c>
      <c r="I100" s="8">
        <v>36.37</v>
      </c>
      <c r="J100" s="8">
        <v>41.3</v>
      </c>
      <c r="K100" s="8">
        <v>292284.0</v>
      </c>
      <c r="L100" s="8">
        <v>1.71</v>
      </c>
      <c r="M100" s="8">
        <v>6.6</v>
      </c>
      <c r="N100" s="8">
        <v>73.29</v>
      </c>
      <c r="O100" s="8">
        <v>25.6</v>
      </c>
      <c r="P100" s="8">
        <v>22.0</v>
      </c>
      <c r="Q100" s="8">
        <v>122.17</v>
      </c>
      <c r="R100" s="8">
        <v>30.04</v>
      </c>
      <c r="S100" s="8">
        <v>88.3</v>
      </c>
      <c r="T100" s="8">
        <v>94.58</v>
      </c>
      <c r="U100" s="8">
        <v>77.65</v>
      </c>
      <c r="V100" s="8">
        <v>2.47</v>
      </c>
      <c r="W100" s="8">
        <v>16.33</v>
      </c>
      <c r="X100" s="8">
        <v>1.8</v>
      </c>
      <c r="Y100" s="8">
        <v>2.73</v>
      </c>
      <c r="Z100" s="8">
        <v>52.38095093</v>
      </c>
      <c r="AA100" s="8">
        <v>1.08</v>
      </c>
      <c r="AB100" s="8">
        <v>0.94</v>
      </c>
      <c r="AC100" s="8">
        <v>-0.07</v>
      </c>
      <c r="AD100" s="8">
        <v>-1.0</v>
      </c>
      <c r="AE100" s="8">
        <v>5.98</v>
      </c>
      <c r="AF100" s="8">
        <v>0.11</v>
      </c>
      <c r="AG100" s="8">
        <v>0.99</v>
      </c>
    </row>
    <row r="101" ht="16.5" customHeight="1">
      <c r="A101" s="8" t="s">
        <v>38</v>
      </c>
      <c r="B101" s="7">
        <v>2003.0</v>
      </c>
      <c r="C101" s="8">
        <v>1.052121055E9</v>
      </c>
      <c r="D101" s="8">
        <v>13.75</v>
      </c>
      <c r="E101" s="8">
        <v>3539.8</v>
      </c>
      <c r="F101" s="8">
        <v>5.2</v>
      </c>
      <c r="G101" s="8">
        <v>-1.26</v>
      </c>
      <c r="H101" s="8">
        <v>3.02</v>
      </c>
      <c r="I101" s="8">
        <v>36.37</v>
      </c>
      <c r="J101" s="8">
        <v>33.71</v>
      </c>
      <c r="K101" s="8">
        <v>297226.0</v>
      </c>
      <c r="L101" s="8">
        <v>1.68</v>
      </c>
      <c r="M101" s="8">
        <v>2.7</v>
      </c>
      <c r="N101" s="8">
        <v>74.06</v>
      </c>
      <c r="O101" s="8">
        <v>22.9</v>
      </c>
      <c r="P101" s="8">
        <v>22.0</v>
      </c>
      <c r="Q101" s="8">
        <v>121.53</v>
      </c>
      <c r="R101" s="8">
        <v>31.25</v>
      </c>
      <c r="S101" s="8">
        <v>89.1</v>
      </c>
      <c r="T101" s="8">
        <v>94.95</v>
      </c>
      <c r="U101" s="8">
        <v>79.02</v>
      </c>
      <c r="V101" s="8">
        <v>2.07</v>
      </c>
      <c r="W101" s="8">
        <v>16.2</v>
      </c>
      <c r="X101" s="8">
        <v>2.2</v>
      </c>
      <c r="Y101" s="8">
        <v>2.73</v>
      </c>
      <c r="Z101" s="8">
        <v>57.1428566</v>
      </c>
      <c r="AA101" s="8">
        <v>1.03</v>
      </c>
      <c r="AB101" s="8">
        <v>0.93</v>
      </c>
      <c r="AC101" s="8">
        <v>0.08</v>
      </c>
      <c r="AD101" s="8">
        <v>-1.19</v>
      </c>
      <c r="AE101" s="8">
        <v>6.59</v>
      </c>
      <c r="AF101" s="8">
        <v>0.11</v>
      </c>
      <c r="AG101" s="8">
        <v>0.99</v>
      </c>
    </row>
    <row r="102" ht="16.5" customHeight="1">
      <c r="A102" s="8" t="s">
        <v>38</v>
      </c>
      <c r="B102" s="7">
        <v>2004.0</v>
      </c>
      <c r="C102" s="8">
        <v>1.226829563E9</v>
      </c>
      <c r="D102" s="8">
        <v>5.82</v>
      </c>
      <c r="E102" s="8">
        <v>4060.53</v>
      </c>
      <c r="F102" s="8">
        <v>6.26</v>
      </c>
      <c r="G102" s="8">
        <v>-1.69</v>
      </c>
      <c r="H102" s="8">
        <v>4.31</v>
      </c>
      <c r="I102" s="8">
        <v>36.37</v>
      </c>
      <c r="J102" s="8">
        <v>33.71</v>
      </c>
      <c r="K102" s="8">
        <v>302135.0</v>
      </c>
      <c r="L102" s="8">
        <v>1.64</v>
      </c>
      <c r="M102" s="8">
        <v>2.7</v>
      </c>
      <c r="N102" s="8">
        <v>73.54</v>
      </c>
      <c r="O102" s="8">
        <v>21.5</v>
      </c>
      <c r="P102" s="8">
        <v>22.0</v>
      </c>
      <c r="Q102" s="8">
        <v>120.15</v>
      </c>
      <c r="R102" s="8">
        <v>32.49</v>
      </c>
      <c r="S102" s="8">
        <v>90.0</v>
      </c>
      <c r="T102" s="8">
        <v>95.31</v>
      </c>
      <c r="U102" s="8">
        <v>80.37</v>
      </c>
      <c r="V102" s="8">
        <v>2.6</v>
      </c>
      <c r="W102" s="8">
        <v>16.01</v>
      </c>
      <c r="X102" s="8">
        <v>1.7</v>
      </c>
      <c r="Y102" s="8">
        <v>2.73</v>
      </c>
      <c r="Z102" s="8">
        <v>46.79803085</v>
      </c>
      <c r="AA102" s="8">
        <v>0.5</v>
      </c>
      <c r="AB102" s="8">
        <v>-0.02</v>
      </c>
      <c r="AC102" s="8">
        <v>-0.3</v>
      </c>
      <c r="AD102" s="8">
        <v>-0.98</v>
      </c>
      <c r="AE102" s="8">
        <v>6.87</v>
      </c>
      <c r="AF102" s="8">
        <v>0.11</v>
      </c>
      <c r="AG102" s="8">
        <v>0.99</v>
      </c>
    </row>
    <row r="103" ht="16.5" customHeight="1">
      <c r="A103" s="8" t="s">
        <v>38</v>
      </c>
      <c r="B103" s="7">
        <v>2005.0</v>
      </c>
      <c r="C103" s="8">
        <v>1.163362438E9</v>
      </c>
      <c r="D103" s="8">
        <v>-11.22</v>
      </c>
      <c r="E103" s="8">
        <v>3789.23</v>
      </c>
      <c r="F103" s="8">
        <v>7.39</v>
      </c>
      <c r="G103" s="8">
        <v>1.3</v>
      </c>
      <c r="H103" s="8">
        <v>4.55</v>
      </c>
      <c r="I103" s="8">
        <v>36.37</v>
      </c>
      <c r="J103" s="8">
        <v>33.71</v>
      </c>
      <c r="K103" s="8">
        <v>307018.0</v>
      </c>
      <c r="L103" s="8">
        <v>1.6</v>
      </c>
      <c r="M103" s="8">
        <v>2.7</v>
      </c>
      <c r="N103" s="8">
        <v>74.75</v>
      </c>
      <c r="O103" s="8">
        <v>18.4</v>
      </c>
      <c r="P103" s="8">
        <v>22.0</v>
      </c>
      <c r="Q103" s="8">
        <v>114.22</v>
      </c>
      <c r="R103" s="8">
        <v>33.75</v>
      </c>
      <c r="S103" s="8">
        <v>90.9</v>
      </c>
      <c r="T103" s="8">
        <v>95.66</v>
      </c>
      <c r="U103" s="8">
        <v>81.69</v>
      </c>
      <c r="V103" s="8">
        <v>2.37</v>
      </c>
      <c r="W103" s="8">
        <v>15.71</v>
      </c>
      <c r="X103" s="8">
        <v>2.0</v>
      </c>
      <c r="Y103" s="8">
        <v>2.73</v>
      </c>
      <c r="Z103" s="8">
        <v>41.46341324</v>
      </c>
      <c r="AA103" s="8">
        <v>0.81</v>
      </c>
      <c r="AB103" s="8">
        <v>0.52</v>
      </c>
      <c r="AC103" s="8">
        <v>0.09</v>
      </c>
      <c r="AD103" s="8">
        <v>-1.01</v>
      </c>
      <c r="AE103" s="8">
        <v>11.04</v>
      </c>
      <c r="AF103" s="8">
        <v>0.11</v>
      </c>
      <c r="AG103" s="8">
        <v>0.99</v>
      </c>
    </row>
    <row r="104" ht="16.5" customHeight="1">
      <c r="A104" s="8" t="s">
        <v>38</v>
      </c>
      <c r="B104" s="7">
        <v>2006.0</v>
      </c>
      <c r="C104" s="8">
        <v>1.575200391E9</v>
      </c>
      <c r="D104" s="8">
        <v>23.61</v>
      </c>
      <c r="E104" s="8">
        <v>5010.16</v>
      </c>
      <c r="F104" s="8">
        <v>8.48</v>
      </c>
      <c r="G104" s="8">
        <v>2.74</v>
      </c>
      <c r="H104" s="8">
        <v>4.05</v>
      </c>
      <c r="I104" s="8">
        <v>36.37</v>
      </c>
      <c r="J104" s="8">
        <v>33.71</v>
      </c>
      <c r="K104" s="8">
        <v>314401.0</v>
      </c>
      <c r="L104" s="8">
        <v>2.38</v>
      </c>
      <c r="M104" s="8">
        <v>2.7</v>
      </c>
      <c r="N104" s="8">
        <v>75.13</v>
      </c>
      <c r="O104" s="8">
        <v>16.6</v>
      </c>
      <c r="P104" s="8">
        <v>98.0</v>
      </c>
      <c r="Q104" s="8">
        <v>112.66</v>
      </c>
      <c r="R104" s="8">
        <v>34.79</v>
      </c>
      <c r="S104" s="8">
        <v>91.7</v>
      </c>
      <c r="T104" s="8">
        <v>95.99</v>
      </c>
      <c r="U104" s="8">
        <v>82.95</v>
      </c>
      <c r="V104" s="8">
        <v>2.82</v>
      </c>
      <c r="W104" s="8">
        <v>15.32</v>
      </c>
      <c r="X104" s="8">
        <v>1.6</v>
      </c>
      <c r="Y104" s="8">
        <v>2.73</v>
      </c>
      <c r="Z104" s="8">
        <v>32.68292618</v>
      </c>
      <c r="AA104" s="8">
        <v>0.76</v>
      </c>
      <c r="AB104" s="8">
        <v>0.41</v>
      </c>
      <c r="AC104" s="8">
        <v>-0.03</v>
      </c>
      <c r="AD104" s="8">
        <v>-0.93</v>
      </c>
      <c r="AE104" s="8">
        <v>16.3</v>
      </c>
      <c r="AF104" s="8">
        <v>0.11</v>
      </c>
      <c r="AG104" s="8">
        <v>0.99</v>
      </c>
    </row>
    <row r="105" ht="16.5" customHeight="1">
      <c r="A105" s="8" t="s">
        <v>38</v>
      </c>
      <c r="B105" s="7">
        <v>2007.0</v>
      </c>
      <c r="C105" s="8">
        <v>1.868383461E9</v>
      </c>
      <c r="D105" s="8">
        <v>7.12</v>
      </c>
      <c r="E105" s="8">
        <v>5746.64</v>
      </c>
      <c r="F105" s="8">
        <v>9.54</v>
      </c>
      <c r="G105" s="8">
        <v>6.79</v>
      </c>
      <c r="H105" s="8">
        <v>7.09</v>
      </c>
      <c r="I105" s="8">
        <v>36.37</v>
      </c>
      <c r="J105" s="8">
        <v>33.71</v>
      </c>
      <c r="K105" s="8">
        <v>325126.0</v>
      </c>
      <c r="L105" s="8">
        <v>3.35</v>
      </c>
      <c r="M105" s="8">
        <v>2.7</v>
      </c>
      <c r="N105" s="8">
        <v>75.69</v>
      </c>
      <c r="O105" s="8">
        <v>15.1</v>
      </c>
      <c r="P105" s="8">
        <v>22.0</v>
      </c>
      <c r="Q105" s="8">
        <v>107.77</v>
      </c>
      <c r="R105" s="8">
        <v>35.2</v>
      </c>
      <c r="S105" s="8">
        <v>92.6</v>
      </c>
      <c r="T105" s="8">
        <v>96.3</v>
      </c>
      <c r="U105" s="8">
        <v>84.07</v>
      </c>
      <c r="V105" s="8">
        <v>2.7</v>
      </c>
      <c r="W105" s="8">
        <v>14.81</v>
      </c>
      <c r="X105" s="8">
        <v>1.5</v>
      </c>
      <c r="Y105" s="8">
        <v>2.73</v>
      </c>
      <c r="Z105" s="8">
        <v>19.90291214</v>
      </c>
      <c r="AA105" s="8">
        <v>0.08</v>
      </c>
      <c r="AB105" s="8">
        <v>0.06</v>
      </c>
      <c r="AC105" s="8">
        <v>-0.13</v>
      </c>
      <c r="AD105" s="8">
        <v>-0.3</v>
      </c>
      <c r="AE105" s="8">
        <v>23.2</v>
      </c>
      <c r="AF105" s="8">
        <v>0.11</v>
      </c>
      <c r="AG105" s="8">
        <v>0.99</v>
      </c>
    </row>
    <row r="106" ht="16.5" customHeight="1">
      <c r="A106" s="8" t="s">
        <v>38</v>
      </c>
      <c r="B106" s="7">
        <v>2008.0</v>
      </c>
      <c r="C106" s="8">
        <v>2.271646188E9</v>
      </c>
      <c r="D106" s="8">
        <v>8.98</v>
      </c>
      <c r="E106" s="8">
        <v>6743.13</v>
      </c>
      <c r="F106" s="8">
        <v>10.52</v>
      </c>
      <c r="G106" s="8">
        <v>12.04</v>
      </c>
      <c r="H106" s="8">
        <v>7.98</v>
      </c>
      <c r="I106" s="8">
        <v>36.37</v>
      </c>
      <c r="J106" s="8">
        <v>33.71</v>
      </c>
      <c r="K106" s="8">
        <v>336883.0</v>
      </c>
      <c r="L106" s="8">
        <v>3.55</v>
      </c>
      <c r="M106" s="8">
        <v>2.7</v>
      </c>
      <c r="N106" s="8">
        <v>76.54</v>
      </c>
      <c r="O106" s="8">
        <v>13.9</v>
      </c>
      <c r="P106" s="8">
        <v>22.0</v>
      </c>
      <c r="Q106" s="8">
        <v>105.49</v>
      </c>
      <c r="R106" s="8">
        <v>35.61</v>
      </c>
      <c r="S106" s="8">
        <v>93.6</v>
      </c>
      <c r="T106" s="8">
        <v>96.63</v>
      </c>
      <c r="U106" s="8">
        <v>85.33</v>
      </c>
      <c r="V106" s="8">
        <v>2.84</v>
      </c>
      <c r="W106" s="8">
        <v>14.19</v>
      </c>
      <c r="X106" s="8">
        <v>1.5</v>
      </c>
      <c r="Y106" s="8">
        <v>2.73</v>
      </c>
      <c r="Z106" s="8">
        <v>21.35922241</v>
      </c>
      <c r="AA106" s="8">
        <v>-0.16</v>
      </c>
      <c r="AB106" s="8">
        <v>-0.37</v>
      </c>
      <c r="AC106" s="8">
        <v>-0.17</v>
      </c>
      <c r="AD106" s="8">
        <v>-0.05</v>
      </c>
      <c r="AE106" s="8">
        <v>24.8</v>
      </c>
      <c r="AF106" s="8">
        <v>0.11</v>
      </c>
      <c r="AG106" s="8">
        <v>0.99</v>
      </c>
    </row>
    <row r="107" ht="16.5" customHeight="1">
      <c r="A107" s="8" t="s">
        <v>38</v>
      </c>
      <c r="B107" s="7">
        <v>2009.0</v>
      </c>
      <c r="C107" s="8">
        <v>2.345294875E9</v>
      </c>
      <c r="D107" s="8">
        <v>-8.16</v>
      </c>
      <c r="E107" s="8">
        <v>6719.33</v>
      </c>
      <c r="F107" s="8">
        <v>11.7</v>
      </c>
      <c r="G107" s="8">
        <v>4.53</v>
      </c>
      <c r="H107" s="8">
        <v>6.74</v>
      </c>
      <c r="I107" s="8">
        <v>36.37</v>
      </c>
      <c r="J107" s="8">
        <v>38.4</v>
      </c>
      <c r="K107" s="8">
        <v>349037.0</v>
      </c>
      <c r="L107" s="8">
        <v>3.54</v>
      </c>
      <c r="M107" s="8">
        <v>3.8</v>
      </c>
      <c r="N107" s="8">
        <v>77.07</v>
      </c>
      <c r="O107" s="8">
        <v>12.8</v>
      </c>
      <c r="P107" s="8">
        <v>22.0</v>
      </c>
      <c r="Q107" s="8">
        <v>104.69</v>
      </c>
      <c r="R107" s="8">
        <v>36.02</v>
      </c>
      <c r="S107" s="8">
        <v>99.9</v>
      </c>
      <c r="T107" s="8">
        <v>96.95</v>
      </c>
      <c r="U107" s="8">
        <v>86.59</v>
      </c>
      <c r="V107" s="8">
        <v>2.93</v>
      </c>
      <c r="W107" s="8">
        <v>13.45</v>
      </c>
      <c r="X107" s="8">
        <v>1.5</v>
      </c>
      <c r="Y107" s="8">
        <v>2.73</v>
      </c>
      <c r="Z107" s="8">
        <v>28.7081337</v>
      </c>
      <c r="AA107" s="8">
        <v>-0.23</v>
      </c>
      <c r="AB107" s="8">
        <v>-0.38</v>
      </c>
      <c r="AC107" s="8">
        <v>-0.15</v>
      </c>
      <c r="AD107" s="8">
        <v>-0.06</v>
      </c>
      <c r="AE107" s="8">
        <v>26.53</v>
      </c>
      <c r="AF107" s="8">
        <v>0.11</v>
      </c>
      <c r="AG107" s="8">
        <v>0.99</v>
      </c>
    </row>
    <row r="108" ht="16.5" customHeight="1">
      <c r="A108" s="8" t="s">
        <v>38</v>
      </c>
      <c r="B108" s="7">
        <v>2010.0</v>
      </c>
      <c r="C108" s="8">
        <v>2.588176055E9</v>
      </c>
      <c r="D108" s="8">
        <v>6.84</v>
      </c>
      <c r="E108" s="8">
        <v>7158.06</v>
      </c>
      <c r="F108" s="8">
        <v>10.85</v>
      </c>
      <c r="G108" s="8">
        <v>6.15</v>
      </c>
      <c r="H108" s="8">
        <v>8.36</v>
      </c>
      <c r="I108" s="8">
        <v>36.37</v>
      </c>
      <c r="J108" s="8">
        <v>33.71</v>
      </c>
      <c r="K108" s="8">
        <v>361575.0</v>
      </c>
      <c r="L108" s="8">
        <v>3.53</v>
      </c>
      <c r="M108" s="8">
        <v>2.7</v>
      </c>
      <c r="N108" s="8">
        <v>77.66</v>
      </c>
      <c r="O108" s="8">
        <v>11.9</v>
      </c>
      <c r="P108" s="8">
        <v>22.0</v>
      </c>
      <c r="Q108" s="8">
        <v>102.21</v>
      </c>
      <c r="R108" s="8">
        <v>36.43</v>
      </c>
      <c r="S108" s="8">
        <v>99.0</v>
      </c>
      <c r="T108" s="8">
        <v>97.27</v>
      </c>
      <c r="U108" s="8">
        <v>87.84</v>
      </c>
      <c r="V108" s="8">
        <v>2.96</v>
      </c>
      <c r="W108" s="8">
        <v>12.07</v>
      </c>
      <c r="X108" s="8">
        <v>1.4</v>
      </c>
      <c r="Y108" s="8">
        <v>2.73</v>
      </c>
      <c r="Z108" s="8">
        <v>36.66666794</v>
      </c>
      <c r="AA108" s="8">
        <v>-0.17</v>
      </c>
      <c r="AB108" s="8">
        <v>-0.38</v>
      </c>
      <c r="AC108" s="8">
        <v>-0.32</v>
      </c>
      <c r="AD108" s="8">
        <v>-0.16</v>
      </c>
      <c r="AE108" s="8">
        <v>34.0</v>
      </c>
      <c r="AF108" s="8">
        <v>0.11</v>
      </c>
      <c r="AG108" s="8">
        <v>0.99</v>
      </c>
    </row>
    <row r="109" ht="16.5" customHeight="1">
      <c r="A109" s="8" t="s">
        <v>38</v>
      </c>
      <c r="B109" s="7">
        <v>2011.0</v>
      </c>
      <c r="C109" s="8">
        <v>2.77435024E9</v>
      </c>
      <c r="D109" s="8">
        <v>8.57</v>
      </c>
      <c r="E109" s="8">
        <v>7409.33</v>
      </c>
      <c r="F109" s="8">
        <v>10.01</v>
      </c>
      <c r="G109" s="8">
        <v>11.27</v>
      </c>
      <c r="H109" s="8">
        <v>15.27</v>
      </c>
      <c r="I109" s="8">
        <v>36.37</v>
      </c>
      <c r="J109" s="8">
        <v>33.71</v>
      </c>
      <c r="K109" s="8">
        <v>374440.0</v>
      </c>
      <c r="L109" s="8">
        <v>3.5</v>
      </c>
      <c r="M109" s="8">
        <v>2.7</v>
      </c>
      <c r="N109" s="8">
        <v>78.12</v>
      </c>
      <c r="O109" s="8">
        <v>11.2</v>
      </c>
      <c r="P109" s="8">
        <v>22.0</v>
      </c>
      <c r="Q109" s="8">
        <v>100.48</v>
      </c>
      <c r="R109" s="8">
        <v>36.85</v>
      </c>
      <c r="S109" s="8">
        <v>99.1</v>
      </c>
      <c r="T109" s="8">
        <v>97.58</v>
      </c>
      <c r="U109" s="8">
        <v>89.08</v>
      </c>
      <c r="V109" s="8">
        <v>3.12</v>
      </c>
      <c r="W109" s="8">
        <v>12.97</v>
      </c>
      <c r="X109" s="8">
        <v>1.3</v>
      </c>
      <c r="Y109" s="8">
        <v>2.73</v>
      </c>
      <c r="Z109" s="8">
        <v>35.0710907</v>
      </c>
      <c r="AA109" s="8">
        <v>-0.24</v>
      </c>
      <c r="AB109" s="8">
        <v>-0.38</v>
      </c>
      <c r="AC109" s="8">
        <v>-0.54</v>
      </c>
      <c r="AD109" s="8">
        <v>-0.47</v>
      </c>
      <c r="AE109" s="8">
        <v>38.93</v>
      </c>
      <c r="AF109" s="8">
        <v>0.11</v>
      </c>
      <c r="AG109" s="8">
        <v>0.99</v>
      </c>
    </row>
    <row r="110" ht="16.5" customHeight="1">
      <c r="A110" s="8" t="s">
        <v>38</v>
      </c>
      <c r="B110" s="7">
        <v>2012.0</v>
      </c>
      <c r="C110" s="8">
        <v>2.886163997E9</v>
      </c>
      <c r="D110" s="8">
        <v>2.36</v>
      </c>
      <c r="E110" s="8">
        <v>7447.42</v>
      </c>
      <c r="F110" s="8">
        <v>9.14</v>
      </c>
      <c r="G110" s="8">
        <v>10.88</v>
      </c>
      <c r="H110" s="8">
        <v>7.9</v>
      </c>
      <c r="I110" s="8">
        <v>36.37</v>
      </c>
      <c r="J110" s="8">
        <v>33.71</v>
      </c>
      <c r="K110" s="8">
        <v>387539.0</v>
      </c>
      <c r="L110" s="8">
        <v>3.44</v>
      </c>
      <c r="M110" s="8">
        <v>2.7</v>
      </c>
      <c r="N110" s="8">
        <v>78.68</v>
      </c>
      <c r="O110" s="8">
        <v>10.4</v>
      </c>
      <c r="P110" s="8">
        <v>22.0</v>
      </c>
      <c r="Q110" s="8">
        <v>97.56</v>
      </c>
      <c r="R110" s="8">
        <v>37.27</v>
      </c>
      <c r="S110" s="8">
        <v>99.2</v>
      </c>
      <c r="T110" s="8">
        <v>97.9</v>
      </c>
      <c r="U110" s="8">
        <v>90.32</v>
      </c>
      <c r="V110" s="8">
        <v>3.79</v>
      </c>
      <c r="W110" s="8">
        <v>13.24</v>
      </c>
      <c r="X110" s="8">
        <v>1.2</v>
      </c>
      <c r="Y110" s="8">
        <v>2.73</v>
      </c>
      <c r="Z110" s="8">
        <v>27.96208572</v>
      </c>
      <c r="AA110" s="8">
        <v>-0.37</v>
      </c>
      <c r="AB110" s="8">
        <v>-0.4</v>
      </c>
      <c r="AC110" s="8">
        <v>-0.54</v>
      </c>
      <c r="AD110" s="8">
        <v>-0.46</v>
      </c>
      <c r="AE110" s="8">
        <v>44.1</v>
      </c>
      <c r="AF110" s="8">
        <v>0.11</v>
      </c>
      <c r="AG110" s="8">
        <v>0.99</v>
      </c>
    </row>
    <row r="111" ht="16.5" customHeight="1">
      <c r="A111" s="8" t="s">
        <v>38</v>
      </c>
      <c r="B111" s="7">
        <v>2013.0</v>
      </c>
      <c r="C111" s="8">
        <v>3.295009238E9</v>
      </c>
      <c r="D111" s="8">
        <v>6.96</v>
      </c>
      <c r="E111" s="8">
        <v>8222.56</v>
      </c>
      <c r="F111" s="8">
        <v>8.3</v>
      </c>
      <c r="G111" s="8">
        <v>3.81</v>
      </c>
      <c r="H111" s="8">
        <v>10.95</v>
      </c>
      <c r="I111" s="8">
        <v>36.37</v>
      </c>
      <c r="J111" s="8">
        <v>33.71</v>
      </c>
      <c r="K111" s="8">
        <v>400728.0</v>
      </c>
      <c r="L111" s="8">
        <v>3.35</v>
      </c>
      <c r="M111" s="8">
        <v>2.7</v>
      </c>
      <c r="N111" s="8">
        <v>79.06</v>
      </c>
      <c r="O111" s="8">
        <v>9.7</v>
      </c>
      <c r="P111" s="8">
        <v>22.0</v>
      </c>
      <c r="Q111" s="8">
        <v>95.75</v>
      </c>
      <c r="R111" s="8">
        <v>37.69</v>
      </c>
      <c r="S111" s="8">
        <v>99.4</v>
      </c>
      <c r="T111" s="8">
        <v>98.21</v>
      </c>
      <c r="U111" s="8">
        <v>91.56</v>
      </c>
      <c r="V111" s="8">
        <v>4.09</v>
      </c>
      <c r="W111" s="8">
        <v>11.73</v>
      </c>
      <c r="X111" s="8">
        <v>1.3</v>
      </c>
      <c r="Y111" s="8">
        <v>2.73</v>
      </c>
      <c r="Z111" s="8">
        <v>25.11848259</v>
      </c>
      <c r="AA111" s="8">
        <v>0.13</v>
      </c>
      <c r="AB111" s="8">
        <v>-0.46</v>
      </c>
      <c r="AC111" s="8">
        <v>-0.75</v>
      </c>
      <c r="AD111" s="8">
        <v>-0.37</v>
      </c>
      <c r="AE111" s="8">
        <v>49.28</v>
      </c>
      <c r="AF111" s="8">
        <v>0.11</v>
      </c>
      <c r="AG111" s="8">
        <v>0.99</v>
      </c>
    </row>
    <row r="112" ht="16.5" customHeight="1">
      <c r="A112" s="8" t="s">
        <v>38</v>
      </c>
      <c r="B112" s="7">
        <v>2014.0</v>
      </c>
      <c r="C112" s="8">
        <v>3.697353039E9</v>
      </c>
      <c r="D112" s="8">
        <v>7.8</v>
      </c>
      <c r="E112" s="8">
        <v>8872.13</v>
      </c>
      <c r="F112" s="8">
        <v>7.46</v>
      </c>
      <c r="G112" s="8">
        <v>2.12</v>
      </c>
      <c r="H112" s="8">
        <v>9.02</v>
      </c>
      <c r="I112" s="8">
        <v>36.37</v>
      </c>
      <c r="J112" s="8">
        <v>33.71</v>
      </c>
      <c r="K112" s="8">
        <v>416738.0</v>
      </c>
      <c r="L112" s="8">
        <v>3.92</v>
      </c>
      <c r="M112" s="8">
        <v>2.7</v>
      </c>
      <c r="N112" s="8">
        <v>79.42</v>
      </c>
      <c r="O112" s="8">
        <v>9.0</v>
      </c>
      <c r="P112" s="8">
        <v>99.0</v>
      </c>
      <c r="Q112" s="8">
        <v>96.8</v>
      </c>
      <c r="R112" s="8">
        <v>38.11</v>
      </c>
      <c r="S112" s="8">
        <v>100.0</v>
      </c>
      <c r="T112" s="8">
        <v>98.51</v>
      </c>
      <c r="U112" s="8">
        <v>92.79</v>
      </c>
      <c r="V112" s="8">
        <v>5.32</v>
      </c>
      <c r="W112" s="8">
        <v>10.81</v>
      </c>
      <c r="X112" s="8">
        <v>1.2</v>
      </c>
      <c r="Y112" s="8">
        <v>2.73</v>
      </c>
      <c r="Z112" s="8">
        <v>44.71154022</v>
      </c>
      <c r="AA112" s="8">
        <v>0.68</v>
      </c>
      <c r="AB112" s="8">
        <v>-0.37</v>
      </c>
      <c r="AC112" s="8">
        <v>-0.52</v>
      </c>
      <c r="AD112" s="8">
        <v>-0.52</v>
      </c>
      <c r="AE112" s="8">
        <v>54.46</v>
      </c>
      <c r="AF112" s="8">
        <v>0.11</v>
      </c>
      <c r="AG112" s="8">
        <v>0.99</v>
      </c>
    </row>
    <row r="113" ht="16.5" customHeight="1">
      <c r="A113" s="8" t="s">
        <v>38</v>
      </c>
      <c r="B113" s="7">
        <v>2015.0</v>
      </c>
      <c r="C113" s="8">
        <v>4.129505319E9</v>
      </c>
      <c r="D113" s="8">
        <v>3.97</v>
      </c>
      <c r="E113" s="8">
        <v>9480.43</v>
      </c>
      <c r="F113" s="8">
        <v>6.61</v>
      </c>
      <c r="G113" s="8">
        <v>0.95</v>
      </c>
      <c r="H113" s="8">
        <v>7.22</v>
      </c>
      <c r="I113" s="8">
        <v>36.37</v>
      </c>
      <c r="J113" s="8">
        <v>33.71</v>
      </c>
      <c r="K113" s="8">
        <v>435582.0</v>
      </c>
      <c r="L113" s="8">
        <v>4.42</v>
      </c>
      <c r="M113" s="8">
        <v>2.7</v>
      </c>
      <c r="N113" s="8">
        <v>79.7</v>
      </c>
      <c r="O113" s="8">
        <v>8.4</v>
      </c>
      <c r="P113" s="8">
        <v>22.0</v>
      </c>
      <c r="Q113" s="8">
        <v>99.01</v>
      </c>
      <c r="R113" s="8">
        <v>38.53</v>
      </c>
      <c r="S113" s="8">
        <v>99.8</v>
      </c>
      <c r="T113" s="8">
        <v>98.81</v>
      </c>
      <c r="U113" s="8">
        <v>93.97</v>
      </c>
      <c r="V113" s="8">
        <v>3.74</v>
      </c>
      <c r="W113" s="8">
        <v>12.38</v>
      </c>
      <c r="X113" s="8">
        <v>1.5</v>
      </c>
      <c r="Y113" s="8">
        <v>2.73</v>
      </c>
      <c r="Z113" s="8">
        <v>38.57143021</v>
      </c>
      <c r="AA113" s="8">
        <v>0.41</v>
      </c>
      <c r="AB113" s="8">
        <v>-0.43</v>
      </c>
      <c r="AC113" s="8">
        <v>-0.59</v>
      </c>
      <c r="AD113" s="8">
        <v>-0.73</v>
      </c>
      <c r="AE113" s="8">
        <v>59.5</v>
      </c>
      <c r="AF113" s="8">
        <v>0.11</v>
      </c>
      <c r="AG113" s="8">
        <v>0.03</v>
      </c>
    </row>
    <row r="114" ht="16.5" customHeight="1">
      <c r="A114" s="8" t="s">
        <v>38</v>
      </c>
      <c r="B114" s="7">
        <v>2016.0</v>
      </c>
      <c r="C114" s="8">
        <v>4.409942624E9</v>
      </c>
      <c r="D114" s="8">
        <v>6.57</v>
      </c>
      <c r="E114" s="8">
        <v>9708.14</v>
      </c>
      <c r="F114" s="8">
        <v>5.77</v>
      </c>
      <c r="G114" s="8">
        <v>0.5</v>
      </c>
      <c r="H114" s="8">
        <v>10.35</v>
      </c>
      <c r="I114" s="8">
        <v>36.37</v>
      </c>
      <c r="J114" s="8">
        <v>31.3</v>
      </c>
      <c r="K114" s="8">
        <v>454252.0</v>
      </c>
      <c r="L114" s="8">
        <v>4.2</v>
      </c>
      <c r="M114" s="8">
        <v>2.7</v>
      </c>
      <c r="N114" s="8">
        <v>79.87</v>
      </c>
      <c r="O114" s="8">
        <v>7.7</v>
      </c>
      <c r="P114" s="8">
        <v>98.0</v>
      </c>
      <c r="Q114" s="8">
        <v>98.1</v>
      </c>
      <c r="R114" s="8">
        <v>38.95</v>
      </c>
      <c r="S114" s="8">
        <v>100.0</v>
      </c>
      <c r="T114" s="8">
        <v>99.11</v>
      </c>
      <c r="U114" s="8">
        <v>95.06</v>
      </c>
      <c r="V114" s="8">
        <v>3.91</v>
      </c>
      <c r="W114" s="8">
        <v>11.33</v>
      </c>
      <c r="X114" s="8">
        <v>1.2</v>
      </c>
      <c r="Y114" s="8">
        <v>2.73</v>
      </c>
      <c r="Z114" s="8">
        <v>31.4285717</v>
      </c>
      <c r="AA114" s="8">
        <v>0.41</v>
      </c>
      <c r="AB114" s="8">
        <v>-0.5</v>
      </c>
      <c r="AC114" s="8">
        <v>-0.39</v>
      </c>
      <c r="AD114" s="8">
        <v>-0.74</v>
      </c>
      <c r="AE114" s="8">
        <v>65.0</v>
      </c>
      <c r="AF114" s="8">
        <v>0.11</v>
      </c>
      <c r="AG114" s="8">
        <v>0.14</v>
      </c>
    </row>
    <row r="115" ht="16.5" customHeight="1">
      <c r="A115" s="8" t="s">
        <v>38</v>
      </c>
      <c r="B115" s="7">
        <v>2017.0</v>
      </c>
      <c r="C115" s="8">
        <v>4.816426257E9</v>
      </c>
      <c r="D115" s="8">
        <v>7.05</v>
      </c>
      <c r="E115" s="8">
        <v>10194.75</v>
      </c>
      <c r="F115" s="8">
        <v>5.38</v>
      </c>
      <c r="G115" s="8">
        <v>2.82</v>
      </c>
      <c r="H115" s="8">
        <v>9.51</v>
      </c>
      <c r="I115" s="8">
        <v>36.37</v>
      </c>
      <c r="J115" s="8">
        <v>33.71</v>
      </c>
      <c r="K115" s="8">
        <v>472442.0</v>
      </c>
      <c r="L115" s="8">
        <v>3.93</v>
      </c>
      <c r="M115" s="8">
        <v>2.7</v>
      </c>
      <c r="N115" s="8">
        <v>79.94</v>
      </c>
      <c r="O115" s="8">
        <v>7.1</v>
      </c>
      <c r="P115" s="8">
        <v>95.0</v>
      </c>
      <c r="Q115" s="8">
        <v>96.94</v>
      </c>
      <c r="R115" s="8">
        <v>39.38</v>
      </c>
      <c r="S115" s="8">
        <v>99.8</v>
      </c>
      <c r="T115" s="8">
        <v>99.41</v>
      </c>
      <c r="U115" s="8">
        <v>96.14</v>
      </c>
      <c r="V115" s="8">
        <v>3.97</v>
      </c>
      <c r="W115" s="8">
        <v>12.5</v>
      </c>
      <c r="X115" s="8">
        <v>1.3</v>
      </c>
      <c r="Y115" s="8">
        <v>2.73</v>
      </c>
      <c r="Z115" s="8">
        <v>22.38095284</v>
      </c>
      <c r="AA115" s="8">
        <v>0.22</v>
      </c>
      <c r="AB115" s="8">
        <v>-0.44</v>
      </c>
      <c r="AC115" s="8">
        <v>-0.64</v>
      </c>
      <c r="AD115" s="8">
        <v>-0.68</v>
      </c>
      <c r="AE115" s="8">
        <v>70.9</v>
      </c>
      <c r="AF115" s="8">
        <v>0.11</v>
      </c>
      <c r="AG115" s="8">
        <v>0.99</v>
      </c>
    </row>
    <row r="116" ht="16.5" customHeight="1">
      <c r="A116" s="8" t="s">
        <v>38</v>
      </c>
      <c r="B116" s="7">
        <v>2018.0</v>
      </c>
      <c r="C116" s="8">
        <v>5.404344163E9</v>
      </c>
      <c r="D116" s="8">
        <v>8.67</v>
      </c>
      <c r="E116" s="8">
        <v>11034.72</v>
      </c>
      <c r="F116" s="8">
        <v>4.96</v>
      </c>
      <c r="G116" s="8">
        <v>-0.13</v>
      </c>
      <c r="H116" s="8">
        <v>10.65</v>
      </c>
      <c r="I116" s="8">
        <v>36.37</v>
      </c>
      <c r="J116" s="8">
        <v>33.71</v>
      </c>
      <c r="K116" s="8">
        <v>489758.0</v>
      </c>
      <c r="L116" s="8">
        <v>3.6</v>
      </c>
      <c r="M116" s="8">
        <v>2.7</v>
      </c>
      <c r="N116" s="8">
        <v>80.01</v>
      </c>
      <c r="O116" s="8">
        <v>6.5</v>
      </c>
      <c r="P116" s="8">
        <v>22.0</v>
      </c>
      <c r="Q116" s="8">
        <v>96.59</v>
      </c>
      <c r="R116" s="8">
        <v>39.81</v>
      </c>
      <c r="S116" s="8">
        <v>100.0</v>
      </c>
      <c r="T116" s="8">
        <v>99.5</v>
      </c>
      <c r="U116" s="8">
        <v>97.21</v>
      </c>
      <c r="V116" s="8">
        <v>4.39</v>
      </c>
      <c r="W116" s="8">
        <v>12.31</v>
      </c>
      <c r="X116" s="8">
        <v>1.3</v>
      </c>
      <c r="Y116" s="8">
        <v>2.73</v>
      </c>
      <c r="Z116" s="8">
        <v>18.09523773</v>
      </c>
      <c r="AA116" s="8">
        <v>0.08</v>
      </c>
      <c r="AB116" s="8">
        <v>-0.53</v>
      </c>
      <c r="AC116" s="8">
        <v>-0.56</v>
      </c>
      <c r="AD116" s="8">
        <v>-0.46</v>
      </c>
      <c r="AE116" s="8">
        <v>77.47</v>
      </c>
      <c r="AF116" s="8">
        <v>0.11</v>
      </c>
      <c r="AG116" s="8">
        <v>0.99</v>
      </c>
    </row>
    <row r="117" ht="16.5" customHeight="1">
      <c r="A117" s="8" t="s">
        <v>38</v>
      </c>
      <c r="B117" s="7">
        <v>2019.0</v>
      </c>
      <c r="C117" s="8">
        <v>5.726094799E9</v>
      </c>
      <c r="D117" s="8">
        <v>7.3</v>
      </c>
      <c r="E117" s="8">
        <v>11349.86</v>
      </c>
      <c r="F117" s="8">
        <v>4.56</v>
      </c>
      <c r="G117" s="8">
        <v>0.22</v>
      </c>
      <c r="H117" s="8">
        <v>16.78</v>
      </c>
      <c r="I117" s="8">
        <v>36.37</v>
      </c>
      <c r="J117" s="8">
        <v>29.3</v>
      </c>
      <c r="K117" s="8">
        <v>504508.0</v>
      </c>
      <c r="L117" s="8">
        <v>2.97</v>
      </c>
      <c r="M117" s="8">
        <v>2.7</v>
      </c>
      <c r="N117" s="8">
        <v>80.12</v>
      </c>
      <c r="O117" s="8">
        <v>6.0</v>
      </c>
      <c r="P117" s="8">
        <v>98.0</v>
      </c>
      <c r="Q117" s="8">
        <v>97.13</v>
      </c>
      <c r="R117" s="8">
        <v>40.24</v>
      </c>
      <c r="S117" s="8">
        <v>100.0</v>
      </c>
      <c r="T117" s="8">
        <v>99.53</v>
      </c>
      <c r="U117" s="8">
        <v>98.27</v>
      </c>
      <c r="V117" s="8">
        <v>5.02</v>
      </c>
      <c r="W117" s="8">
        <v>12.01</v>
      </c>
      <c r="X117" s="8">
        <v>1.3</v>
      </c>
      <c r="Y117" s="8">
        <v>2.73</v>
      </c>
      <c r="Z117" s="8">
        <v>46.66666794</v>
      </c>
      <c r="AA117" s="8">
        <v>0.03</v>
      </c>
      <c r="AB117" s="8">
        <v>-0.55</v>
      </c>
      <c r="AC117" s="8">
        <v>-0.41</v>
      </c>
      <c r="AD117" s="8">
        <v>-0.32</v>
      </c>
      <c r="AE117" s="8">
        <v>79.1</v>
      </c>
      <c r="AF117" s="8">
        <v>0.11</v>
      </c>
      <c r="AG117" s="8">
        <v>0.99</v>
      </c>
    </row>
    <row r="118" ht="16.5" customHeight="1">
      <c r="A118" s="8" t="s">
        <v>38</v>
      </c>
      <c r="B118" s="7">
        <v>2020.0</v>
      </c>
      <c r="C118" s="8">
        <v>3.712604583E9</v>
      </c>
      <c r="D118" s="8">
        <v>-32.91</v>
      </c>
      <c r="E118" s="8">
        <v>7216.82</v>
      </c>
      <c r="F118" s="8">
        <v>5.4</v>
      </c>
      <c r="G118" s="8">
        <v>-1.37</v>
      </c>
      <c r="H118" s="8">
        <v>11.87</v>
      </c>
      <c r="I118" s="8">
        <v>36.37</v>
      </c>
      <c r="J118" s="8">
        <v>33.71</v>
      </c>
      <c r="K118" s="8">
        <v>514438.0</v>
      </c>
      <c r="L118" s="8">
        <v>1.95</v>
      </c>
      <c r="M118" s="8">
        <v>2.7</v>
      </c>
      <c r="N118" s="8">
        <v>79.88</v>
      </c>
      <c r="O118" s="8">
        <v>5.5</v>
      </c>
      <c r="P118" s="8">
        <v>22.0</v>
      </c>
      <c r="Q118" s="8">
        <v>97.83</v>
      </c>
      <c r="R118" s="8">
        <v>40.67</v>
      </c>
      <c r="S118" s="8">
        <v>100.0</v>
      </c>
      <c r="T118" s="8">
        <v>99.54</v>
      </c>
      <c r="U118" s="8">
        <v>99.16</v>
      </c>
      <c r="V118" s="8">
        <v>3.98</v>
      </c>
      <c r="W118" s="8">
        <v>40.46</v>
      </c>
      <c r="X118" s="8">
        <v>1.6</v>
      </c>
      <c r="Y118" s="8">
        <v>2.73</v>
      </c>
      <c r="Z118" s="8">
        <v>43.33333206</v>
      </c>
      <c r="AA118" s="8">
        <v>0.36</v>
      </c>
      <c r="AB118" s="8">
        <v>-0.59</v>
      </c>
      <c r="AC118" s="8">
        <v>-0.3</v>
      </c>
      <c r="AD118" s="8">
        <v>-0.23</v>
      </c>
      <c r="AE118" s="8">
        <v>85.23</v>
      </c>
      <c r="AF118" s="8">
        <v>0.11</v>
      </c>
      <c r="AG118" s="8">
        <v>2.01</v>
      </c>
    </row>
    <row r="119" ht="16.5" customHeight="1">
      <c r="A119" s="8" t="s">
        <v>38</v>
      </c>
      <c r="B119" s="7">
        <v>2021.0</v>
      </c>
      <c r="C119" s="8">
        <v>5.254366312E9</v>
      </c>
      <c r="D119" s="8">
        <v>37.69</v>
      </c>
      <c r="E119" s="8">
        <v>10076.32</v>
      </c>
      <c r="F119" s="8">
        <v>5.02</v>
      </c>
      <c r="G119" s="8">
        <v>0.54</v>
      </c>
      <c r="H119" s="8">
        <v>12.23</v>
      </c>
      <c r="I119" s="8">
        <v>36.37</v>
      </c>
      <c r="J119" s="8">
        <v>33.71</v>
      </c>
      <c r="K119" s="8">
        <v>521457.0</v>
      </c>
      <c r="L119" s="8">
        <v>1.36</v>
      </c>
      <c r="M119" s="8">
        <v>2.7</v>
      </c>
      <c r="N119" s="8">
        <v>79.92</v>
      </c>
      <c r="O119" s="8">
        <v>5.1</v>
      </c>
      <c r="P119" s="8">
        <v>98.0</v>
      </c>
      <c r="Q119" s="8">
        <v>88.12</v>
      </c>
      <c r="R119" s="8">
        <v>41.1</v>
      </c>
      <c r="S119" s="8">
        <v>100.0</v>
      </c>
      <c r="T119" s="8">
        <v>99.56</v>
      </c>
      <c r="U119" s="8">
        <v>99.7</v>
      </c>
      <c r="V119" s="8">
        <v>4.09</v>
      </c>
      <c r="W119" s="8">
        <v>40.46</v>
      </c>
      <c r="X119" s="8">
        <v>1.4</v>
      </c>
      <c r="Y119" s="8">
        <v>22.14</v>
      </c>
      <c r="Z119" s="8">
        <v>41.42856979</v>
      </c>
      <c r="AA119" s="8">
        <v>0.53</v>
      </c>
      <c r="AB119" s="8">
        <v>-0.61</v>
      </c>
      <c r="AC119" s="8">
        <v>-0.19</v>
      </c>
      <c r="AD119" s="8">
        <v>-0.24</v>
      </c>
      <c r="AE119" s="8">
        <v>83.91</v>
      </c>
      <c r="AF119" s="8">
        <v>0.11</v>
      </c>
      <c r="AG119" s="8">
        <v>4.1</v>
      </c>
    </row>
    <row r="120" ht="16.5" customHeight="1">
      <c r="A120" s="8" t="s">
        <v>38</v>
      </c>
      <c r="B120" s="7">
        <v>2022.0</v>
      </c>
      <c r="C120" s="8">
        <v>6.170638746E9</v>
      </c>
      <c r="D120" s="8">
        <v>13.91</v>
      </c>
      <c r="E120" s="8">
        <v>11780.82</v>
      </c>
      <c r="F120" s="8">
        <v>4.42</v>
      </c>
      <c r="G120" s="8">
        <v>2.33</v>
      </c>
      <c r="H120" s="8">
        <v>11.87</v>
      </c>
      <c r="I120" s="8">
        <v>36.37</v>
      </c>
      <c r="J120" s="8">
        <v>33.71</v>
      </c>
      <c r="K120" s="8">
        <v>523787.0</v>
      </c>
      <c r="L120" s="8">
        <v>0.45</v>
      </c>
      <c r="M120" s="8">
        <v>2.7</v>
      </c>
      <c r="N120" s="8">
        <v>80.84</v>
      </c>
      <c r="O120" s="8">
        <v>4.8</v>
      </c>
      <c r="P120" s="8">
        <v>22.0</v>
      </c>
      <c r="Q120" s="8">
        <v>95.37</v>
      </c>
      <c r="R120" s="8">
        <v>41.54</v>
      </c>
      <c r="S120" s="8">
        <v>100.0</v>
      </c>
      <c r="T120" s="8">
        <v>99.56</v>
      </c>
      <c r="U120" s="8">
        <v>99.7</v>
      </c>
      <c r="V120" s="8">
        <v>4.16</v>
      </c>
      <c r="W120" s="8">
        <v>40.46</v>
      </c>
      <c r="X120" s="8">
        <v>1.2</v>
      </c>
      <c r="Y120" s="8">
        <v>22.14</v>
      </c>
      <c r="Z120" s="8">
        <v>39.62264252</v>
      </c>
      <c r="AA120" s="8">
        <v>0.67</v>
      </c>
      <c r="AB120" s="8">
        <v>-0.66</v>
      </c>
      <c r="AC120" s="8">
        <v>-0.03</v>
      </c>
      <c r="AD120" s="8">
        <v>-0.46</v>
      </c>
      <c r="AE120" s="8">
        <v>15.77</v>
      </c>
      <c r="AF120" s="8">
        <v>0.11</v>
      </c>
      <c r="AG120" s="8">
        <v>0.99</v>
      </c>
    </row>
    <row r="121" ht="16.5" customHeight="1">
      <c r="A121" s="8" t="s">
        <v>38</v>
      </c>
      <c r="B121" s="7">
        <v>2023.0</v>
      </c>
      <c r="C121" s="8">
        <v>6.6E9</v>
      </c>
      <c r="D121" s="8">
        <v>3.97</v>
      </c>
      <c r="E121" s="8">
        <v>12667.44</v>
      </c>
      <c r="F121" s="8">
        <v>4.13</v>
      </c>
      <c r="G121" s="8">
        <v>2.93</v>
      </c>
      <c r="H121" s="8">
        <v>11.54</v>
      </c>
      <c r="I121" s="8">
        <v>36.37</v>
      </c>
      <c r="J121" s="8">
        <v>33.71</v>
      </c>
      <c r="K121" s="8">
        <v>521021.0</v>
      </c>
      <c r="L121" s="8">
        <v>-0.53</v>
      </c>
      <c r="M121" s="8">
        <v>2.7</v>
      </c>
      <c r="N121" s="8">
        <v>65.53</v>
      </c>
      <c r="O121" s="8">
        <v>37.5</v>
      </c>
      <c r="P121" s="8">
        <v>22.0</v>
      </c>
      <c r="Q121" s="8">
        <v>97.54</v>
      </c>
      <c r="R121" s="8">
        <v>41.97</v>
      </c>
      <c r="S121" s="8">
        <v>73.2</v>
      </c>
      <c r="T121" s="8">
        <v>82.3</v>
      </c>
      <c r="U121" s="8">
        <v>55.23</v>
      </c>
      <c r="V121" s="8">
        <v>1.05</v>
      </c>
      <c r="W121" s="8">
        <v>26.66</v>
      </c>
      <c r="X121" s="8">
        <v>44.0</v>
      </c>
      <c r="Y121" s="8">
        <v>34.55</v>
      </c>
      <c r="Z121" s="8">
        <v>33.95</v>
      </c>
      <c r="AA121" s="8">
        <v>-0.69</v>
      </c>
      <c r="AB121" s="8">
        <v>-0.58</v>
      </c>
      <c r="AC121" s="8">
        <v>-0.89</v>
      </c>
      <c r="AD121" s="8">
        <v>-0.19</v>
      </c>
      <c r="AE121" s="8">
        <v>0.65</v>
      </c>
      <c r="AF121" s="8">
        <v>0.11</v>
      </c>
      <c r="AG121" s="8">
        <v>0.99</v>
      </c>
    </row>
    <row r="122" ht="16.5" customHeight="1">
      <c r="A122" s="8" t="s">
        <v>39</v>
      </c>
      <c r="B122" s="7">
        <v>2000.0</v>
      </c>
      <c r="C122" s="8">
        <v>1.633081418E10</v>
      </c>
      <c r="D122" s="8">
        <v>6.0</v>
      </c>
      <c r="E122" s="8">
        <v>869.75</v>
      </c>
      <c r="F122" s="8">
        <v>7.74</v>
      </c>
      <c r="G122" s="8">
        <v>6.18</v>
      </c>
      <c r="H122" s="8">
        <v>1.06</v>
      </c>
      <c r="I122" s="8">
        <v>88.64</v>
      </c>
      <c r="J122" s="8">
        <v>33.71</v>
      </c>
      <c r="K122" s="8">
        <v>1.8776371E7</v>
      </c>
      <c r="L122" s="8">
        <v>0.57</v>
      </c>
      <c r="M122" s="8">
        <v>2.7</v>
      </c>
      <c r="N122" s="8">
        <v>70.36</v>
      </c>
      <c r="O122" s="8">
        <v>14.4</v>
      </c>
      <c r="P122" s="8">
        <v>22.0</v>
      </c>
      <c r="Q122" s="8">
        <v>88.12</v>
      </c>
      <c r="R122" s="8">
        <v>18.38</v>
      </c>
      <c r="S122" s="8">
        <v>70.3</v>
      </c>
      <c r="T122" s="8">
        <v>82.85</v>
      </c>
      <c r="U122" s="8">
        <v>76.77</v>
      </c>
      <c r="V122" s="8">
        <v>0.61</v>
      </c>
      <c r="W122" s="8">
        <v>26.72</v>
      </c>
      <c r="X122" s="8">
        <v>64.2</v>
      </c>
      <c r="Y122" s="8">
        <v>34.45</v>
      </c>
      <c r="Z122" s="8">
        <v>50.0</v>
      </c>
      <c r="AA122" s="8">
        <v>-1.9</v>
      </c>
      <c r="AB122" s="8">
        <v>0.16</v>
      </c>
      <c r="AC122" s="8">
        <v>0.16</v>
      </c>
      <c r="AD122" s="8">
        <v>-0.46</v>
      </c>
      <c r="AE122" s="8">
        <v>0.79</v>
      </c>
      <c r="AF122" s="8">
        <v>0.14</v>
      </c>
      <c r="AG122" s="8">
        <v>0.99</v>
      </c>
    </row>
    <row r="123" ht="16.5" customHeight="1">
      <c r="A123" s="8" t="s">
        <v>39</v>
      </c>
      <c r="B123" s="7">
        <v>2001.0</v>
      </c>
      <c r="C123" s="8">
        <v>1.5749753805E10</v>
      </c>
      <c r="D123" s="8">
        <v>-1.55</v>
      </c>
      <c r="E123" s="8">
        <v>832.43</v>
      </c>
      <c r="F123" s="8">
        <v>7.9</v>
      </c>
      <c r="G123" s="8">
        <v>14.16</v>
      </c>
      <c r="H123" s="8">
        <v>1.09</v>
      </c>
      <c r="I123" s="8">
        <v>80.9</v>
      </c>
      <c r="J123" s="8">
        <v>33.71</v>
      </c>
      <c r="K123" s="8">
        <v>1.8920275E7</v>
      </c>
      <c r="L123" s="8">
        <v>0.76</v>
      </c>
      <c r="M123" s="8">
        <v>2.7</v>
      </c>
      <c r="N123" s="8">
        <v>70.79</v>
      </c>
      <c r="O123" s="8">
        <v>13.8</v>
      </c>
      <c r="P123" s="8">
        <v>91.0</v>
      </c>
      <c r="Q123" s="8">
        <v>104.36</v>
      </c>
      <c r="R123" s="8">
        <v>18.37</v>
      </c>
      <c r="S123" s="8">
        <v>63.6</v>
      </c>
      <c r="T123" s="8">
        <v>83.13</v>
      </c>
      <c r="U123" s="8">
        <v>77.57</v>
      </c>
      <c r="V123" s="8">
        <v>0.6</v>
      </c>
      <c r="W123" s="8">
        <v>26.72</v>
      </c>
      <c r="X123" s="8">
        <v>62.9</v>
      </c>
      <c r="Y123" s="8">
        <v>34.35</v>
      </c>
      <c r="Z123" s="8">
        <v>33.95</v>
      </c>
      <c r="AA123" s="8">
        <v>-0.69</v>
      </c>
      <c r="AB123" s="8">
        <v>-0.58</v>
      </c>
      <c r="AC123" s="8">
        <v>-0.89</v>
      </c>
      <c r="AD123" s="8">
        <v>-0.09</v>
      </c>
      <c r="AE123" s="8">
        <v>1.05</v>
      </c>
      <c r="AF123" s="8">
        <v>0.11</v>
      </c>
      <c r="AG123" s="8">
        <v>0.99</v>
      </c>
    </row>
    <row r="124" ht="16.5" customHeight="1">
      <c r="A124" s="8" t="s">
        <v>39</v>
      </c>
      <c r="B124" s="7">
        <v>2002.0</v>
      </c>
      <c r="C124" s="8">
        <v>1.6536535647E10</v>
      </c>
      <c r="D124" s="8">
        <v>3.96</v>
      </c>
      <c r="E124" s="8">
        <v>865.3</v>
      </c>
      <c r="F124" s="8">
        <v>8.76</v>
      </c>
      <c r="G124" s="8">
        <v>9.55</v>
      </c>
      <c r="H124" s="8">
        <v>1.19</v>
      </c>
      <c r="I124" s="8">
        <v>76.34</v>
      </c>
      <c r="J124" s="8">
        <v>40.2</v>
      </c>
      <c r="K124" s="8">
        <v>1.9110707E7</v>
      </c>
      <c r="L124" s="8">
        <v>1.0</v>
      </c>
      <c r="M124" s="8">
        <v>11.0</v>
      </c>
      <c r="N124" s="8">
        <v>71.12</v>
      </c>
      <c r="O124" s="8">
        <v>13.4</v>
      </c>
      <c r="P124" s="8">
        <v>22.0</v>
      </c>
      <c r="Q124" s="8">
        <v>102.99</v>
      </c>
      <c r="R124" s="8">
        <v>18.35</v>
      </c>
      <c r="S124" s="8">
        <v>80.7</v>
      </c>
      <c r="T124" s="8">
        <v>83.42</v>
      </c>
      <c r="U124" s="8">
        <v>78.37</v>
      </c>
      <c r="V124" s="8">
        <v>0.62</v>
      </c>
      <c r="W124" s="8">
        <v>26.65</v>
      </c>
      <c r="X124" s="8">
        <v>62.1</v>
      </c>
      <c r="Y124" s="8">
        <v>34.25</v>
      </c>
      <c r="Z124" s="8">
        <v>50.26454926</v>
      </c>
      <c r="AA124" s="8">
        <v>-0.78</v>
      </c>
      <c r="AB124" s="8">
        <v>0.12</v>
      </c>
      <c r="AC124" s="8">
        <v>0.34</v>
      </c>
      <c r="AD124" s="8">
        <v>-0.09</v>
      </c>
      <c r="AE124" s="8">
        <v>1.46</v>
      </c>
      <c r="AF124" s="8">
        <v>0.11</v>
      </c>
      <c r="AG124" s="8">
        <v>0.99</v>
      </c>
    </row>
    <row r="125" ht="16.5" customHeight="1">
      <c r="A125" s="8" t="s">
        <v>39</v>
      </c>
      <c r="B125" s="7">
        <v>2003.0</v>
      </c>
      <c r="C125" s="8">
        <v>1.8881765437E10</v>
      </c>
      <c r="D125" s="8">
        <v>5.94</v>
      </c>
      <c r="E125" s="8">
        <v>978.17</v>
      </c>
      <c r="F125" s="8">
        <v>8.22</v>
      </c>
      <c r="G125" s="8">
        <v>6.31</v>
      </c>
      <c r="H125" s="8">
        <v>1.21</v>
      </c>
      <c r="I125" s="8">
        <v>75.34</v>
      </c>
      <c r="J125" s="8">
        <v>33.71</v>
      </c>
      <c r="K125" s="8">
        <v>1.930318E7</v>
      </c>
      <c r="L125" s="8">
        <v>1.0</v>
      </c>
      <c r="M125" s="8">
        <v>2.7</v>
      </c>
      <c r="N125" s="8">
        <v>71.37</v>
      </c>
      <c r="O125" s="8">
        <v>13.0</v>
      </c>
      <c r="P125" s="8">
        <v>22.0</v>
      </c>
      <c r="Q125" s="8">
        <v>100.47</v>
      </c>
      <c r="R125" s="8">
        <v>18.33</v>
      </c>
      <c r="S125" s="8">
        <v>75.0</v>
      </c>
      <c r="T125" s="8">
        <v>83.71</v>
      </c>
      <c r="U125" s="8">
        <v>79.17</v>
      </c>
      <c r="V125" s="8">
        <v>0.67</v>
      </c>
      <c r="W125" s="8">
        <v>26.49</v>
      </c>
      <c r="X125" s="8">
        <v>61.3</v>
      </c>
      <c r="Y125" s="8">
        <v>34.15</v>
      </c>
      <c r="Z125" s="8">
        <v>47.61904907</v>
      </c>
      <c r="AA125" s="8">
        <v>-0.83</v>
      </c>
      <c r="AB125" s="8">
        <v>0.03</v>
      </c>
      <c r="AC125" s="8">
        <v>0.24</v>
      </c>
      <c r="AD125" s="8">
        <v>-0.16</v>
      </c>
      <c r="AE125" s="8">
        <v>1.45</v>
      </c>
      <c r="AF125" s="8">
        <v>0.11</v>
      </c>
      <c r="AG125" s="8">
        <v>0.99</v>
      </c>
    </row>
    <row r="126" ht="16.5" customHeight="1">
      <c r="A126" s="8" t="s">
        <v>39</v>
      </c>
      <c r="B126" s="7">
        <v>2004.0</v>
      </c>
      <c r="C126" s="8">
        <v>2.0662525941E10</v>
      </c>
      <c r="D126" s="8">
        <v>5.45</v>
      </c>
      <c r="E126" s="8">
        <v>1060.14</v>
      </c>
      <c r="F126" s="8">
        <v>8.38</v>
      </c>
      <c r="G126" s="8">
        <v>7.58</v>
      </c>
      <c r="H126" s="8">
        <v>1.13</v>
      </c>
      <c r="I126" s="8">
        <v>79.48</v>
      </c>
      <c r="J126" s="8">
        <v>33.71</v>
      </c>
      <c r="K126" s="8">
        <v>1.9490431E7</v>
      </c>
      <c r="L126" s="8">
        <v>0.97</v>
      </c>
      <c r="M126" s="8">
        <v>2.7</v>
      </c>
      <c r="N126" s="8">
        <v>67.09</v>
      </c>
      <c r="O126" s="8">
        <v>17.6</v>
      </c>
      <c r="P126" s="8">
        <v>22.0</v>
      </c>
      <c r="Q126" s="8">
        <v>96.02</v>
      </c>
      <c r="R126" s="8">
        <v>18.32</v>
      </c>
      <c r="S126" s="8">
        <v>76.5</v>
      </c>
      <c r="T126" s="8">
        <v>84.0</v>
      </c>
      <c r="U126" s="8">
        <v>79.98</v>
      </c>
      <c r="V126" s="8">
        <v>0.68</v>
      </c>
      <c r="W126" s="8">
        <v>26.25</v>
      </c>
      <c r="X126" s="8">
        <v>61.6</v>
      </c>
      <c r="Y126" s="8">
        <v>34.05</v>
      </c>
      <c r="Z126" s="8">
        <v>50.73891449</v>
      </c>
      <c r="AA126" s="8">
        <v>-1.01</v>
      </c>
      <c r="AB126" s="8">
        <v>-0.08</v>
      </c>
      <c r="AC126" s="8">
        <v>0.21</v>
      </c>
      <c r="AD126" s="8">
        <v>-0.21</v>
      </c>
      <c r="AE126" s="8">
        <v>1.79</v>
      </c>
      <c r="AF126" s="8">
        <v>0.18</v>
      </c>
      <c r="AG126" s="8">
        <v>0.99</v>
      </c>
    </row>
    <row r="127" ht="16.5" customHeight="1">
      <c r="A127" s="8" t="s">
        <v>39</v>
      </c>
      <c r="B127" s="7">
        <v>2005.0</v>
      </c>
      <c r="C127" s="8">
        <v>2.4405791045E10</v>
      </c>
      <c r="D127" s="8">
        <v>6.24</v>
      </c>
      <c r="E127" s="8">
        <v>1240.52</v>
      </c>
      <c r="F127" s="8">
        <v>7.67</v>
      </c>
      <c r="G127" s="8">
        <v>11.64</v>
      </c>
      <c r="H127" s="8">
        <v>1.12</v>
      </c>
      <c r="I127" s="8">
        <v>73.6</v>
      </c>
      <c r="J127" s="8">
        <v>33.71</v>
      </c>
      <c r="K127" s="8">
        <v>1.9673866E7</v>
      </c>
      <c r="L127" s="8">
        <v>0.94</v>
      </c>
      <c r="M127" s="8">
        <v>2.7</v>
      </c>
      <c r="N127" s="8">
        <v>72.12</v>
      </c>
      <c r="O127" s="8">
        <v>12.1</v>
      </c>
      <c r="P127" s="8">
        <v>22.0</v>
      </c>
      <c r="Q127" s="8">
        <v>98.1</v>
      </c>
      <c r="R127" s="8">
        <v>18.3</v>
      </c>
      <c r="S127" s="8">
        <v>78.1</v>
      </c>
      <c r="T127" s="8">
        <v>84.29</v>
      </c>
      <c r="U127" s="8">
        <v>80.79</v>
      </c>
      <c r="V127" s="8">
        <v>0.73</v>
      </c>
      <c r="W127" s="8">
        <v>25.86</v>
      </c>
      <c r="X127" s="8">
        <v>60.1</v>
      </c>
      <c r="Y127" s="8">
        <v>33.95</v>
      </c>
      <c r="Z127" s="8">
        <v>46.82926941</v>
      </c>
      <c r="AA127" s="8">
        <v>-1.15</v>
      </c>
      <c r="AB127" s="8">
        <v>-0.42</v>
      </c>
      <c r="AC127" s="8">
        <v>0.16</v>
      </c>
      <c r="AD127" s="8">
        <v>-0.31</v>
      </c>
      <c r="AE127" s="8">
        <v>2.54</v>
      </c>
      <c r="AF127" s="8">
        <v>0.11</v>
      </c>
      <c r="AG127" s="8">
        <v>0.99</v>
      </c>
    </row>
    <row r="128" ht="16.5" customHeight="1">
      <c r="A128" s="8" t="s">
        <v>39</v>
      </c>
      <c r="B128" s="7">
        <v>2006.0</v>
      </c>
      <c r="C128" s="8">
        <v>2.8279802406E10</v>
      </c>
      <c r="D128" s="8">
        <v>7.67</v>
      </c>
      <c r="E128" s="8">
        <v>1423.19</v>
      </c>
      <c r="F128" s="8">
        <v>6.5</v>
      </c>
      <c r="G128" s="8">
        <v>10.02</v>
      </c>
      <c r="H128" s="8">
        <v>1.7</v>
      </c>
      <c r="I128" s="8">
        <v>71.26</v>
      </c>
      <c r="J128" s="8">
        <v>39.7</v>
      </c>
      <c r="K128" s="8">
        <v>1.9870706E7</v>
      </c>
      <c r="L128" s="8">
        <v>1.0</v>
      </c>
      <c r="M128" s="8">
        <v>5.6</v>
      </c>
      <c r="N128" s="8">
        <v>71.97</v>
      </c>
      <c r="O128" s="8">
        <v>11.5</v>
      </c>
      <c r="P128" s="8">
        <v>91.0</v>
      </c>
      <c r="Q128" s="8">
        <v>97.63</v>
      </c>
      <c r="R128" s="8">
        <v>18.29</v>
      </c>
      <c r="S128" s="8">
        <v>82.1</v>
      </c>
      <c r="T128" s="8">
        <v>84.58</v>
      </c>
      <c r="U128" s="8">
        <v>81.6</v>
      </c>
      <c r="V128" s="8">
        <v>0.65</v>
      </c>
      <c r="W128" s="8">
        <v>25.24</v>
      </c>
      <c r="X128" s="8">
        <v>62.2</v>
      </c>
      <c r="Y128" s="8">
        <v>33.85</v>
      </c>
      <c r="Z128" s="8">
        <v>51.21951294</v>
      </c>
      <c r="AA128" s="8">
        <v>-1.42</v>
      </c>
      <c r="AB128" s="8">
        <v>-0.27</v>
      </c>
      <c r="AC128" s="8">
        <v>0.18</v>
      </c>
      <c r="AD128" s="8">
        <v>-0.44</v>
      </c>
      <c r="AE128" s="8">
        <v>3.88</v>
      </c>
      <c r="AF128" s="8">
        <v>0.17</v>
      </c>
      <c r="AG128" s="8">
        <v>0.99</v>
      </c>
    </row>
    <row r="129" ht="16.5" customHeight="1">
      <c r="A129" s="8" t="s">
        <v>39</v>
      </c>
      <c r="B129" s="7">
        <v>2007.0</v>
      </c>
      <c r="C129" s="8">
        <v>3.235023876E10</v>
      </c>
      <c r="D129" s="8">
        <v>6.8</v>
      </c>
      <c r="E129" s="8">
        <v>1611.18</v>
      </c>
      <c r="F129" s="8">
        <v>5.97</v>
      </c>
      <c r="G129" s="8">
        <v>15.84</v>
      </c>
      <c r="H129" s="8">
        <v>1.86</v>
      </c>
      <c r="I129" s="8">
        <v>68.61</v>
      </c>
      <c r="J129" s="8">
        <v>33.71</v>
      </c>
      <c r="K129" s="8">
        <v>2.0078655E7</v>
      </c>
      <c r="L129" s="8">
        <v>1.04</v>
      </c>
      <c r="M129" s="8">
        <v>2.7</v>
      </c>
      <c r="N129" s="8">
        <v>72.05</v>
      </c>
      <c r="O129" s="8">
        <v>10.8</v>
      </c>
      <c r="P129" s="8">
        <v>22.0</v>
      </c>
      <c r="Q129" s="8">
        <v>96.77</v>
      </c>
      <c r="R129" s="8">
        <v>18.27</v>
      </c>
      <c r="S129" s="8">
        <v>80.0</v>
      </c>
      <c r="T129" s="8">
        <v>84.87</v>
      </c>
      <c r="U129" s="8">
        <v>82.42</v>
      </c>
      <c r="V129" s="8">
        <v>0.7</v>
      </c>
      <c r="W129" s="8">
        <v>24.4</v>
      </c>
      <c r="X129" s="8">
        <v>60.2</v>
      </c>
      <c r="Y129" s="8">
        <v>33.75</v>
      </c>
      <c r="Z129" s="8">
        <v>52.91262054</v>
      </c>
      <c r="AA129" s="8">
        <v>-1.75</v>
      </c>
      <c r="AB129" s="8">
        <v>-0.3</v>
      </c>
      <c r="AC129" s="8">
        <v>0.13</v>
      </c>
      <c r="AD129" s="8">
        <v>-0.46</v>
      </c>
      <c r="AE129" s="8">
        <v>15.77</v>
      </c>
      <c r="AF129" s="8">
        <v>0.11</v>
      </c>
      <c r="AG129" s="8">
        <v>1.88</v>
      </c>
    </row>
    <row r="130" ht="16.5" customHeight="1">
      <c r="A130" s="8" t="s">
        <v>39</v>
      </c>
      <c r="B130" s="7">
        <v>2008.0</v>
      </c>
      <c r="C130" s="8">
        <v>4.0713826215E10</v>
      </c>
      <c r="D130" s="8">
        <v>5.95</v>
      </c>
      <c r="E130" s="8">
        <v>2007.03</v>
      </c>
      <c r="F130" s="8">
        <v>5.22</v>
      </c>
      <c r="G130" s="8">
        <v>22.56</v>
      </c>
      <c r="H130" s="8">
        <v>1.85</v>
      </c>
      <c r="I130" s="8">
        <v>63.37</v>
      </c>
      <c r="J130" s="8">
        <v>33.71</v>
      </c>
      <c r="K130" s="8">
        <v>2.0285643E7</v>
      </c>
      <c r="L130" s="8">
        <v>1.03</v>
      </c>
      <c r="M130" s="8">
        <v>2.7</v>
      </c>
      <c r="N130" s="8">
        <v>71.73</v>
      </c>
      <c r="O130" s="8">
        <v>10.3</v>
      </c>
      <c r="P130" s="8">
        <v>91.0</v>
      </c>
      <c r="Q130" s="8">
        <v>95.74</v>
      </c>
      <c r="R130" s="8">
        <v>18.26</v>
      </c>
      <c r="S130" s="8">
        <v>82.9</v>
      </c>
      <c r="T130" s="8">
        <v>85.15</v>
      </c>
      <c r="U130" s="8">
        <v>83.24</v>
      </c>
      <c r="V130" s="8">
        <v>0.66</v>
      </c>
      <c r="W130" s="8">
        <v>23.34</v>
      </c>
      <c r="X130" s="8">
        <v>61.6</v>
      </c>
      <c r="Y130" s="8">
        <v>33.65</v>
      </c>
      <c r="Z130" s="8">
        <v>50.48543549</v>
      </c>
      <c r="AA130" s="8">
        <v>-1.8</v>
      </c>
      <c r="AB130" s="8">
        <v>-0.39</v>
      </c>
      <c r="AC130" s="8">
        <v>-0.89</v>
      </c>
      <c r="AD130" s="8">
        <v>-0.48</v>
      </c>
      <c r="AE130" s="8">
        <v>15.77</v>
      </c>
      <c r="AF130" s="8">
        <v>0.11</v>
      </c>
      <c r="AG130" s="8">
        <v>0.98</v>
      </c>
    </row>
    <row r="131" ht="16.5" customHeight="1">
      <c r="A131" s="8" t="s">
        <v>39</v>
      </c>
      <c r="B131" s="7">
        <v>2009.0</v>
      </c>
      <c r="C131" s="8">
        <v>4.2066224093E10</v>
      </c>
      <c r="D131" s="8">
        <v>3.54</v>
      </c>
      <c r="E131" s="8">
        <v>2053.77</v>
      </c>
      <c r="F131" s="8">
        <v>5.85</v>
      </c>
      <c r="G131" s="8">
        <v>3.46</v>
      </c>
      <c r="H131" s="8">
        <v>0.96</v>
      </c>
      <c r="I131" s="8">
        <v>49.15</v>
      </c>
      <c r="J131" s="8">
        <v>36.1</v>
      </c>
      <c r="K131" s="8">
        <v>2.0482477E7</v>
      </c>
      <c r="L131" s="8">
        <v>0.97</v>
      </c>
      <c r="M131" s="8">
        <v>3.5</v>
      </c>
      <c r="N131" s="8">
        <v>69.19</v>
      </c>
      <c r="O131" s="8">
        <v>13.6</v>
      </c>
      <c r="P131" s="8">
        <v>22.0</v>
      </c>
      <c r="Q131" s="8">
        <v>93.38</v>
      </c>
      <c r="R131" s="8">
        <v>18.24</v>
      </c>
      <c r="S131" s="8">
        <v>87.1</v>
      </c>
      <c r="T131" s="8">
        <v>85.44</v>
      </c>
      <c r="U131" s="8">
        <v>84.06</v>
      </c>
      <c r="V131" s="8">
        <v>0.62</v>
      </c>
      <c r="W131" s="8">
        <v>22.05</v>
      </c>
      <c r="X131" s="8">
        <v>63.5</v>
      </c>
      <c r="Y131" s="8">
        <v>33.55</v>
      </c>
      <c r="Z131" s="8">
        <v>42.5837326</v>
      </c>
      <c r="AA131" s="8">
        <v>-1.34</v>
      </c>
      <c r="AB131" s="8">
        <v>-0.29</v>
      </c>
      <c r="AC131" s="8">
        <v>-0.1</v>
      </c>
      <c r="AD131" s="8">
        <v>-0.51</v>
      </c>
      <c r="AE131" s="8">
        <v>15.77</v>
      </c>
      <c r="AF131" s="8">
        <v>0.11</v>
      </c>
      <c r="AG131" s="8">
        <v>1.13</v>
      </c>
    </row>
    <row r="132" ht="16.5" customHeight="1">
      <c r="A132" s="8" t="s">
        <v>39</v>
      </c>
      <c r="B132" s="7">
        <v>2010.0</v>
      </c>
      <c r="C132" s="8">
        <v>5.8636161082E10</v>
      </c>
      <c r="D132" s="8">
        <v>8.02</v>
      </c>
      <c r="E132" s="8">
        <v>2836.97</v>
      </c>
      <c r="F132" s="8">
        <v>4.78</v>
      </c>
      <c r="G132" s="8">
        <v>6.22</v>
      </c>
      <c r="H132" s="8">
        <v>0.81</v>
      </c>
      <c r="I132" s="8">
        <v>36.37</v>
      </c>
      <c r="J132" s="8">
        <v>33.71</v>
      </c>
      <c r="K132" s="8">
        <v>2.0668557E7</v>
      </c>
      <c r="L132" s="8">
        <v>0.9</v>
      </c>
      <c r="M132" s="8">
        <v>2.7</v>
      </c>
      <c r="N132" s="8">
        <v>73.22</v>
      </c>
      <c r="O132" s="8">
        <v>9.6</v>
      </c>
      <c r="P132" s="8">
        <v>91.0</v>
      </c>
      <c r="Q132" s="8">
        <v>97.78</v>
      </c>
      <c r="R132" s="8">
        <v>18.23</v>
      </c>
      <c r="S132" s="8">
        <v>85.3</v>
      </c>
      <c r="T132" s="8">
        <v>85.73</v>
      </c>
      <c r="U132" s="8">
        <v>84.89</v>
      </c>
      <c r="V132" s="8">
        <v>0.65</v>
      </c>
      <c r="W132" s="8">
        <v>19.31</v>
      </c>
      <c r="X132" s="8">
        <v>61.9</v>
      </c>
      <c r="Y132" s="8">
        <v>33.63</v>
      </c>
      <c r="Z132" s="8">
        <v>41.90476227</v>
      </c>
      <c r="AA132" s="8">
        <v>-0.94</v>
      </c>
      <c r="AB132" s="8">
        <v>-0.25</v>
      </c>
      <c r="AC132" s="8">
        <v>-0.12</v>
      </c>
      <c r="AD132" s="8">
        <v>-0.55</v>
      </c>
      <c r="AE132" s="8">
        <v>15.77</v>
      </c>
      <c r="AF132" s="8">
        <v>0.13</v>
      </c>
      <c r="AG132" s="8">
        <v>1.04</v>
      </c>
    </row>
    <row r="133" ht="16.5" customHeight="1">
      <c r="A133" s="8" t="s">
        <v>39</v>
      </c>
      <c r="B133" s="7">
        <v>2011.0</v>
      </c>
      <c r="C133" s="8">
        <v>6.7753284044E10</v>
      </c>
      <c r="D133" s="8">
        <v>8.67</v>
      </c>
      <c r="E133" s="8">
        <v>3248.04</v>
      </c>
      <c r="F133" s="8">
        <v>4.12</v>
      </c>
      <c r="G133" s="8">
        <v>6.72</v>
      </c>
      <c r="H133" s="8">
        <v>1.41</v>
      </c>
      <c r="I133" s="8">
        <v>36.37</v>
      </c>
      <c r="J133" s="8">
        <v>33.71</v>
      </c>
      <c r="K133" s="8">
        <v>2.0859743E7</v>
      </c>
      <c r="L133" s="8">
        <v>0.92</v>
      </c>
      <c r="M133" s="8">
        <v>2.7</v>
      </c>
      <c r="N133" s="8">
        <v>73.38</v>
      </c>
      <c r="O133" s="8">
        <v>9.3</v>
      </c>
      <c r="P133" s="8">
        <v>22.0</v>
      </c>
      <c r="Q133" s="8">
        <v>97.4</v>
      </c>
      <c r="R133" s="8">
        <v>18.21</v>
      </c>
      <c r="S133" s="8">
        <v>87.8</v>
      </c>
      <c r="T133" s="8">
        <v>86.02</v>
      </c>
      <c r="U133" s="8">
        <v>85.72</v>
      </c>
      <c r="V133" s="8">
        <v>0.76</v>
      </c>
      <c r="W133" s="8">
        <v>20.91</v>
      </c>
      <c r="X133" s="8">
        <v>56.4</v>
      </c>
      <c r="Y133" s="8">
        <v>33.71</v>
      </c>
      <c r="Z133" s="8">
        <v>42.65402985</v>
      </c>
      <c r="AA133" s="8">
        <v>-0.72</v>
      </c>
      <c r="AB133" s="8">
        <v>-0.13</v>
      </c>
      <c r="AC133" s="8">
        <v>-0.12</v>
      </c>
      <c r="AD133" s="8">
        <v>-0.58</v>
      </c>
      <c r="AE133" s="8">
        <v>15.77</v>
      </c>
      <c r="AF133" s="8">
        <v>0.11</v>
      </c>
      <c r="AG133" s="8">
        <v>0.95</v>
      </c>
    </row>
    <row r="134" ht="16.5" customHeight="1">
      <c r="A134" s="8" t="s">
        <v>39</v>
      </c>
      <c r="B134" s="7">
        <v>2012.0</v>
      </c>
      <c r="C134" s="8">
        <v>7.0447216891E10</v>
      </c>
      <c r="D134" s="8">
        <v>8.63</v>
      </c>
      <c r="E134" s="8">
        <v>3351.89</v>
      </c>
      <c r="F134" s="8">
        <v>3.88</v>
      </c>
      <c r="G134" s="8">
        <v>7.54</v>
      </c>
      <c r="H134" s="8">
        <v>1.34</v>
      </c>
      <c r="I134" s="8">
        <v>36.37</v>
      </c>
      <c r="J134" s="8">
        <v>38.7</v>
      </c>
      <c r="K134" s="8">
        <v>2.1017147E7</v>
      </c>
      <c r="L134" s="8">
        <v>0.75</v>
      </c>
      <c r="M134" s="8">
        <v>2.6</v>
      </c>
      <c r="N134" s="8">
        <v>73.91</v>
      </c>
      <c r="O134" s="8">
        <v>8.9</v>
      </c>
      <c r="P134" s="8">
        <v>22.0</v>
      </c>
      <c r="Q134" s="8">
        <v>97.18</v>
      </c>
      <c r="R134" s="8">
        <v>18.2</v>
      </c>
      <c r="S134" s="8">
        <v>87.0</v>
      </c>
      <c r="T134" s="8">
        <v>86.31</v>
      </c>
      <c r="U134" s="8">
        <v>86.55</v>
      </c>
      <c r="V134" s="8">
        <v>0.85</v>
      </c>
      <c r="W134" s="8">
        <v>21.97</v>
      </c>
      <c r="X134" s="8">
        <v>52.9</v>
      </c>
      <c r="Y134" s="8">
        <v>33.79</v>
      </c>
      <c r="Z134" s="8">
        <v>50.23696518</v>
      </c>
      <c r="AA134" s="8">
        <v>-0.72</v>
      </c>
      <c r="AB134" s="8">
        <v>-0.13</v>
      </c>
      <c r="AC134" s="8">
        <v>-0.11</v>
      </c>
      <c r="AD134" s="8">
        <v>-0.59</v>
      </c>
      <c r="AE134" s="8">
        <v>15.77</v>
      </c>
      <c r="AF134" s="8">
        <v>0.11</v>
      </c>
      <c r="AG134" s="8">
        <v>1.04</v>
      </c>
    </row>
    <row r="135" ht="16.5" customHeight="1">
      <c r="A135" s="8" t="s">
        <v>39</v>
      </c>
      <c r="B135" s="7">
        <v>2013.0</v>
      </c>
      <c r="C135" s="8">
        <v>7.7000578167E10</v>
      </c>
      <c r="D135" s="8">
        <v>4.05</v>
      </c>
      <c r="E135" s="8">
        <v>3643.83</v>
      </c>
      <c r="F135" s="8">
        <v>4.19</v>
      </c>
      <c r="G135" s="8">
        <v>6.91</v>
      </c>
      <c r="H135" s="8">
        <v>1.21</v>
      </c>
      <c r="I135" s="8">
        <v>36.37</v>
      </c>
      <c r="J135" s="8">
        <v>33.71</v>
      </c>
      <c r="K135" s="8">
        <v>2.1131756E7</v>
      </c>
      <c r="L135" s="8">
        <v>0.54</v>
      </c>
      <c r="M135" s="8">
        <v>2.7</v>
      </c>
      <c r="N135" s="8">
        <v>74.24</v>
      </c>
      <c r="O135" s="8">
        <v>8.4</v>
      </c>
      <c r="P135" s="8">
        <v>22.0</v>
      </c>
      <c r="Q135" s="8">
        <v>97.27</v>
      </c>
      <c r="R135" s="8">
        <v>18.2</v>
      </c>
      <c r="S135" s="8">
        <v>90.2</v>
      </c>
      <c r="T135" s="8">
        <v>86.6</v>
      </c>
      <c r="U135" s="8">
        <v>87.39</v>
      </c>
      <c r="V135" s="8">
        <v>0.7</v>
      </c>
      <c r="W135" s="8">
        <v>19.78</v>
      </c>
      <c r="X135" s="8">
        <v>56.9</v>
      </c>
      <c r="Y135" s="8">
        <v>33.87</v>
      </c>
      <c r="Z135" s="8">
        <v>52.13270187</v>
      </c>
      <c r="AA135" s="8">
        <v>-0.61</v>
      </c>
      <c r="AB135" s="8">
        <v>-0.17</v>
      </c>
      <c r="AC135" s="8">
        <v>-0.27</v>
      </c>
      <c r="AD135" s="8">
        <v>-0.67</v>
      </c>
      <c r="AE135" s="8">
        <v>10.5</v>
      </c>
      <c r="AF135" s="8">
        <v>0.1</v>
      </c>
      <c r="AG135" s="8">
        <v>0.95</v>
      </c>
    </row>
    <row r="136" ht="16.5" customHeight="1">
      <c r="A136" s="8" t="s">
        <v>39</v>
      </c>
      <c r="B136" s="7">
        <v>2014.0</v>
      </c>
      <c r="C136" s="8">
        <v>8.2528535714E10</v>
      </c>
      <c r="D136" s="8">
        <v>6.38</v>
      </c>
      <c r="E136" s="8">
        <v>3885.62</v>
      </c>
      <c r="F136" s="8">
        <v>4.16</v>
      </c>
      <c r="G136" s="8">
        <v>3.18</v>
      </c>
      <c r="H136" s="8">
        <v>1.08</v>
      </c>
      <c r="I136" s="8">
        <v>36.37</v>
      </c>
      <c r="J136" s="8">
        <v>33.71</v>
      </c>
      <c r="K136" s="8">
        <v>2.1239457E7</v>
      </c>
      <c r="L136" s="8">
        <v>0.51</v>
      </c>
      <c r="M136" s="8">
        <v>2.7</v>
      </c>
      <c r="N136" s="8">
        <v>74.65</v>
      </c>
      <c r="O136" s="8">
        <v>8.0</v>
      </c>
      <c r="P136" s="8">
        <v>22.0</v>
      </c>
      <c r="Q136" s="8">
        <v>97.43</v>
      </c>
      <c r="R136" s="8">
        <v>18.22</v>
      </c>
      <c r="S136" s="8">
        <v>92.7</v>
      </c>
      <c r="T136" s="8">
        <v>86.9</v>
      </c>
      <c r="U136" s="8">
        <v>88.23</v>
      </c>
      <c r="V136" s="8">
        <v>0.84</v>
      </c>
      <c r="W136" s="8">
        <v>17.91</v>
      </c>
      <c r="X136" s="8">
        <v>54.2</v>
      </c>
      <c r="Y136" s="8">
        <v>34.4</v>
      </c>
      <c r="Z136" s="8">
        <v>45.67307663</v>
      </c>
      <c r="AA136" s="8">
        <v>-0.33</v>
      </c>
      <c r="AB136" s="8">
        <v>-0.11</v>
      </c>
      <c r="AC136" s="8">
        <v>-0.15</v>
      </c>
      <c r="AD136" s="8">
        <v>-0.3</v>
      </c>
      <c r="AE136" s="8">
        <v>15.26</v>
      </c>
      <c r="AF136" s="8">
        <v>0.1</v>
      </c>
      <c r="AG136" s="8">
        <v>0.89</v>
      </c>
    </row>
    <row r="137" ht="16.5" customHeight="1">
      <c r="A137" s="8" t="s">
        <v>39</v>
      </c>
      <c r="B137" s="7">
        <v>2015.0</v>
      </c>
      <c r="C137" s="8">
        <v>8.5140955389E10</v>
      </c>
      <c r="D137" s="8">
        <v>4.21</v>
      </c>
      <c r="E137" s="8">
        <v>3990.35</v>
      </c>
      <c r="F137" s="8">
        <v>4.52</v>
      </c>
      <c r="G137" s="8">
        <v>3.77</v>
      </c>
      <c r="H137" s="8">
        <v>0.8</v>
      </c>
      <c r="I137" s="8">
        <v>46.92</v>
      </c>
      <c r="J137" s="8">
        <v>33.71</v>
      </c>
      <c r="K137" s="8">
        <v>2.1336697E7</v>
      </c>
      <c r="L137" s="8">
        <v>0.46</v>
      </c>
      <c r="M137" s="8">
        <v>2.7</v>
      </c>
      <c r="N137" s="8">
        <v>74.93</v>
      </c>
      <c r="O137" s="8">
        <v>7.5</v>
      </c>
      <c r="P137" s="8">
        <v>22.0</v>
      </c>
      <c r="Q137" s="8">
        <v>97.53</v>
      </c>
      <c r="R137" s="8">
        <v>18.26</v>
      </c>
      <c r="S137" s="8">
        <v>94.3</v>
      </c>
      <c r="T137" s="8">
        <v>87.19</v>
      </c>
      <c r="U137" s="8">
        <v>89.08</v>
      </c>
      <c r="V137" s="8">
        <v>0.92</v>
      </c>
      <c r="W137" s="8">
        <v>19.52</v>
      </c>
      <c r="X137" s="8">
        <v>51.3</v>
      </c>
      <c r="Y137" s="8">
        <v>34.34</v>
      </c>
      <c r="Z137" s="8">
        <v>43.33333206</v>
      </c>
      <c r="AA137" s="8">
        <v>0.08</v>
      </c>
      <c r="AB137" s="8">
        <v>-0.06</v>
      </c>
      <c r="AC137" s="8">
        <v>0.03</v>
      </c>
      <c r="AD137" s="8">
        <v>-0.08</v>
      </c>
      <c r="AE137" s="8">
        <v>22.19</v>
      </c>
      <c r="AF137" s="8">
        <v>0.1</v>
      </c>
      <c r="AG137" s="8">
        <v>0.94</v>
      </c>
    </row>
    <row r="138" ht="16.5" customHeight="1">
      <c r="A138" s="8" t="s">
        <v>39</v>
      </c>
      <c r="B138" s="7">
        <v>2016.0</v>
      </c>
      <c r="C138" s="8">
        <v>8.8012282206E10</v>
      </c>
      <c r="D138" s="8">
        <v>5.05</v>
      </c>
      <c r="E138" s="8">
        <v>4107.83</v>
      </c>
      <c r="F138" s="8">
        <v>4.24</v>
      </c>
      <c r="G138" s="8">
        <v>3.96</v>
      </c>
      <c r="H138" s="8">
        <v>1.02</v>
      </c>
      <c r="I138" s="8">
        <v>46.47</v>
      </c>
      <c r="J138" s="8">
        <v>39.3</v>
      </c>
      <c r="K138" s="8">
        <v>2.1425494E7</v>
      </c>
      <c r="L138" s="8">
        <v>0.42</v>
      </c>
      <c r="M138" s="8">
        <v>1.3</v>
      </c>
      <c r="N138" s="8">
        <v>75.33</v>
      </c>
      <c r="O138" s="8">
        <v>7.1</v>
      </c>
      <c r="P138" s="8">
        <v>92.0</v>
      </c>
      <c r="Q138" s="8">
        <v>97.53</v>
      </c>
      <c r="R138" s="8">
        <v>18.31</v>
      </c>
      <c r="S138" s="8">
        <v>97.5</v>
      </c>
      <c r="T138" s="8">
        <v>87.49</v>
      </c>
      <c r="U138" s="8">
        <v>89.92</v>
      </c>
      <c r="V138" s="8">
        <v>1.1</v>
      </c>
      <c r="W138" s="8">
        <v>18.35</v>
      </c>
      <c r="X138" s="8">
        <v>45.1</v>
      </c>
      <c r="Y138" s="8">
        <v>34.29</v>
      </c>
      <c r="Z138" s="8">
        <v>44.2857132</v>
      </c>
      <c r="AA138" s="8">
        <v>-0.01</v>
      </c>
      <c r="AB138" s="8">
        <v>-0.12</v>
      </c>
      <c r="AC138" s="8">
        <v>0.11</v>
      </c>
      <c r="AD138" s="8">
        <v>-0.06</v>
      </c>
      <c r="AE138" s="8">
        <v>25.1</v>
      </c>
      <c r="AF138" s="8">
        <v>0.12</v>
      </c>
      <c r="AG138" s="8">
        <v>1.02</v>
      </c>
    </row>
    <row r="139" ht="16.5" customHeight="1">
      <c r="A139" s="8" t="s">
        <v>39</v>
      </c>
      <c r="B139" s="7">
        <v>2017.0</v>
      </c>
      <c r="C139" s="8">
        <v>9.4376237797E10</v>
      </c>
      <c r="D139" s="8">
        <v>6.46</v>
      </c>
      <c r="E139" s="8">
        <v>4388.2</v>
      </c>
      <c r="F139" s="8">
        <v>4.05</v>
      </c>
      <c r="G139" s="8">
        <v>7.7</v>
      </c>
      <c r="H139" s="8">
        <v>1.45</v>
      </c>
      <c r="I139" s="8">
        <v>47.14</v>
      </c>
      <c r="J139" s="8">
        <v>33.71</v>
      </c>
      <c r="K139" s="8">
        <v>2.1506813E7</v>
      </c>
      <c r="L139" s="8">
        <v>0.38</v>
      </c>
      <c r="M139" s="8">
        <v>2.7</v>
      </c>
      <c r="N139" s="8">
        <v>75.4</v>
      </c>
      <c r="O139" s="8">
        <v>6.8</v>
      </c>
      <c r="P139" s="8">
        <v>92.0</v>
      </c>
      <c r="Q139" s="8">
        <v>97.65</v>
      </c>
      <c r="R139" s="8">
        <v>18.38</v>
      </c>
      <c r="S139" s="8">
        <v>97.5</v>
      </c>
      <c r="T139" s="8">
        <v>87.79</v>
      </c>
      <c r="U139" s="8">
        <v>90.77</v>
      </c>
      <c r="V139" s="8">
        <v>1.09</v>
      </c>
      <c r="W139" s="8">
        <v>20.85</v>
      </c>
      <c r="X139" s="8">
        <v>45.8</v>
      </c>
      <c r="Y139" s="8">
        <v>34.26</v>
      </c>
      <c r="Z139" s="8">
        <v>39.52381134</v>
      </c>
      <c r="AA139" s="8">
        <v>-0.08</v>
      </c>
      <c r="AB139" s="8">
        <v>-0.16</v>
      </c>
      <c r="AC139" s="8">
        <v>0.03</v>
      </c>
      <c r="AD139" s="8">
        <v>-0.01</v>
      </c>
      <c r="AE139" s="8">
        <v>28.3</v>
      </c>
      <c r="AF139" s="8">
        <v>0.12</v>
      </c>
      <c r="AG139" s="8">
        <v>0.99</v>
      </c>
    </row>
    <row r="140" ht="16.5" customHeight="1">
      <c r="A140" s="8" t="s">
        <v>39</v>
      </c>
      <c r="B140" s="7">
        <v>2018.0</v>
      </c>
      <c r="C140" s="8">
        <v>9.4493871201E10</v>
      </c>
      <c r="D140" s="8">
        <v>2.31</v>
      </c>
      <c r="E140" s="8">
        <v>4360.58</v>
      </c>
      <c r="F140" s="8">
        <v>4.32</v>
      </c>
      <c r="G140" s="8">
        <v>2.14</v>
      </c>
      <c r="H140" s="8">
        <v>1.71</v>
      </c>
      <c r="I140" s="8">
        <v>49.81</v>
      </c>
      <c r="J140" s="8">
        <v>33.71</v>
      </c>
      <c r="K140" s="8">
        <v>2.167E7</v>
      </c>
      <c r="L140" s="8">
        <v>0.76</v>
      </c>
      <c r="M140" s="8">
        <v>2.7</v>
      </c>
      <c r="N140" s="8">
        <v>75.75</v>
      </c>
      <c r="O140" s="8">
        <v>6.5</v>
      </c>
      <c r="P140" s="8">
        <v>92.0</v>
      </c>
      <c r="Q140" s="8">
        <v>97.28</v>
      </c>
      <c r="R140" s="8">
        <v>18.48</v>
      </c>
      <c r="S140" s="8">
        <v>99.6</v>
      </c>
      <c r="T140" s="8">
        <v>88.09</v>
      </c>
      <c r="U140" s="8">
        <v>91.63</v>
      </c>
      <c r="V140" s="8">
        <v>1.01</v>
      </c>
      <c r="W140" s="8">
        <v>19.78</v>
      </c>
      <c r="X140" s="8">
        <v>47.9</v>
      </c>
      <c r="Y140" s="8">
        <v>34.21</v>
      </c>
      <c r="Z140" s="8">
        <v>42.38095093</v>
      </c>
      <c r="AA140" s="8">
        <v>-0.14</v>
      </c>
      <c r="AB140" s="8">
        <v>-0.22</v>
      </c>
      <c r="AC140" s="8">
        <v>-0.89</v>
      </c>
      <c r="AD140" s="8">
        <v>-0.09</v>
      </c>
      <c r="AE140" s="8">
        <v>32.0</v>
      </c>
      <c r="AF140" s="8">
        <v>0.12</v>
      </c>
      <c r="AG140" s="8">
        <v>1.1</v>
      </c>
    </row>
    <row r="141" ht="16.5" customHeight="1">
      <c r="A141" s="8" t="s">
        <v>39</v>
      </c>
      <c r="B141" s="7">
        <v>2019.0</v>
      </c>
      <c r="C141" s="8">
        <v>8.9014978344E10</v>
      </c>
      <c r="D141" s="8">
        <v>-0.22</v>
      </c>
      <c r="E141" s="8">
        <v>4082.69</v>
      </c>
      <c r="F141" s="8">
        <v>4.67</v>
      </c>
      <c r="G141" s="8">
        <v>3.53</v>
      </c>
      <c r="H141" s="8">
        <v>0.84</v>
      </c>
      <c r="I141" s="8">
        <v>49.43</v>
      </c>
      <c r="J141" s="8">
        <v>37.7</v>
      </c>
      <c r="K141" s="8">
        <v>2.1803E7</v>
      </c>
      <c r="L141" s="8">
        <v>0.61</v>
      </c>
      <c r="M141" s="8">
        <v>1.0</v>
      </c>
      <c r="N141" s="8">
        <v>76.01</v>
      </c>
      <c r="O141" s="8">
        <v>6.2</v>
      </c>
      <c r="P141" s="8">
        <v>92.0</v>
      </c>
      <c r="Q141" s="8">
        <v>97.28</v>
      </c>
      <c r="R141" s="8">
        <v>18.59</v>
      </c>
      <c r="S141" s="8">
        <v>99.8</v>
      </c>
      <c r="T141" s="8">
        <v>88.39</v>
      </c>
      <c r="U141" s="8">
        <v>92.49</v>
      </c>
      <c r="V141" s="8">
        <v>1.08</v>
      </c>
      <c r="W141" s="8">
        <v>19.96</v>
      </c>
      <c r="X141" s="8">
        <v>46.1</v>
      </c>
      <c r="Y141" s="8">
        <v>34.16</v>
      </c>
      <c r="Z141" s="8">
        <v>44.2857132</v>
      </c>
      <c r="AA141" s="8">
        <v>-0.22</v>
      </c>
      <c r="AB141" s="8">
        <v>-0.23</v>
      </c>
      <c r="AC141" s="8">
        <v>0.04</v>
      </c>
      <c r="AD141" s="8">
        <v>-0.05</v>
      </c>
      <c r="AE141" s="8">
        <v>36.18</v>
      </c>
      <c r="AF141" s="8">
        <v>0.11</v>
      </c>
      <c r="AG141" s="8">
        <v>1.26</v>
      </c>
    </row>
    <row r="142" ht="16.5" customHeight="1">
      <c r="A142" s="8" t="s">
        <v>39</v>
      </c>
      <c r="B142" s="7">
        <v>2020.0</v>
      </c>
      <c r="C142" s="8">
        <v>8.4304298771E10</v>
      </c>
      <c r="D142" s="8">
        <v>-4.62</v>
      </c>
      <c r="E142" s="8">
        <v>3846.17</v>
      </c>
      <c r="F142" s="8">
        <v>5.37</v>
      </c>
      <c r="G142" s="8">
        <v>6.15</v>
      </c>
      <c r="H142" s="8">
        <v>0.51</v>
      </c>
      <c r="I142" s="8">
        <v>37.09</v>
      </c>
      <c r="J142" s="8">
        <v>33.71</v>
      </c>
      <c r="K142" s="8">
        <v>2.1919E7</v>
      </c>
      <c r="L142" s="8">
        <v>0.53</v>
      </c>
      <c r="M142" s="8">
        <v>2.7</v>
      </c>
      <c r="N142" s="8">
        <v>76.39</v>
      </c>
      <c r="O142" s="8">
        <v>6.0</v>
      </c>
      <c r="P142" s="8">
        <v>92.0</v>
      </c>
      <c r="Q142" s="8">
        <v>97.48</v>
      </c>
      <c r="R142" s="8">
        <v>18.71</v>
      </c>
      <c r="S142" s="8">
        <v>100.0</v>
      </c>
      <c r="T142" s="8">
        <v>88.7</v>
      </c>
      <c r="U142" s="8">
        <v>93.35</v>
      </c>
      <c r="V142" s="8">
        <v>1.01</v>
      </c>
      <c r="W142" s="8">
        <v>40.46</v>
      </c>
      <c r="X142" s="8">
        <v>49.3</v>
      </c>
      <c r="Y142" s="8">
        <v>34.11</v>
      </c>
      <c r="Z142" s="8">
        <v>43.80952454</v>
      </c>
      <c r="AA142" s="8">
        <v>-0.09</v>
      </c>
      <c r="AB142" s="8">
        <v>-0.23</v>
      </c>
      <c r="AC142" s="8">
        <v>-0.01</v>
      </c>
      <c r="AD142" s="8">
        <v>-0.07</v>
      </c>
      <c r="AE142" s="8">
        <v>44.45</v>
      </c>
      <c r="AF142" s="8">
        <v>0.12</v>
      </c>
      <c r="AG142" s="8">
        <v>1.05</v>
      </c>
    </row>
    <row r="143" ht="16.5" customHeight="1">
      <c r="A143" s="8" t="s">
        <v>39</v>
      </c>
      <c r="B143" s="7">
        <v>2021.0</v>
      </c>
      <c r="C143" s="8">
        <v>8.8609332762E10</v>
      </c>
      <c r="D143" s="8">
        <v>4.21</v>
      </c>
      <c r="E143" s="8">
        <v>3999.34</v>
      </c>
      <c r="F143" s="8">
        <v>5.26</v>
      </c>
      <c r="G143" s="8">
        <v>7.01</v>
      </c>
      <c r="H143" s="8">
        <v>0.67</v>
      </c>
      <c r="I143" s="8">
        <v>41.23</v>
      </c>
      <c r="J143" s="8">
        <v>33.71</v>
      </c>
      <c r="K143" s="8">
        <v>2.2156E7</v>
      </c>
      <c r="L143" s="8">
        <v>1.08</v>
      </c>
      <c r="M143" s="8">
        <v>2.7</v>
      </c>
      <c r="N143" s="8">
        <v>76.4</v>
      </c>
      <c r="O143" s="8">
        <v>5.7</v>
      </c>
      <c r="P143" s="8">
        <v>92.0</v>
      </c>
      <c r="Q143" s="8">
        <v>96.87</v>
      </c>
      <c r="R143" s="8">
        <v>18.86</v>
      </c>
      <c r="S143" s="8">
        <v>100.0</v>
      </c>
      <c r="T143" s="8">
        <v>89.0</v>
      </c>
      <c r="U143" s="8">
        <v>94.22</v>
      </c>
      <c r="V143" s="8">
        <v>0.96</v>
      </c>
      <c r="W143" s="8">
        <v>40.46</v>
      </c>
      <c r="X143" s="8">
        <v>48.8</v>
      </c>
      <c r="Y143" s="8">
        <v>22.14</v>
      </c>
      <c r="Z143" s="8">
        <v>42.8571434</v>
      </c>
      <c r="AA143" s="8">
        <v>-0.38</v>
      </c>
      <c r="AB143" s="8">
        <v>-0.39</v>
      </c>
      <c r="AC143" s="8">
        <v>0.02</v>
      </c>
      <c r="AD143" s="8">
        <v>-0.19</v>
      </c>
      <c r="AE143" s="8">
        <v>50.11</v>
      </c>
      <c r="AF143" s="8">
        <v>0.11</v>
      </c>
      <c r="AG143" s="8">
        <v>1.09</v>
      </c>
    </row>
    <row r="144" ht="16.5" customHeight="1">
      <c r="A144" s="8" t="s">
        <v>39</v>
      </c>
      <c r="B144" s="7">
        <v>2022.0</v>
      </c>
      <c r="C144" s="8">
        <v>7.4144875098E10</v>
      </c>
      <c r="D144" s="8">
        <v>-7.35</v>
      </c>
      <c r="E144" s="8">
        <v>3342.72</v>
      </c>
      <c r="F144" s="8">
        <v>6.33</v>
      </c>
      <c r="G144" s="8">
        <v>49.72</v>
      </c>
      <c r="H144" s="8">
        <v>1.19</v>
      </c>
      <c r="I144" s="8">
        <v>46.68</v>
      </c>
      <c r="J144" s="8">
        <v>33.71</v>
      </c>
      <c r="K144" s="8">
        <v>2.2181E7</v>
      </c>
      <c r="L144" s="8">
        <v>0.11</v>
      </c>
      <c r="M144" s="8">
        <v>2.7</v>
      </c>
      <c r="N144" s="8">
        <v>76.61</v>
      </c>
      <c r="O144" s="8">
        <v>5.6</v>
      </c>
      <c r="P144" s="8">
        <v>92.0</v>
      </c>
      <c r="Q144" s="8">
        <v>95.92</v>
      </c>
      <c r="R144" s="8">
        <v>19.03</v>
      </c>
      <c r="S144" s="8">
        <v>100.0</v>
      </c>
      <c r="T144" s="8">
        <v>89.31</v>
      </c>
      <c r="U144" s="8">
        <v>95.09</v>
      </c>
      <c r="V144" s="8">
        <v>0.84</v>
      </c>
      <c r="W144" s="8">
        <v>40.46</v>
      </c>
      <c r="X144" s="8">
        <v>44.0</v>
      </c>
      <c r="Y144" s="8">
        <v>22.14</v>
      </c>
      <c r="Z144" s="8">
        <v>40.09434128</v>
      </c>
      <c r="AA144" s="8">
        <v>-0.79</v>
      </c>
      <c r="AB144" s="8">
        <v>-0.65</v>
      </c>
      <c r="AC144" s="8">
        <v>-0.06</v>
      </c>
      <c r="AD144" s="8">
        <v>-0.46</v>
      </c>
      <c r="AE144" s="8">
        <v>15.77</v>
      </c>
      <c r="AF144" s="8">
        <v>0.11</v>
      </c>
      <c r="AG144" s="8">
        <v>0.99</v>
      </c>
    </row>
    <row r="145" ht="16.5" customHeight="1">
      <c r="A145" s="8" t="s">
        <v>39</v>
      </c>
      <c r="B145" s="7">
        <v>2023.0</v>
      </c>
      <c r="C145" s="8">
        <v>8.4356860421E10</v>
      </c>
      <c r="D145" s="8">
        <v>-2.3</v>
      </c>
      <c r="E145" s="8">
        <v>3827.96</v>
      </c>
      <c r="F145" s="8">
        <v>6.36</v>
      </c>
      <c r="G145" s="8">
        <v>16.54</v>
      </c>
      <c r="H145" s="8">
        <v>0.84</v>
      </c>
      <c r="I145" s="8">
        <v>42.28</v>
      </c>
      <c r="J145" s="8">
        <v>33.71</v>
      </c>
      <c r="K145" s="8">
        <v>2.2037E7</v>
      </c>
      <c r="L145" s="8">
        <v>-0.65</v>
      </c>
      <c r="M145" s="8">
        <v>2.7</v>
      </c>
      <c r="N145" s="8">
        <v>65.53</v>
      </c>
      <c r="O145" s="8">
        <v>37.5</v>
      </c>
      <c r="P145" s="8">
        <v>22.0</v>
      </c>
      <c r="Q145" s="8">
        <v>88.12</v>
      </c>
      <c r="R145" s="8">
        <v>19.21</v>
      </c>
      <c r="S145" s="8">
        <v>73.2</v>
      </c>
      <c r="T145" s="8">
        <v>82.3</v>
      </c>
      <c r="U145" s="8">
        <v>55.23</v>
      </c>
      <c r="V145" s="8">
        <v>1.05</v>
      </c>
      <c r="W145" s="8">
        <v>57.91</v>
      </c>
      <c r="X145" s="8">
        <v>44.0</v>
      </c>
      <c r="Y145" s="8">
        <v>40.33</v>
      </c>
      <c r="Z145" s="8">
        <v>33.95</v>
      </c>
      <c r="AA145" s="8">
        <v>-2.44</v>
      </c>
      <c r="AB145" s="8">
        <v>-0.58</v>
      </c>
      <c r="AC145" s="8">
        <v>-0.89</v>
      </c>
      <c r="AD145" s="8">
        <v>-0.28</v>
      </c>
      <c r="AE145" s="8">
        <v>0.2</v>
      </c>
      <c r="AF145" s="8">
        <v>0.11</v>
      </c>
      <c r="AG145" s="8">
        <v>0.99</v>
      </c>
    </row>
    <row r="146" ht="16.5" customHeight="1">
      <c r="A146" s="8" t="s">
        <v>40</v>
      </c>
      <c r="B146" s="7">
        <v>2000.0</v>
      </c>
      <c r="C146" s="8">
        <v>5.494252208E9</v>
      </c>
      <c r="D146" s="8">
        <v>6.2</v>
      </c>
      <c r="E146" s="8">
        <v>223.71</v>
      </c>
      <c r="F146" s="8">
        <v>10.62</v>
      </c>
      <c r="G146" s="8">
        <v>2.48</v>
      </c>
      <c r="H146" s="8">
        <v>-0.01</v>
      </c>
      <c r="I146" s="8">
        <v>55.71</v>
      </c>
      <c r="J146" s="8">
        <v>33.71</v>
      </c>
      <c r="K146" s="8">
        <v>2.45595E7</v>
      </c>
      <c r="L146" s="8">
        <v>1.71</v>
      </c>
      <c r="M146" s="8">
        <v>2.7</v>
      </c>
      <c r="N146" s="8">
        <v>62.61</v>
      </c>
      <c r="O146" s="8">
        <v>58.5</v>
      </c>
      <c r="P146" s="8">
        <v>22.0</v>
      </c>
      <c r="Q146" s="8">
        <v>114.63</v>
      </c>
      <c r="R146" s="8">
        <v>13.4</v>
      </c>
      <c r="S146" s="8">
        <v>29.9</v>
      </c>
      <c r="T146" s="8">
        <v>79.67</v>
      </c>
      <c r="U146" s="8">
        <v>13.96</v>
      </c>
      <c r="V146" s="8">
        <v>0.14</v>
      </c>
      <c r="W146" s="8">
        <v>58.28</v>
      </c>
      <c r="X146" s="8">
        <v>88.3</v>
      </c>
      <c r="Y146" s="8">
        <v>40.45</v>
      </c>
      <c r="Z146" s="8">
        <v>36.70212936</v>
      </c>
      <c r="AA146" s="8">
        <v>-0.88</v>
      </c>
      <c r="AB146" s="8">
        <v>-0.66</v>
      </c>
      <c r="AC146" s="8">
        <v>-0.21</v>
      </c>
      <c r="AD146" s="8">
        <v>-0.46</v>
      </c>
      <c r="AE146" s="8">
        <v>0.24</v>
      </c>
      <c r="AF146" s="8">
        <v>0.11</v>
      </c>
      <c r="AG146" s="8">
        <v>0.99</v>
      </c>
    </row>
    <row r="147" ht="16.5" customHeight="1">
      <c r="A147" s="8" t="s">
        <v>40</v>
      </c>
      <c r="B147" s="7">
        <v>2001.0</v>
      </c>
      <c r="C147" s="8">
        <v>6.007055042E9</v>
      </c>
      <c r="D147" s="8">
        <v>4.8</v>
      </c>
      <c r="E147" s="8">
        <v>240.71</v>
      </c>
      <c r="F147" s="8">
        <v>10.62</v>
      </c>
      <c r="G147" s="8">
        <v>2.69</v>
      </c>
      <c r="H147" s="8">
        <v>0.35</v>
      </c>
      <c r="I147" s="8">
        <v>55.8</v>
      </c>
      <c r="J147" s="8">
        <v>33.71</v>
      </c>
      <c r="K147" s="8">
        <v>2.4956071E7</v>
      </c>
      <c r="L147" s="8">
        <v>1.6</v>
      </c>
      <c r="M147" s="8">
        <v>2.7</v>
      </c>
      <c r="N147" s="8">
        <v>63.34</v>
      </c>
      <c r="O147" s="8">
        <v>55.7</v>
      </c>
      <c r="P147" s="8">
        <v>49.0</v>
      </c>
      <c r="Q147" s="8">
        <v>107.47</v>
      </c>
      <c r="R147" s="8">
        <v>13.95</v>
      </c>
      <c r="S147" s="8">
        <v>24.6</v>
      </c>
      <c r="T147" s="8">
        <v>80.33</v>
      </c>
      <c r="U147" s="8">
        <v>16.51</v>
      </c>
      <c r="V147" s="8">
        <v>0.15</v>
      </c>
      <c r="W147" s="8">
        <v>58.77</v>
      </c>
      <c r="X147" s="8">
        <v>87.8</v>
      </c>
      <c r="Y147" s="8">
        <v>40.58</v>
      </c>
      <c r="Z147" s="8">
        <v>33.95</v>
      </c>
      <c r="AA147" s="8">
        <v>-2.04</v>
      </c>
      <c r="AB147" s="8">
        <v>-0.58</v>
      </c>
      <c r="AC147" s="8">
        <v>-0.89</v>
      </c>
      <c r="AD147" s="8">
        <v>-0.8</v>
      </c>
      <c r="AE147" s="8">
        <v>0.31</v>
      </c>
      <c r="AF147" s="8">
        <v>0.11</v>
      </c>
      <c r="AG147" s="8">
        <v>0.99</v>
      </c>
    </row>
    <row r="148" ht="16.5" customHeight="1">
      <c r="A148" s="8" t="s">
        <v>40</v>
      </c>
      <c r="B148" s="7">
        <v>2002.0</v>
      </c>
      <c r="C148" s="8">
        <v>6.050875807E9</v>
      </c>
      <c r="D148" s="8">
        <v>0.12</v>
      </c>
      <c r="E148" s="8">
        <v>238.86</v>
      </c>
      <c r="F148" s="8">
        <v>10.66</v>
      </c>
      <c r="G148" s="8">
        <v>3.03</v>
      </c>
      <c r="H148" s="8">
        <v>-0.1</v>
      </c>
      <c r="I148" s="8">
        <v>46.23</v>
      </c>
      <c r="J148" s="8">
        <v>33.71</v>
      </c>
      <c r="K148" s="8">
        <v>2.5332178E7</v>
      </c>
      <c r="L148" s="8">
        <v>1.5</v>
      </c>
      <c r="M148" s="8">
        <v>2.7</v>
      </c>
      <c r="N148" s="8">
        <v>63.26</v>
      </c>
      <c r="O148" s="8">
        <v>53.1</v>
      </c>
      <c r="P148" s="8">
        <v>22.0</v>
      </c>
      <c r="Q148" s="8">
        <v>112.23</v>
      </c>
      <c r="R148" s="8">
        <v>14.24</v>
      </c>
      <c r="S148" s="8">
        <v>36.4</v>
      </c>
      <c r="T148" s="8">
        <v>80.94</v>
      </c>
      <c r="U148" s="8">
        <v>19.08</v>
      </c>
      <c r="V148" s="8">
        <v>0.12</v>
      </c>
      <c r="W148" s="8">
        <v>59.24</v>
      </c>
      <c r="X148" s="8">
        <v>90.0</v>
      </c>
      <c r="Y148" s="8">
        <v>40.71</v>
      </c>
      <c r="Z148" s="8">
        <v>40.2116394</v>
      </c>
      <c r="AA148" s="8">
        <v>-2.2</v>
      </c>
      <c r="AB148" s="8">
        <v>-0.59</v>
      </c>
      <c r="AC148" s="8">
        <v>-0.52</v>
      </c>
      <c r="AD148" s="8">
        <v>-0.92</v>
      </c>
      <c r="AE148" s="8">
        <v>0.38</v>
      </c>
      <c r="AF148" s="8">
        <v>0.11</v>
      </c>
      <c r="AG148" s="8">
        <v>0.99</v>
      </c>
    </row>
    <row r="149" ht="16.5" customHeight="1">
      <c r="A149" s="8" t="s">
        <v>40</v>
      </c>
      <c r="B149" s="7">
        <v>2003.0</v>
      </c>
      <c r="C149" s="8">
        <v>6.330473097E9</v>
      </c>
      <c r="D149" s="8">
        <v>3.95</v>
      </c>
      <c r="E149" s="8">
        <v>246.49</v>
      </c>
      <c r="F149" s="8">
        <v>10.68</v>
      </c>
      <c r="G149" s="8">
        <v>5.71</v>
      </c>
      <c r="H149" s="8">
        <v>0.23</v>
      </c>
      <c r="I149" s="8">
        <v>44.25</v>
      </c>
      <c r="J149" s="8">
        <v>43.8</v>
      </c>
      <c r="K149" s="8">
        <v>2.5682908E7</v>
      </c>
      <c r="L149" s="8">
        <v>1.38</v>
      </c>
      <c r="M149" s="8">
        <v>40.3</v>
      </c>
      <c r="N149" s="8">
        <v>64.2</v>
      </c>
      <c r="O149" s="8">
        <v>50.7</v>
      </c>
      <c r="P149" s="8">
        <v>22.0</v>
      </c>
      <c r="Q149" s="8">
        <v>112.04</v>
      </c>
      <c r="R149" s="8">
        <v>14.54</v>
      </c>
      <c r="S149" s="8">
        <v>39.6</v>
      </c>
      <c r="T149" s="8">
        <v>81.54</v>
      </c>
      <c r="U149" s="8">
        <v>21.71</v>
      </c>
      <c r="V149" s="8">
        <v>0.13</v>
      </c>
      <c r="W149" s="8">
        <v>59.55</v>
      </c>
      <c r="X149" s="8">
        <v>89.4</v>
      </c>
      <c r="Y149" s="8">
        <v>40.83</v>
      </c>
      <c r="Z149" s="8">
        <v>34.92063522</v>
      </c>
      <c r="AA149" s="8">
        <v>-2.3</v>
      </c>
      <c r="AB149" s="8">
        <v>-0.41</v>
      </c>
      <c r="AC149" s="8">
        <v>-0.61</v>
      </c>
      <c r="AD149" s="8">
        <v>-1.13</v>
      </c>
      <c r="AE149" s="8">
        <v>0.45</v>
      </c>
      <c r="AF149" s="8">
        <v>0.11</v>
      </c>
      <c r="AG149" s="8">
        <v>0.99</v>
      </c>
    </row>
    <row r="150" ht="16.5" customHeight="1">
      <c r="A150" s="8" t="s">
        <v>40</v>
      </c>
      <c r="B150" s="7">
        <v>2004.0</v>
      </c>
      <c r="C150" s="8">
        <v>7.273938315E9</v>
      </c>
      <c r="D150" s="8">
        <v>4.68</v>
      </c>
      <c r="E150" s="8">
        <v>279.72</v>
      </c>
      <c r="F150" s="8">
        <v>10.68</v>
      </c>
      <c r="G150" s="8">
        <v>2.84</v>
      </c>
      <c r="H150" s="8">
        <v>-0.01</v>
      </c>
      <c r="I150" s="8">
        <v>46.15</v>
      </c>
      <c r="J150" s="8">
        <v>33.71</v>
      </c>
      <c r="K150" s="8">
        <v>2.6003965E7</v>
      </c>
      <c r="L150" s="8">
        <v>1.24</v>
      </c>
      <c r="M150" s="8">
        <v>2.7</v>
      </c>
      <c r="N150" s="8">
        <v>64.82</v>
      </c>
      <c r="O150" s="8">
        <v>48.5</v>
      </c>
      <c r="P150" s="8">
        <v>22.0</v>
      </c>
      <c r="Q150" s="8">
        <v>114.89</v>
      </c>
      <c r="R150" s="8">
        <v>14.84</v>
      </c>
      <c r="S150" s="8">
        <v>37.2</v>
      </c>
      <c r="T150" s="8">
        <v>82.14</v>
      </c>
      <c r="U150" s="8">
        <v>24.41</v>
      </c>
      <c r="V150" s="8">
        <v>0.11</v>
      </c>
      <c r="W150" s="8">
        <v>59.59</v>
      </c>
      <c r="X150" s="8">
        <v>90.3</v>
      </c>
      <c r="Y150" s="8">
        <v>40.96</v>
      </c>
      <c r="Z150" s="8">
        <v>18.22660065</v>
      </c>
      <c r="AA150" s="8">
        <v>-2.07</v>
      </c>
      <c r="AB150" s="8">
        <v>-0.52</v>
      </c>
      <c r="AC150" s="8">
        <v>-0.75</v>
      </c>
      <c r="AD150" s="8">
        <v>-1.15</v>
      </c>
      <c r="AE150" s="8">
        <v>0.83</v>
      </c>
      <c r="AF150" s="8">
        <v>0.11</v>
      </c>
      <c r="AG150" s="8">
        <v>0.99</v>
      </c>
    </row>
    <row r="151" ht="16.5" customHeight="1">
      <c r="A151" s="8" t="s">
        <v>40</v>
      </c>
      <c r="B151" s="7">
        <v>2005.0</v>
      </c>
      <c r="C151" s="8">
        <v>8.130258378E9</v>
      </c>
      <c r="D151" s="8">
        <v>3.48</v>
      </c>
      <c r="E151" s="8">
        <v>309.31</v>
      </c>
      <c r="F151" s="8">
        <v>10.65</v>
      </c>
      <c r="G151" s="8">
        <v>6.84</v>
      </c>
      <c r="H151" s="8">
        <v>0.03</v>
      </c>
      <c r="I151" s="8">
        <v>44.06</v>
      </c>
      <c r="J151" s="8">
        <v>33.71</v>
      </c>
      <c r="K151" s="8">
        <v>2.628511E7</v>
      </c>
      <c r="L151" s="8">
        <v>1.08</v>
      </c>
      <c r="M151" s="8">
        <v>2.7</v>
      </c>
      <c r="N151" s="8">
        <v>65.46</v>
      </c>
      <c r="O151" s="8">
        <v>46.5</v>
      </c>
      <c r="P151" s="8">
        <v>22.0</v>
      </c>
      <c r="Q151" s="8">
        <v>115.49</v>
      </c>
      <c r="R151" s="8">
        <v>15.15</v>
      </c>
      <c r="S151" s="8">
        <v>46.1</v>
      </c>
      <c r="T151" s="8">
        <v>82.73</v>
      </c>
      <c r="U151" s="8">
        <v>27.18</v>
      </c>
      <c r="V151" s="8">
        <v>0.12</v>
      </c>
      <c r="W151" s="8">
        <v>58.32</v>
      </c>
      <c r="X151" s="8">
        <v>89.5</v>
      </c>
      <c r="Y151" s="8">
        <v>41.08</v>
      </c>
      <c r="Z151" s="8">
        <v>23.90243912</v>
      </c>
      <c r="AA151" s="8">
        <v>-2.22</v>
      </c>
      <c r="AB151" s="8">
        <v>-0.53</v>
      </c>
      <c r="AC151" s="8">
        <v>-0.83</v>
      </c>
      <c r="AD151" s="8">
        <v>-0.91</v>
      </c>
      <c r="AE151" s="8">
        <v>1.14</v>
      </c>
      <c r="AF151" s="8">
        <v>0.11</v>
      </c>
      <c r="AG151" s="8">
        <v>0.99</v>
      </c>
    </row>
    <row r="152" ht="16.5" customHeight="1">
      <c r="A152" s="8" t="s">
        <v>40</v>
      </c>
      <c r="B152" s="7">
        <v>2006.0</v>
      </c>
      <c r="C152" s="8">
        <v>9.043715356E9</v>
      </c>
      <c r="D152" s="8">
        <v>3.36</v>
      </c>
      <c r="E152" s="8">
        <v>341.03</v>
      </c>
      <c r="F152" s="8">
        <v>10.66</v>
      </c>
      <c r="G152" s="8">
        <v>6.92</v>
      </c>
      <c r="H152" s="8">
        <v>-0.07</v>
      </c>
      <c r="I152" s="8">
        <v>44.76</v>
      </c>
      <c r="J152" s="8">
        <v>33.71</v>
      </c>
      <c r="K152" s="8">
        <v>2.6518971E7</v>
      </c>
      <c r="L152" s="8">
        <v>0.89</v>
      </c>
      <c r="M152" s="8">
        <v>2.7</v>
      </c>
      <c r="N152" s="8">
        <v>65.87</v>
      </c>
      <c r="O152" s="8">
        <v>44.6</v>
      </c>
      <c r="P152" s="8">
        <v>22.0</v>
      </c>
      <c r="Q152" s="8">
        <v>129.82</v>
      </c>
      <c r="R152" s="8">
        <v>15.46</v>
      </c>
      <c r="S152" s="8">
        <v>51.2</v>
      </c>
      <c r="T152" s="8">
        <v>83.32</v>
      </c>
      <c r="U152" s="8">
        <v>30.02</v>
      </c>
      <c r="V152" s="8">
        <v>0.1</v>
      </c>
      <c r="W152" s="8">
        <v>55.53</v>
      </c>
      <c r="X152" s="8">
        <v>91.2</v>
      </c>
      <c r="Y152" s="8">
        <v>41.21</v>
      </c>
      <c r="Z152" s="8">
        <v>28.78048706</v>
      </c>
      <c r="AA152" s="8">
        <v>-2.41</v>
      </c>
      <c r="AB152" s="8">
        <v>-0.52</v>
      </c>
      <c r="AC152" s="8">
        <v>-0.62</v>
      </c>
      <c r="AD152" s="8">
        <v>-0.59</v>
      </c>
      <c r="AE152" s="8">
        <v>1.41</v>
      </c>
      <c r="AF152" s="8">
        <v>0.11</v>
      </c>
      <c r="AG152" s="8">
        <v>0.99</v>
      </c>
    </row>
    <row r="153" ht="16.5" customHeight="1">
      <c r="A153" s="8" t="s">
        <v>40</v>
      </c>
      <c r="B153" s="7">
        <v>2007.0</v>
      </c>
      <c r="C153" s="8">
        <v>1.0325618017E10</v>
      </c>
      <c r="D153" s="8">
        <v>3.41</v>
      </c>
      <c r="E153" s="8">
        <v>386.53</v>
      </c>
      <c r="F153" s="8">
        <v>10.67</v>
      </c>
      <c r="G153" s="8">
        <v>2.27</v>
      </c>
      <c r="H153" s="8">
        <v>0.06</v>
      </c>
      <c r="I153" s="8">
        <v>44.58</v>
      </c>
      <c r="J153" s="8">
        <v>33.71</v>
      </c>
      <c r="K153" s="8">
        <v>2.6713655E7</v>
      </c>
      <c r="L153" s="8">
        <v>0.73</v>
      </c>
      <c r="M153" s="8">
        <v>2.7</v>
      </c>
      <c r="N153" s="8">
        <v>66.33</v>
      </c>
      <c r="O153" s="8">
        <v>42.9</v>
      </c>
      <c r="P153" s="8">
        <v>22.0</v>
      </c>
      <c r="Q153" s="8">
        <v>131.22</v>
      </c>
      <c r="R153" s="8">
        <v>15.78</v>
      </c>
      <c r="S153" s="8">
        <v>52.6</v>
      </c>
      <c r="T153" s="8">
        <v>83.9</v>
      </c>
      <c r="U153" s="8">
        <v>32.93</v>
      </c>
      <c r="V153" s="8">
        <v>0.1</v>
      </c>
      <c r="W153" s="8">
        <v>52.25</v>
      </c>
      <c r="X153" s="8">
        <v>91.3</v>
      </c>
      <c r="Y153" s="8">
        <v>41.34</v>
      </c>
      <c r="Z153" s="8">
        <v>23.30097008</v>
      </c>
      <c r="AA153" s="8">
        <v>-2.69</v>
      </c>
      <c r="AB153" s="8">
        <v>-0.58</v>
      </c>
      <c r="AC153" s="8">
        <v>-0.59</v>
      </c>
      <c r="AD153" s="8">
        <v>-0.5</v>
      </c>
      <c r="AE153" s="8">
        <v>1.73</v>
      </c>
      <c r="AF153" s="8">
        <v>0.11</v>
      </c>
      <c r="AG153" s="8">
        <v>0.99</v>
      </c>
    </row>
    <row r="154" ht="16.5" customHeight="1">
      <c r="A154" s="8" t="s">
        <v>40</v>
      </c>
      <c r="B154" s="7">
        <v>2008.0</v>
      </c>
      <c r="C154" s="8">
        <v>1.2545438605E10</v>
      </c>
      <c r="D154" s="8">
        <v>6.1</v>
      </c>
      <c r="E154" s="8">
        <v>466.69</v>
      </c>
      <c r="F154" s="8">
        <v>10.65</v>
      </c>
      <c r="G154" s="8">
        <v>9.91</v>
      </c>
      <c r="H154" s="8">
        <v>0.01</v>
      </c>
      <c r="I154" s="8">
        <v>46.04</v>
      </c>
      <c r="J154" s="8">
        <v>33.71</v>
      </c>
      <c r="K154" s="8">
        <v>2.6881544E7</v>
      </c>
      <c r="L154" s="8">
        <v>0.63</v>
      </c>
      <c r="M154" s="8">
        <v>2.7</v>
      </c>
      <c r="N154" s="8">
        <v>66.42</v>
      </c>
      <c r="O154" s="8">
        <v>41.2</v>
      </c>
      <c r="P154" s="8">
        <v>22.0</v>
      </c>
      <c r="Q154" s="8">
        <v>129.52</v>
      </c>
      <c r="R154" s="8">
        <v>16.11</v>
      </c>
      <c r="S154" s="8">
        <v>56.0</v>
      </c>
      <c r="T154" s="8">
        <v>84.47</v>
      </c>
      <c r="U154" s="8">
        <v>35.9</v>
      </c>
      <c r="V154" s="8">
        <v>0.11</v>
      </c>
      <c r="W154" s="8">
        <v>49.52</v>
      </c>
      <c r="X154" s="8">
        <v>90.5</v>
      </c>
      <c r="Y154" s="8">
        <v>41.46</v>
      </c>
      <c r="Z154" s="8">
        <v>21.84465981</v>
      </c>
      <c r="AA154" s="8">
        <v>-2.71</v>
      </c>
      <c r="AB154" s="8">
        <v>-0.65</v>
      </c>
      <c r="AC154" s="8">
        <v>-0.67</v>
      </c>
      <c r="AD154" s="8">
        <v>-0.44</v>
      </c>
      <c r="AE154" s="8">
        <v>1.97</v>
      </c>
      <c r="AF154" s="8">
        <v>0.05</v>
      </c>
      <c r="AG154" s="8">
        <v>0.43</v>
      </c>
    </row>
    <row r="155" ht="16.5" customHeight="1">
      <c r="A155" s="8" t="s">
        <v>40</v>
      </c>
      <c r="B155" s="7">
        <v>2009.0</v>
      </c>
      <c r="C155" s="8">
        <v>1.2854985464E10</v>
      </c>
      <c r="D155" s="8">
        <v>4.53</v>
      </c>
      <c r="E155" s="8">
        <v>475.64</v>
      </c>
      <c r="F155" s="8">
        <v>10.64</v>
      </c>
      <c r="G155" s="8">
        <v>11.09</v>
      </c>
      <c r="H155" s="8">
        <v>0.3</v>
      </c>
      <c r="I155" s="8">
        <v>47.08</v>
      </c>
      <c r="J155" s="8">
        <v>33.71</v>
      </c>
      <c r="K155" s="8">
        <v>2.7026941E7</v>
      </c>
      <c r="L155" s="8">
        <v>0.54</v>
      </c>
      <c r="M155" s="8">
        <v>2.7</v>
      </c>
      <c r="N155" s="8">
        <v>66.76</v>
      </c>
      <c r="O155" s="8">
        <v>39.7</v>
      </c>
      <c r="P155" s="8">
        <v>22.0</v>
      </c>
      <c r="Q155" s="8">
        <v>141.47</v>
      </c>
      <c r="R155" s="8">
        <v>16.43</v>
      </c>
      <c r="S155" s="8">
        <v>59.3</v>
      </c>
      <c r="T155" s="8">
        <v>85.03</v>
      </c>
      <c r="U155" s="8">
        <v>38.94</v>
      </c>
      <c r="V155" s="8">
        <v>0.15</v>
      </c>
      <c r="W155" s="8">
        <v>48.38</v>
      </c>
      <c r="X155" s="8">
        <v>88.9</v>
      </c>
      <c r="Y155" s="8">
        <v>41.59</v>
      </c>
      <c r="Z155" s="8">
        <v>26.31579018</v>
      </c>
      <c r="AA155" s="8">
        <v>-2.58</v>
      </c>
      <c r="AB155" s="8">
        <v>-0.72</v>
      </c>
      <c r="AC155" s="8">
        <v>-0.87</v>
      </c>
      <c r="AD155" s="8">
        <v>-0.45</v>
      </c>
      <c r="AE155" s="8">
        <v>7.93</v>
      </c>
      <c r="AF155" s="8">
        <v>0.26</v>
      </c>
      <c r="AG155" s="8">
        <v>0.69</v>
      </c>
    </row>
    <row r="156" ht="16.5" customHeight="1">
      <c r="A156" s="8" t="s">
        <v>40</v>
      </c>
      <c r="B156" s="7">
        <v>2010.0</v>
      </c>
      <c r="C156" s="8">
        <v>1.6002656434E10</v>
      </c>
      <c r="D156" s="8">
        <v>4.82</v>
      </c>
      <c r="E156" s="8">
        <v>589.17</v>
      </c>
      <c r="F156" s="8">
        <v>10.63</v>
      </c>
      <c r="G156" s="8">
        <v>9.33</v>
      </c>
      <c r="H156" s="8">
        <v>0.55</v>
      </c>
      <c r="I156" s="8">
        <v>45.98</v>
      </c>
      <c r="J156" s="8">
        <v>32.8</v>
      </c>
      <c r="K156" s="8">
        <v>2.7161567E7</v>
      </c>
      <c r="L156" s="8">
        <v>0.5</v>
      </c>
      <c r="M156" s="8">
        <v>8.2</v>
      </c>
      <c r="N156" s="8">
        <v>66.81</v>
      </c>
      <c r="O156" s="8">
        <v>38.2</v>
      </c>
      <c r="P156" s="8">
        <v>22.0</v>
      </c>
      <c r="Q156" s="8">
        <v>146.54</v>
      </c>
      <c r="R156" s="8">
        <v>16.77</v>
      </c>
      <c r="S156" s="8">
        <v>68.6</v>
      </c>
      <c r="T156" s="8">
        <v>85.59</v>
      </c>
      <c r="U156" s="8">
        <v>42.05</v>
      </c>
      <c r="V156" s="8">
        <v>0.18</v>
      </c>
      <c r="W156" s="8">
        <v>57.74</v>
      </c>
      <c r="X156" s="8">
        <v>87.3</v>
      </c>
      <c r="Y156" s="8">
        <v>41.59</v>
      </c>
      <c r="Z156" s="8">
        <v>27.1428566</v>
      </c>
      <c r="AA156" s="8">
        <v>-2.5</v>
      </c>
      <c r="AB156" s="8">
        <v>-0.76</v>
      </c>
      <c r="AC156" s="8">
        <v>-0.96</v>
      </c>
      <c r="AD156" s="8">
        <v>-0.45</v>
      </c>
      <c r="AE156" s="8">
        <v>9.0</v>
      </c>
      <c r="AF156" s="8">
        <v>0.3</v>
      </c>
      <c r="AG156" s="8">
        <v>0.42</v>
      </c>
    </row>
    <row r="157" ht="16.5" customHeight="1">
      <c r="A157" s="8" t="s">
        <v>40</v>
      </c>
      <c r="B157" s="7">
        <v>2011.0</v>
      </c>
      <c r="C157" s="8">
        <v>2.1573872421E10</v>
      </c>
      <c r="D157" s="8">
        <v>3.42</v>
      </c>
      <c r="E157" s="8">
        <v>791.23</v>
      </c>
      <c r="F157" s="8">
        <v>10.65</v>
      </c>
      <c r="G157" s="8">
        <v>9.23</v>
      </c>
      <c r="H157" s="8">
        <v>0.44</v>
      </c>
      <c r="I157" s="8">
        <v>36.3</v>
      </c>
      <c r="J157" s="8">
        <v>33.71</v>
      </c>
      <c r="K157" s="8">
        <v>2.7266399E7</v>
      </c>
      <c r="L157" s="8">
        <v>0.39</v>
      </c>
      <c r="M157" s="8">
        <v>2.7</v>
      </c>
      <c r="N157" s="8">
        <v>67.31</v>
      </c>
      <c r="O157" s="8">
        <v>36.7</v>
      </c>
      <c r="P157" s="8">
        <v>60.0</v>
      </c>
      <c r="Q157" s="8">
        <v>150.35</v>
      </c>
      <c r="R157" s="8">
        <v>17.11</v>
      </c>
      <c r="S157" s="8">
        <v>67.3</v>
      </c>
      <c r="T157" s="8">
        <v>86.14</v>
      </c>
      <c r="U157" s="8">
        <v>45.22</v>
      </c>
      <c r="V157" s="8">
        <v>0.2</v>
      </c>
      <c r="W157" s="8">
        <v>71.41</v>
      </c>
      <c r="X157" s="8">
        <v>87.0</v>
      </c>
      <c r="Y157" s="8">
        <v>41.59</v>
      </c>
      <c r="Z157" s="8">
        <v>23.22274971</v>
      </c>
      <c r="AA157" s="8">
        <v>-2.42</v>
      </c>
      <c r="AB157" s="8">
        <v>-0.73</v>
      </c>
      <c r="AC157" s="8">
        <v>-0.89</v>
      </c>
      <c r="AD157" s="8">
        <v>-0.64</v>
      </c>
      <c r="AE157" s="8">
        <v>11.15</v>
      </c>
      <c r="AF157" s="8">
        <v>0.11</v>
      </c>
      <c r="AG157" s="8">
        <v>0.14</v>
      </c>
    </row>
    <row r="158" ht="16.5" customHeight="1">
      <c r="A158" s="8" t="s">
        <v>40</v>
      </c>
      <c r="B158" s="7">
        <v>2012.0</v>
      </c>
      <c r="C158" s="8">
        <v>2.1703100877E10</v>
      </c>
      <c r="D158" s="8">
        <v>4.67</v>
      </c>
      <c r="E158" s="8">
        <v>794.09</v>
      </c>
      <c r="F158" s="8">
        <v>10.65</v>
      </c>
      <c r="G158" s="8">
        <v>9.46</v>
      </c>
      <c r="H158" s="8">
        <v>0.42</v>
      </c>
      <c r="I158" s="8">
        <v>37.92</v>
      </c>
      <c r="J158" s="8">
        <v>33.71</v>
      </c>
      <c r="K158" s="8">
        <v>2.7330694E7</v>
      </c>
      <c r="L158" s="8">
        <v>0.24</v>
      </c>
      <c r="M158" s="8">
        <v>2.7</v>
      </c>
      <c r="N158" s="8">
        <v>67.47</v>
      </c>
      <c r="O158" s="8">
        <v>35.2</v>
      </c>
      <c r="P158" s="8">
        <v>22.0</v>
      </c>
      <c r="Q158" s="8">
        <v>147.89</v>
      </c>
      <c r="R158" s="8">
        <v>17.46</v>
      </c>
      <c r="S158" s="8">
        <v>75.2</v>
      </c>
      <c r="T158" s="8">
        <v>86.69</v>
      </c>
      <c r="U158" s="8">
        <v>48.46</v>
      </c>
      <c r="V158" s="8">
        <v>0.23</v>
      </c>
      <c r="W158" s="8">
        <v>71.42</v>
      </c>
      <c r="X158" s="8">
        <v>84.7</v>
      </c>
      <c r="Y158" s="8">
        <v>41.59</v>
      </c>
      <c r="Z158" s="8">
        <v>22.74881554</v>
      </c>
      <c r="AA158" s="8">
        <v>-2.52</v>
      </c>
      <c r="AB158" s="8">
        <v>-0.81</v>
      </c>
      <c r="AC158" s="8">
        <v>-0.74</v>
      </c>
      <c r="AD158" s="8">
        <v>-0.53</v>
      </c>
      <c r="AE158" s="8">
        <v>13.3</v>
      </c>
      <c r="AF158" s="8">
        <v>0.11</v>
      </c>
      <c r="AG158" s="8">
        <v>0.32</v>
      </c>
    </row>
    <row r="159" ht="16.5" customHeight="1">
      <c r="A159" s="8" t="s">
        <v>40</v>
      </c>
      <c r="B159" s="7">
        <v>2013.0</v>
      </c>
      <c r="C159" s="8">
        <v>2.2162204925E10</v>
      </c>
      <c r="D159" s="8">
        <v>3.53</v>
      </c>
      <c r="E159" s="8">
        <v>809.38</v>
      </c>
      <c r="F159" s="8">
        <v>10.67</v>
      </c>
      <c r="G159" s="8">
        <v>9.04</v>
      </c>
      <c r="H159" s="8">
        <v>0.33</v>
      </c>
      <c r="I159" s="8">
        <v>41.87</v>
      </c>
      <c r="J159" s="8">
        <v>33.71</v>
      </c>
      <c r="K159" s="8">
        <v>2.7381555E7</v>
      </c>
      <c r="L159" s="8">
        <v>0.19</v>
      </c>
      <c r="M159" s="8">
        <v>2.7</v>
      </c>
      <c r="N159" s="8">
        <v>67.97</v>
      </c>
      <c r="O159" s="8">
        <v>33.8</v>
      </c>
      <c r="P159" s="8">
        <v>22.0</v>
      </c>
      <c r="Q159" s="8">
        <v>144.31</v>
      </c>
      <c r="R159" s="8">
        <v>17.82</v>
      </c>
      <c r="S159" s="8">
        <v>77.4</v>
      </c>
      <c r="T159" s="8">
        <v>87.22</v>
      </c>
      <c r="U159" s="8">
        <v>51.76</v>
      </c>
      <c r="V159" s="8">
        <v>0.23</v>
      </c>
      <c r="W159" s="8">
        <v>75.12</v>
      </c>
      <c r="X159" s="8">
        <v>86.0</v>
      </c>
      <c r="Y159" s="8">
        <v>41.59</v>
      </c>
      <c r="Z159" s="8">
        <v>28.90995216</v>
      </c>
      <c r="AA159" s="8">
        <v>-2.41</v>
      </c>
      <c r="AB159" s="8">
        <v>-0.86</v>
      </c>
      <c r="AC159" s="8">
        <v>-0.72</v>
      </c>
      <c r="AD159" s="8">
        <v>-0.43</v>
      </c>
      <c r="AE159" s="8">
        <v>15.44</v>
      </c>
      <c r="AF159" s="8">
        <v>0.11</v>
      </c>
      <c r="AG159" s="8">
        <v>0.72</v>
      </c>
    </row>
    <row r="160" ht="16.5" customHeight="1">
      <c r="A160" s="8" t="s">
        <v>40</v>
      </c>
      <c r="B160" s="7">
        <v>2014.0</v>
      </c>
      <c r="C160" s="8">
        <v>2.2731612922E10</v>
      </c>
      <c r="D160" s="8">
        <v>6.01</v>
      </c>
      <c r="E160" s="8">
        <v>827.74</v>
      </c>
      <c r="F160" s="8">
        <v>10.65</v>
      </c>
      <c r="G160" s="8">
        <v>8.36</v>
      </c>
      <c r="H160" s="8">
        <v>0.13</v>
      </c>
      <c r="I160" s="8">
        <v>45.98</v>
      </c>
      <c r="J160" s="8">
        <v>33.71</v>
      </c>
      <c r="K160" s="8">
        <v>2.7462106E7</v>
      </c>
      <c r="L160" s="8">
        <v>0.29</v>
      </c>
      <c r="M160" s="8">
        <v>2.7</v>
      </c>
      <c r="N160" s="8">
        <v>68.09</v>
      </c>
      <c r="O160" s="8">
        <v>32.4</v>
      </c>
      <c r="P160" s="8">
        <v>22.0</v>
      </c>
      <c r="Q160" s="8">
        <v>141.94</v>
      </c>
      <c r="R160" s="8">
        <v>18.18</v>
      </c>
      <c r="S160" s="8">
        <v>84.9</v>
      </c>
      <c r="T160" s="8">
        <v>87.75</v>
      </c>
      <c r="U160" s="8">
        <v>55.12</v>
      </c>
      <c r="V160" s="8">
        <v>0.27</v>
      </c>
      <c r="W160" s="8">
        <v>70.94</v>
      </c>
      <c r="X160" s="8">
        <v>84.0</v>
      </c>
      <c r="Y160" s="8">
        <v>41.59</v>
      </c>
      <c r="Z160" s="8">
        <v>33.17307663</v>
      </c>
      <c r="AA160" s="8">
        <v>-2.56</v>
      </c>
      <c r="AB160" s="8">
        <v>-0.85</v>
      </c>
      <c r="AC160" s="8">
        <v>-0.65</v>
      </c>
      <c r="AD160" s="8">
        <v>-0.42</v>
      </c>
      <c r="AE160" s="8">
        <v>17.58</v>
      </c>
      <c r="AF160" s="8">
        <v>0.11</v>
      </c>
      <c r="AG160" s="8">
        <v>0.64</v>
      </c>
    </row>
    <row r="161" ht="16.5" customHeight="1">
      <c r="A161" s="8" t="s">
        <v>40</v>
      </c>
      <c r="B161" s="7">
        <v>2015.0</v>
      </c>
      <c r="C161" s="8">
        <v>2.4360801287E10</v>
      </c>
      <c r="D161" s="8">
        <v>3.98</v>
      </c>
      <c r="E161" s="8">
        <v>882.31</v>
      </c>
      <c r="F161" s="8">
        <v>10.66</v>
      </c>
      <c r="G161" s="8">
        <v>7.87</v>
      </c>
      <c r="H161" s="8">
        <v>0.21</v>
      </c>
      <c r="I161" s="8">
        <v>46.67</v>
      </c>
      <c r="J161" s="8">
        <v>33.71</v>
      </c>
      <c r="K161" s="8">
        <v>2.7610325E7</v>
      </c>
      <c r="L161" s="8">
        <v>0.54</v>
      </c>
      <c r="M161" s="8">
        <v>2.7</v>
      </c>
      <c r="N161" s="8">
        <v>67.46</v>
      </c>
      <c r="O161" s="8">
        <v>31.0</v>
      </c>
      <c r="P161" s="8">
        <v>22.0</v>
      </c>
      <c r="Q161" s="8">
        <v>142.99</v>
      </c>
      <c r="R161" s="8">
        <v>18.56</v>
      </c>
      <c r="S161" s="8">
        <v>82.0</v>
      </c>
      <c r="T161" s="8">
        <v>88.28</v>
      </c>
      <c r="U161" s="8">
        <v>58.55</v>
      </c>
      <c r="V161" s="8">
        <v>0.27</v>
      </c>
      <c r="W161" s="8">
        <v>72.41</v>
      </c>
      <c r="X161" s="8">
        <v>85.2</v>
      </c>
      <c r="Y161" s="8">
        <v>41.59</v>
      </c>
      <c r="Z161" s="8">
        <v>32.38095093</v>
      </c>
      <c r="AA161" s="8">
        <v>-2.66</v>
      </c>
      <c r="AB161" s="8">
        <v>-0.83</v>
      </c>
      <c r="AC161" s="8">
        <v>-0.69</v>
      </c>
      <c r="AD161" s="8">
        <v>-0.25</v>
      </c>
      <c r="AE161" s="8">
        <v>20.7</v>
      </c>
      <c r="AF161" s="8">
        <v>0.11</v>
      </c>
      <c r="AG161" s="8">
        <v>0.82</v>
      </c>
    </row>
    <row r="162" ht="16.5" customHeight="1">
      <c r="A162" s="8" t="s">
        <v>40</v>
      </c>
      <c r="B162" s="7">
        <v>2016.0</v>
      </c>
      <c r="C162" s="8">
        <v>2.4524109484E10</v>
      </c>
      <c r="D162" s="8">
        <v>0.43</v>
      </c>
      <c r="E162" s="8">
        <v>880.22</v>
      </c>
      <c r="F162" s="8">
        <v>10.68</v>
      </c>
      <c r="G162" s="8">
        <v>8.79</v>
      </c>
      <c r="H162" s="8">
        <v>0.43</v>
      </c>
      <c r="I162" s="8">
        <v>42.12</v>
      </c>
      <c r="J162" s="8">
        <v>33.71</v>
      </c>
      <c r="K162" s="8">
        <v>2.7861186E7</v>
      </c>
      <c r="L162" s="8">
        <v>0.9</v>
      </c>
      <c r="M162" s="8">
        <v>2.7</v>
      </c>
      <c r="N162" s="8">
        <v>68.78</v>
      </c>
      <c r="O162" s="8">
        <v>29.7</v>
      </c>
      <c r="P162" s="8">
        <v>66.0</v>
      </c>
      <c r="Q162" s="8">
        <v>143.41</v>
      </c>
      <c r="R162" s="8">
        <v>18.94</v>
      </c>
      <c r="S162" s="8">
        <v>90.7</v>
      </c>
      <c r="T162" s="8">
        <v>88.79</v>
      </c>
      <c r="U162" s="8">
        <v>62.04</v>
      </c>
      <c r="V162" s="8">
        <v>0.39</v>
      </c>
      <c r="W162" s="8">
        <v>64.64</v>
      </c>
      <c r="X162" s="8">
        <v>79.4</v>
      </c>
      <c r="Y162" s="8">
        <v>41.59</v>
      </c>
      <c r="Z162" s="8">
        <v>22.38095284</v>
      </c>
      <c r="AA162" s="8">
        <v>-2.79</v>
      </c>
      <c r="AB162" s="8">
        <v>-0.79</v>
      </c>
      <c r="AC162" s="8">
        <v>-0.81</v>
      </c>
      <c r="AD162" s="8">
        <v>-0.2</v>
      </c>
      <c r="AE162" s="8">
        <v>24.3</v>
      </c>
      <c r="AF162" s="8">
        <v>0.11</v>
      </c>
      <c r="AG162" s="8">
        <v>1.18</v>
      </c>
    </row>
    <row r="163" ht="16.5" customHeight="1">
      <c r="A163" s="8" t="s">
        <v>40</v>
      </c>
      <c r="B163" s="7">
        <v>2017.0</v>
      </c>
      <c r="C163" s="8">
        <v>2.897158894E10</v>
      </c>
      <c r="D163" s="8">
        <v>8.98</v>
      </c>
      <c r="E163" s="8">
        <v>1027.97</v>
      </c>
      <c r="F163" s="8">
        <v>10.66</v>
      </c>
      <c r="G163" s="8">
        <v>3.63</v>
      </c>
      <c r="H163" s="8">
        <v>0.68</v>
      </c>
      <c r="I163" s="8">
        <v>44.64</v>
      </c>
      <c r="J163" s="8">
        <v>33.71</v>
      </c>
      <c r="K163" s="8">
        <v>2.8183426E7</v>
      </c>
      <c r="L163" s="8">
        <v>1.15</v>
      </c>
      <c r="M163" s="8">
        <v>2.7</v>
      </c>
      <c r="N163" s="8">
        <v>68.91</v>
      </c>
      <c r="O163" s="8">
        <v>28.4</v>
      </c>
      <c r="P163" s="8">
        <v>22.0</v>
      </c>
      <c r="Q163" s="8">
        <v>140.82</v>
      </c>
      <c r="R163" s="8">
        <v>19.34</v>
      </c>
      <c r="S163" s="8">
        <v>86.6</v>
      </c>
      <c r="T163" s="8">
        <v>89.3</v>
      </c>
      <c r="U163" s="8">
        <v>65.6</v>
      </c>
      <c r="V163" s="8">
        <v>0.47</v>
      </c>
      <c r="W163" s="8">
        <v>64.21</v>
      </c>
      <c r="X163" s="8">
        <v>76.8</v>
      </c>
      <c r="Y163" s="8">
        <v>41.59</v>
      </c>
      <c r="Z163" s="8">
        <v>23.80952454</v>
      </c>
      <c r="AA163" s="8">
        <v>-2.75</v>
      </c>
      <c r="AB163" s="8">
        <v>-0.74</v>
      </c>
      <c r="AC163" s="8">
        <v>-0.69</v>
      </c>
      <c r="AD163" s="8">
        <v>-0.13</v>
      </c>
      <c r="AE163" s="8">
        <v>28.6</v>
      </c>
      <c r="AF163" s="8">
        <v>0.11</v>
      </c>
      <c r="AG163" s="8">
        <v>0.63</v>
      </c>
    </row>
    <row r="164" ht="16.5" customHeight="1">
      <c r="A164" s="8" t="s">
        <v>40</v>
      </c>
      <c r="B164" s="7">
        <v>2018.0</v>
      </c>
      <c r="C164" s="8">
        <v>3.3111525237E10</v>
      </c>
      <c r="D164" s="8">
        <v>7.62</v>
      </c>
      <c r="E164" s="8">
        <v>1161.53</v>
      </c>
      <c r="F164" s="8">
        <v>10.63</v>
      </c>
      <c r="G164" s="8">
        <v>4.06</v>
      </c>
      <c r="H164" s="8">
        <v>0.21</v>
      </c>
      <c r="I164" s="8">
        <v>48.45</v>
      </c>
      <c r="J164" s="8">
        <v>33.71</v>
      </c>
      <c r="K164" s="8">
        <v>2.8506712E7</v>
      </c>
      <c r="L164" s="8">
        <v>1.14</v>
      </c>
      <c r="M164" s="8">
        <v>2.7</v>
      </c>
      <c r="N164" s="8">
        <v>68.98</v>
      </c>
      <c r="O164" s="8">
        <v>27.2</v>
      </c>
      <c r="P164" s="8">
        <v>22.0</v>
      </c>
      <c r="Q164" s="8">
        <v>88.12</v>
      </c>
      <c r="R164" s="8">
        <v>19.74</v>
      </c>
      <c r="S164" s="8">
        <v>93.9</v>
      </c>
      <c r="T164" s="8">
        <v>89.8</v>
      </c>
      <c r="U164" s="8">
        <v>69.21</v>
      </c>
      <c r="V164" s="8">
        <v>0.54</v>
      </c>
      <c r="W164" s="8">
        <v>57.28</v>
      </c>
      <c r="X164" s="8">
        <v>75.0</v>
      </c>
      <c r="Y164" s="8">
        <v>41.59</v>
      </c>
      <c r="Z164" s="8">
        <v>27.1428566</v>
      </c>
      <c r="AA164" s="8">
        <v>-2.65</v>
      </c>
      <c r="AB164" s="8">
        <v>-0.78</v>
      </c>
      <c r="AC164" s="8">
        <v>-0.49</v>
      </c>
      <c r="AD164" s="8">
        <v>-0.15</v>
      </c>
      <c r="AE164" s="8">
        <v>34.81</v>
      </c>
      <c r="AF164" s="8">
        <v>0.11</v>
      </c>
      <c r="AG164" s="8">
        <v>1.07</v>
      </c>
    </row>
    <row r="165" ht="16.5" customHeight="1">
      <c r="A165" s="8" t="s">
        <v>40</v>
      </c>
      <c r="B165" s="7">
        <v>2019.0</v>
      </c>
      <c r="C165" s="8">
        <v>3.4186180699E10</v>
      </c>
      <c r="D165" s="8">
        <v>6.66</v>
      </c>
      <c r="E165" s="8">
        <v>1185.68</v>
      </c>
      <c r="F165" s="8">
        <v>10.58</v>
      </c>
      <c r="G165" s="8">
        <v>5.57</v>
      </c>
      <c r="H165" s="8">
        <v>0.54</v>
      </c>
      <c r="I165" s="8">
        <v>49.25</v>
      </c>
      <c r="J165" s="8">
        <v>33.71</v>
      </c>
      <c r="K165" s="8">
        <v>2.8832496E7</v>
      </c>
      <c r="L165" s="8">
        <v>1.14</v>
      </c>
      <c r="M165" s="8">
        <v>2.7</v>
      </c>
      <c r="N165" s="8">
        <v>69.56</v>
      </c>
      <c r="O165" s="8">
        <v>26.0</v>
      </c>
      <c r="P165" s="8">
        <v>69.0</v>
      </c>
      <c r="Q165" s="8">
        <v>136.67</v>
      </c>
      <c r="R165" s="8">
        <v>20.15</v>
      </c>
      <c r="S165" s="8">
        <v>89.9</v>
      </c>
      <c r="T165" s="8">
        <v>90.29</v>
      </c>
      <c r="U165" s="8">
        <v>72.88</v>
      </c>
      <c r="V165" s="8">
        <v>0.48</v>
      </c>
      <c r="W165" s="8">
        <v>45.72</v>
      </c>
      <c r="X165" s="8">
        <v>78.2</v>
      </c>
      <c r="Y165" s="8">
        <v>41.59</v>
      </c>
      <c r="Z165" s="8">
        <v>27.1428566</v>
      </c>
      <c r="AA165" s="8">
        <v>-2.7</v>
      </c>
      <c r="AB165" s="8">
        <v>-0.74</v>
      </c>
      <c r="AC165" s="8">
        <v>-0.55</v>
      </c>
      <c r="AD165" s="8">
        <v>-0.08</v>
      </c>
      <c r="AE165" s="8">
        <v>37.7</v>
      </c>
      <c r="AF165" s="8">
        <v>0.11</v>
      </c>
      <c r="AG165" s="8">
        <v>2.45</v>
      </c>
    </row>
    <row r="166" ht="16.5" customHeight="1">
      <c r="A166" s="8" t="s">
        <v>40</v>
      </c>
      <c r="B166" s="7">
        <v>2020.0</v>
      </c>
      <c r="C166" s="8">
        <v>3.3433659301E10</v>
      </c>
      <c r="D166" s="8">
        <v>-2.37</v>
      </c>
      <c r="E166" s="8">
        <v>1139.19</v>
      </c>
      <c r="F166" s="8">
        <v>13.16</v>
      </c>
      <c r="G166" s="8">
        <v>5.05</v>
      </c>
      <c r="H166" s="8">
        <v>0.38</v>
      </c>
      <c r="I166" s="8">
        <v>40.92</v>
      </c>
      <c r="J166" s="8">
        <v>33.71</v>
      </c>
      <c r="K166" s="8">
        <v>2.9348627E7</v>
      </c>
      <c r="L166" s="8">
        <v>1.77</v>
      </c>
      <c r="M166" s="8">
        <v>2.7</v>
      </c>
      <c r="N166" s="8">
        <v>69.25</v>
      </c>
      <c r="O166" s="8">
        <v>24.9</v>
      </c>
      <c r="P166" s="8">
        <v>22.0</v>
      </c>
      <c r="Q166" s="8">
        <v>121.19</v>
      </c>
      <c r="R166" s="8">
        <v>20.58</v>
      </c>
      <c r="S166" s="8">
        <v>89.9</v>
      </c>
      <c r="T166" s="8">
        <v>90.77</v>
      </c>
      <c r="U166" s="8">
        <v>76.61</v>
      </c>
      <c r="V166" s="8">
        <v>0.51</v>
      </c>
      <c r="W166" s="8">
        <v>40.46</v>
      </c>
      <c r="X166" s="8">
        <v>73.1</v>
      </c>
      <c r="Y166" s="8">
        <v>41.59</v>
      </c>
      <c r="Z166" s="8">
        <v>29.04761887</v>
      </c>
      <c r="AA166" s="8">
        <v>-2.52</v>
      </c>
      <c r="AB166" s="8">
        <v>-0.74</v>
      </c>
      <c r="AC166" s="8">
        <v>-0.51</v>
      </c>
      <c r="AD166" s="8">
        <v>-0.08</v>
      </c>
      <c r="AE166" s="8">
        <v>41.61</v>
      </c>
      <c r="AF166" s="8">
        <v>0.11</v>
      </c>
      <c r="AG166" s="8">
        <v>1.25</v>
      </c>
    </row>
    <row r="167" ht="16.5" customHeight="1">
      <c r="A167" s="8" t="s">
        <v>40</v>
      </c>
      <c r="B167" s="7">
        <v>2021.0</v>
      </c>
      <c r="C167" s="8">
        <v>3.6924841394E10</v>
      </c>
      <c r="D167" s="8">
        <v>4.84</v>
      </c>
      <c r="E167" s="8">
        <v>1229.39</v>
      </c>
      <c r="F167" s="8">
        <v>12.32</v>
      </c>
      <c r="G167" s="8">
        <v>4.15</v>
      </c>
      <c r="H167" s="8">
        <v>0.53</v>
      </c>
      <c r="I167" s="8">
        <v>43.05</v>
      </c>
      <c r="J167" s="8">
        <v>33.71</v>
      </c>
      <c r="K167" s="8">
        <v>3.0034989E7</v>
      </c>
      <c r="L167" s="8">
        <v>2.31</v>
      </c>
      <c r="M167" s="8">
        <v>2.7</v>
      </c>
      <c r="N167" s="8">
        <v>68.45</v>
      </c>
      <c r="O167" s="8">
        <v>23.9</v>
      </c>
      <c r="P167" s="8">
        <v>71.0</v>
      </c>
      <c r="Q167" s="8">
        <v>118.34</v>
      </c>
      <c r="R167" s="8">
        <v>21.01</v>
      </c>
      <c r="S167" s="8">
        <v>89.9</v>
      </c>
      <c r="T167" s="8">
        <v>91.24</v>
      </c>
      <c r="U167" s="8">
        <v>80.4</v>
      </c>
      <c r="V167" s="8">
        <v>0.52</v>
      </c>
      <c r="W167" s="8">
        <v>40.46</v>
      </c>
      <c r="X167" s="8">
        <v>73.7</v>
      </c>
      <c r="Y167" s="8">
        <v>22.14</v>
      </c>
      <c r="Z167" s="8">
        <v>32.38095093</v>
      </c>
      <c r="AA167" s="8">
        <v>-2.55</v>
      </c>
      <c r="AB167" s="8">
        <v>-0.64</v>
      </c>
      <c r="AC167" s="8">
        <v>-0.49</v>
      </c>
      <c r="AD167" s="8">
        <v>-0.05</v>
      </c>
      <c r="AE167" s="8">
        <v>49.56</v>
      </c>
      <c r="AF167" s="8">
        <v>0.11</v>
      </c>
      <c r="AG167" s="8">
        <v>0.54</v>
      </c>
    </row>
    <row r="168" ht="16.5" customHeight="1">
      <c r="A168" s="8" t="s">
        <v>40</v>
      </c>
      <c r="B168" s="7">
        <v>2022.0</v>
      </c>
      <c r="C168" s="8">
        <v>4.1182939601E10</v>
      </c>
      <c r="D168" s="8">
        <v>5.63</v>
      </c>
      <c r="E168" s="8">
        <v>1348.16</v>
      </c>
      <c r="F168" s="8">
        <v>10.92</v>
      </c>
      <c r="G168" s="8">
        <v>7.65</v>
      </c>
      <c r="H168" s="8">
        <v>0.16</v>
      </c>
      <c r="I168" s="8">
        <v>48.97</v>
      </c>
      <c r="J168" s="8">
        <v>30.0</v>
      </c>
      <c r="K168" s="8">
        <v>3.054758E7</v>
      </c>
      <c r="L168" s="8">
        <v>1.69</v>
      </c>
      <c r="M168" s="8">
        <v>0.4</v>
      </c>
      <c r="N168" s="8">
        <v>70.48</v>
      </c>
      <c r="O168" s="8">
        <v>23.0</v>
      </c>
      <c r="P168" s="8">
        <v>22.0</v>
      </c>
      <c r="Q168" s="8">
        <v>118.8</v>
      </c>
      <c r="R168" s="8"/>
      <c r="S168" s="8">
        <v>91.3</v>
      </c>
      <c r="T168" s="8">
        <v>91.24</v>
      </c>
      <c r="U168" s="8">
        <v>80.39</v>
      </c>
      <c r="V168" s="8">
        <v>0.52</v>
      </c>
      <c r="W168" s="8">
        <v>40.46</v>
      </c>
      <c r="X168" s="8">
        <v>44.0</v>
      </c>
      <c r="Y168" s="8">
        <v>22.14</v>
      </c>
      <c r="Z168" s="8">
        <v>33.96226501</v>
      </c>
      <c r="AA168" s="8">
        <v>-0.88</v>
      </c>
      <c r="AB168" s="8">
        <v>-0.65</v>
      </c>
      <c r="AC168" s="8">
        <v>-0.45</v>
      </c>
      <c r="AD168" s="8">
        <v>-0.46</v>
      </c>
      <c r="AE168" s="8">
        <v>15.77</v>
      </c>
      <c r="AF168" s="8">
        <v>0.11</v>
      </c>
      <c r="AG168" s="8">
        <v>0.99</v>
      </c>
    </row>
    <row r="169" ht="16.5" customHeight="1">
      <c r="A169" s="8" t="s">
        <v>40</v>
      </c>
      <c r="B169" s="7">
        <v>2023.0</v>
      </c>
      <c r="C169" s="8">
        <v>4.0908073367E10</v>
      </c>
      <c r="D169" s="8">
        <v>1.95</v>
      </c>
      <c r="E169" s="8">
        <v>1324.03</v>
      </c>
      <c r="F169" s="8">
        <v>10.69</v>
      </c>
      <c r="G169" s="8">
        <v>7.11</v>
      </c>
      <c r="H169" s="8">
        <v>0.18</v>
      </c>
      <c r="I169" s="8">
        <v>41.64</v>
      </c>
      <c r="J169" s="8">
        <v>33.71</v>
      </c>
      <c r="K169" s="8">
        <v>3.089659E7</v>
      </c>
      <c r="L169" s="8">
        <v>1.14</v>
      </c>
      <c r="M169" s="8">
        <v>2.7</v>
      </c>
      <c r="N169" s="8">
        <v>65.53</v>
      </c>
      <c r="O169" s="8">
        <v>37.5</v>
      </c>
      <c r="P169" s="8">
        <v>22.0</v>
      </c>
      <c r="Q169" s="8">
        <v>122.98</v>
      </c>
      <c r="R169" s="8">
        <v>21.9</v>
      </c>
      <c r="S169" s="8">
        <v>73.2</v>
      </c>
      <c r="T169" s="8">
        <v>82.3</v>
      </c>
      <c r="U169" s="8">
        <v>55.23</v>
      </c>
      <c r="V169" s="8">
        <v>1.05</v>
      </c>
      <c r="W169" s="8">
        <v>59.16</v>
      </c>
      <c r="X169" s="8">
        <v>44.0</v>
      </c>
      <c r="Y169" s="8">
        <v>5.85</v>
      </c>
      <c r="Z169" s="8">
        <v>33.95</v>
      </c>
      <c r="AA169" s="8">
        <v>0.49</v>
      </c>
      <c r="AB169" s="8">
        <v>-0.58</v>
      </c>
      <c r="AC169" s="8">
        <v>-0.89</v>
      </c>
      <c r="AD169" s="8">
        <v>-1.22</v>
      </c>
      <c r="AE169" s="8">
        <v>15.77</v>
      </c>
      <c r="AF169" s="8">
        <v>0.11</v>
      </c>
      <c r="AG169" s="8">
        <v>0.99</v>
      </c>
    </row>
    <row r="170" ht="16.5" customHeight="1">
      <c r="A170" s="8" t="s">
        <v>41</v>
      </c>
      <c r="B170" s="7">
        <v>2000.0</v>
      </c>
      <c r="C170" s="8">
        <v>9.9484802345E10</v>
      </c>
      <c r="D170" s="8">
        <v>4.26</v>
      </c>
      <c r="E170" s="8">
        <v>644.46</v>
      </c>
      <c r="F170" s="8">
        <v>0.6</v>
      </c>
      <c r="G170" s="8">
        <v>4.37</v>
      </c>
      <c r="H170" s="8">
        <v>0.31</v>
      </c>
      <c r="I170" s="8">
        <v>21.46</v>
      </c>
      <c r="J170" s="8">
        <v>33.71</v>
      </c>
      <c r="K170" s="8">
        <v>1.54369924E8</v>
      </c>
      <c r="L170" s="8">
        <v>3.08</v>
      </c>
      <c r="M170" s="8">
        <v>2.7</v>
      </c>
      <c r="N170" s="8">
        <v>62.1</v>
      </c>
      <c r="O170" s="8">
        <v>84.8</v>
      </c>
      <c r="P170" s="8">
        <v>22.0</v>
      </c>
      <c r="Q170" s="8">
        <v>63.47</v>
      </c>
      <c r="R170" s="8">
        <v>32.98</v>
      </c>
      <c r="S170" s="8">
        <v>72.8</v>
      </c>
      <c r="T170" s="8">
        <v>87.36</v>
      </c>
      <c r="U170" s="8">
        <v>30.91</v>
      </c>
      <c r="V170" s="8">
        <v>0.71</v>
      </c>
      <c r="W170" s="8">
        <v>59.26</v>
      </c>
      <c r="X170" s="8">
        <v>51.0</v>
      </c>
      <c r="Y170" s="8">
        <v>5.8</v>
      </c>
      <c r="Z170" s="8">
        <v>22.87234116</v>
      </c>
      <c r="AA170" s="8">
        <v>-0.88</v>
      </c>
      <c r="AB170" s="8">
        <v>-0.77</v>
      </c>
      <c r="AC170" s="8">
        <v>-1.0</v>
      </c>
      <c r="AD170" s="8">
        <v>-0.46</v>
      </c>
      <c r="AE170" s="8">
        <v>1.32</v>
      </c>
      <c r="AF170" s="8">
        <v>0.12</v>
      </c>
      <c r="AG170" s="8">
        <v>0.99</v>
      </c>
    </row>
    <row r="171" ht="16.5" customHeight="1">
      <c r="A171" s="8" t="s">
        <v>41</v>
      </c>
      <c r="B171" s="7">
        <v>2001.0</v>
      </c>
      <c r="C171" s="8">
        <v>9.714561848E10</v>
      </c>
      <c r="D171" s="8">
        <v>3.65</v>
      </c>
      <c r="E171" s="8">
        <v>610.14</v>
      </c>
      <c r="F171" s="8">
        <v>0.6</v>
      </c>
      <c r="G171" s="8">
        <v>3.15</v>
      </c>
      <c r="H171" s="8">
        <v>0.39</v>
      </c>
      <c r="I171" s="8">
        <v>23.58</v>
      </c>
      <c r="J171" s="8">
        <v>28.7</v>
      </c>
      <c r="K171" s="8">
        <v>1.59217727E8</v>
      </c>
      <c r="L171" s="8">
        <v>3.09</v>
      </c>
      <c r="M171" s="8">
        <v>33.3</v>
      </c>
      <c r="N171" s="8">
        <v>62.42</v>
      </c>
      <c r="O171" s="8">
        <v>82.9</v>
      </c>
      <c r="P171" s="8">
        <v>22.0</v>
      </c>
      <c r="Q171" s="8">
        <v>63.47</v>
      </c>
      <c r="R171" s="8">
        <v>33.18</v>
      </c>
      <c r="S171" s="8">
        <v>73.9</v>
      </c>
      <c r="T171" s="8">
        <v>87.6</v>
      </c>
      <c r="U171" s="8">
        <v>32.81</v>
      </c>
      <c r="V171" s="8">
        <v>0.71</v>
      </c>
      <c r="W171" s="8">
        <v>59.35</v>
      </c>
      <c r="X171" s="8">
        <v>51.5</v>
      </c>
      <c r="Y171" s="8">
        <v>5.74</v>
      </c>
      <c r="Z171" s="8">
        <v>33.95</v>
      </c>
      <c r="AA171" s="8">
        <v>0.69</v>
      </c>
      <c r="AB171" s="8">
        <v>-0.58</v>
      </c>
      <c r="AC171" s="8">
        <v>-0.89</v>
      </c>
      <c r="AD171" s="8">
        <v>-1.11</v>
      </c>
      <c r="AE171" s="8">
        <v>2.58</v>
      </c>
      <c r="AF171" s="8">
        <v>0.15</v>
      </c>
      <c r="AG171" s="8">
        <v>0.99</v>
      </c>
    </row>
    <row r="172" ht="16.5" customHeight="1">
      <c r="A172" s="8" t="s">
        <v>41</v>
      </c>
      <c r="B172" s="7">
        <v>2002.0</v>
      </c>
      <c r="C172" s="8">
        <v>9.7923302809E10</v>
      </c>
      <c r="D172" s="8">
        <v>2.59</v>
      </c>
      <c r="E172" s="8">
        <v>599.79</v>
      </c>
      <c r="F172" s="8">
        <v>0.6</v>
      </c>
      <c r="G172" s="8">
        <v>3.29</v>
      </c>
      <c r="H172" s="8">
        <v>0.84</v>
      </c>
      <c r="I172" s="8">
        <v>23.13</v>
      </c>
      <c r="J172" s="8">
        <v>33.71</v>
      </c>
      <c r="K172" s="8">
        <v>1.63262807E8</v>
      </c>
      <c r="L172" s="8">
        <v>2.51</v>
      </c>
      <c r="M172" s="8">
        <v>2.7</v>
      </c>
      <c r="N172" s="8">
        <v>62.63</v>
      </c>
      <c r="O172" s="8">
        <v>81.1</v>
      </c>
      <c r="P172" s="8">
        <v>22.0</v>
      </c>
      <c r="Q172" s="8">
        <v>63.84</v>
      </c>
      <c r="R172" s="8">
        <v>33.38</v>
      </c>
      <c r="S172" s="8">
        <v>74.9</v>
      </c>
      <c r="T172" s="8">
        <v>87.84</v>
      </c>
      <c r="U172" s="8">
        <v>34.7</v>
      </c>
      <c r="V172" s="8">
        <v>0.69</v>
      </c>
      <c r="W172" s="8">
        <v>59.37</v>
      </c>
      <c r="X172" s="8">
        <v>51.4</v>
      </c>
      <c r="Y172" s="8">
        <v>5.69</v>
      </c>
      <c r="Z172" s="8">
        <v>20.1058197</v>
      </c>
      <c r="AA172" s="8">
        <v>0.92</v>
      </c>
      <c r="AB172" s="8">
        <v>-0.88</v>
      </c>
      <c r="AC172" s="8">
        <v>-0.93</v>
      </c>
      <c r="AD172" s="8">
        <v>-1.17</v>
      </c>
      <c r="AE172" s="8">
        <v>5.04</v>
      </c>
      <c r="AF172" s="8">
        <v>0.2</v>
      </c>
      <c r="AG172" s="8">
        <v>0.99</v>
      </c>
    </row>
    <row r="173" ht="16.5" customHeight="1">
      <c r="A173" s="8" t="s">
        <v>41</v>
      </c>
      <c r="B173" s="7">
        <v>2003.0</v>
      </c>
      <c r="C173" s="8">
        <v>1.12E11</v>
      </c>
      <c r="D173" s="8">
        <v>5.4</v>
      </c>
      <c r="E173" s="8">
        <v>673.38</v>
      </c>
      <c r="F173" s="8">
        <v>0.6</v>
      </c>
      <c r="G173" s="8">
        <v>2.91</v>
      </c>
      <c r="H173" s="8">
        <v>0.48</v>
      </c>
      <c r="I173" s="8">
        <v>24.65</v>
      </c>
      <c r="J173" s="8">
        <v>33.71</v>
      </c>
      <c r="K173" s="8">
        <v>1.6687668E8</v>
      </c>
      <c r="L173" s="8">
        <v>2.19</v>
      </c>
      <c r="M173" s="8">
        <v>2.7</v>
      </c>
      <c r="N173" s="8">
        <v>62.84</v>
      </c>
      <c r="O173" s="8">
        <v>79.5</v>
      </c>
      <c r="P173" s="8">
        <v>22.0</v>
      </c>
      <c r="Q173" s="8">
        <v>65.77</v>
      </c>
      <c r="R173" s="8">
        <v>33.58</v>
      </c>
      <c r="S173" s="8">
        <v>76.0</v>
      </c>
      <c r="T173" s="8">
        <v>88.07</v>
      </c>
      <c r="U173" s="8">
        <v>36.6</v>
      </c>
      <c r="V173" s="8">
        <v>0.7</v>
      </c>
      <c r="W173" s="8">
        <v>59.27</v>
      </c>
      <c r="X173" s="8">
        <v>50.1</v>
      </c>
      <c r="Y173" s="8">
        <v>5.64</v>
      </c>
      <c r="Z173" s="8">
        <v>24.33862495</v>
      </c>
      <c r="AA173" s="8">
        <v>1.17</v>
      </c>
      <c r="AB173" s="8">
        <v>-0.83</v>
      </c>
      <c r="AC173" s="8">
        <v>-0.92</v>
      </c>
      <c r="AD173" s="8">
        <v>-1.14</v>
      </c>
      <c r="AE173" s="8">
        <v>6.16</v>
      </c>
      <c r="AF173" s="8">
        <v>0.11</v>
      </c>
      <c r="AG173" s="8">
        <v>0.99</v>
      </c>
    </row>
    <row r="174" ht="16.5" customHeight="1">
      <c r="A174" s="8" t="s">
        <v>41</v>
      </c>
      <c r="B174" s="7">
        <v>2004.0</v>
      </c>
      <c r="C174" s="8">
        <v>1.32E11</v>
      </c>
      <c r="D174" s="8">
        <v>7.83</v>
      </c>
      <c r="E174" s="8">
        <v>774.79</v>
      </c>
      <c r="F174" s="8">
        <v>0.59</v>
      </c>
      <c r="G174" s="8">
        <v>7.44</v>
      </c>
      <c r="H174" s="8">
        <v>0.85</v>
      </c>
      <c r="I174" s="8">
        <v>24.81</v>
      </c>
      <c r="J174" s="8">
        <v>30.9</v>
      </c>
      <c r="K174" s="8">
        <v>1.7064862E8</v>
      </c>
      <c r="L174" s="8">
        <v>2.24</v>
      </c>
      <c r="M174" s="8">
        <v>20.2</v>
      </c>
      <c r="N174" s="8">
        <v>63.05</v>
      </c>
      <c r="O174" s="8">
        <v>78.1</v>
      </c>
      <c r="P174" s="8">
        <v>22.0</v>
      </c>
      <c r="Q174" s="8">
        <v>69.65</v>
      </c>
      <c r="R174" s="8">
        <v>33.78</v>
      </c>
      <c r="S174" s="8">
        <v>77.0</v>
      </c>
      <c r="T174" s="8">
        <v>88.31</v>
      </c>
      <c r="U174" s="8">
        <v>38.48</v>
      </c>
      <c r="V174" s="8">
        <v>0.76</v>
      </c>
      <c r="W174" s="8">
        <v>58.99</v>
      </c>
      <c r="X174" s="8">
        <v>47.9</v>
      </c>
      <c r="Y174" s="8">
        <v>5.58</v>
      </c>
      <c r="Z174" s="8">
        <v>10.83743858</v>
      </c>
      <c r="AA174" s="8">
        <v>1.28</v>
      </c>
      <c r="AB174" s="8">
        <v>-1.05</v>
      </c>
      <c r="AC174" s="8">
        <v>-0.99</v>
      </c>
      <c r="AD174" s="8">
        <v>-0.98</v>
      </c>
      <c r="AE174" s="8">
        <v>6.33</v>
      </c>
      <c r="AF174" s="8">
        <v>0.11</v>
      </c>
      <c r="AG174" s="8">
        <v>0.99</v>
      </c>
    </row>
    <row r="175" ht="16.5" customHeight="1">
      <c r="A175" s="8" t="s">
        <v>41</v>
      </c>
      <c r="B175" s="7">
        <v>2005.0</v>
      </c>
      <c r="C175" s="8">
        <v>1.45E11</v>
      </c>
      <c r="D175" s="8">
        <v>7.28</v>
      </c>
      <c r="E175" s="8">
        <v>832.75</v>
      </c>
      <c r="F175" s="8">
        <v>0.58</v>
      </c>
      <c r="G175" s="8">
        <v>9.06</v>
      </c>
      <c r="H175" s="8">
        <v>1.52</v>
      </c>
      <c r="I175" s="8">
        <v>29.88</v>
      </c>
      <c r="J175" s="8">
        <v>31.3</v>
      </c>
      <c r="K175" s="8">
        <v>1.74372098E8</v>
      </c>
      <c r="L175" s="8">
        <v>2.16</v>
      </c>
      <c r="M175" s="8">
        <v>20.3</v>
      </c>
      <c r="N175" s="8">
        <v>62.47</v>
      </c>
      <c r="O175" s="8">
        <v>76.8</v>
      </c>
      <c r="P175" s="8">
        <v>50.0</v>
      </c>
      <c r="Q175" s="8">
        <v>73.18</v>
      </c>
      <c r="R175" s="8">
        <v>33.98</v>
      </c>
      <c r="S175" s="8">
        <v>78.1</v>
      </c>
      <c r="T175" s="8">
        <v>87.99</v>
      </c>
      <c r="U175" s="8">
        <v>40.36</v>
      </c>
      <c r="V175" s="8">
        <v>0.76</v>
      </c>
      <c r="W175" s="8">
        <v>57.45</v>
      </c>
      <c r="X175" s="8">
        <v>48.0</v>
      </c>
      <c r="Y175" s="8">
        <v>5.53</v>
      </c>
      <c r="Z175" s="8">
        <v>14.63414669</v>
      </c>
      <c r="AA175" s="8">
        <v>1.26</v>
      </c>
      <c r="AB175" s="8">
        <v>-0.64</v>
      </c>
      <c r="AC175" s="8">
        <v>-0.89</v>
      </c>
      <c r="AD175" s="8">
        <v>-0.89</v>
      </c>
      <c r="AE175" s="8">
        <v>6.5</v>
      </c>
      <c r="AF175" s="8">
        <v>0.4</v>
      </c>
      <c r="AG175" s="8">
        <v>0.99</v>
      </c>
    </row>
    <row r="176" ht="16.5" customHeight="1">
      <c r="A176" s="8" t="s">
        <v>41</v>
      </c>
      <c r="B176" s="7">
        <v>2006.0</v>
      </c>
      <c r="C176" s="8">
        <v>1.62E11</v>
      </c>
      <c r="D176" s="8">
        <v>6.05</v>
      </c>
      <c r="E176" s="8">
        <v>909.03</v>
      </c>
      <c r="F176" s="8">
        <v>0.58</v>
      </c>
      <c r="G176" s="8">
        <v>7.92</v>
      </c>
      <c r="H176" s="8">
        <v>2.64</v>
      </c>
      <c r="I176" s="8">
        <v>33.05</v>
      </c>
      <c r="J176" s="8">
        <v>33.71</v>
      </c>
      <c r="K176" s="8">
        <v>1.78069984E8</v>
      </c>
      <c r="L176" s="8">
        <v>2.1</v>
      </c>
      <c r="M176" s="8">
        <v>2.7</v>
      </c>
      <c r="N176" s="8">
        <v>63.73</v>
      </c>
      <c r="O176" s="8">
        <v>75.5</v>
      </c>
      <c r="P176" s="8">
        <v>54.0</v>
      </c>
      <c r="Q176" s="8">
        <v>69.86</v>
      </c>
      <c r="R176" s="8">
        <v>34.18</v>
      </c>
      <c r="S176" s="8">
        <v>79.1</v>
      </c>
      <c r="T176" s="8">
        <v>88.14</v>
      </c>
      <c r="U176" s="8">
        <v>42.21</v>
      </c>
      <c r="V176" s="8">
        <v>0.81</v>
      </c>
      <c r="W176" s="8">
        <v>54.34</v>
      </c>
      <c r="X176" s="8">
        <v>47.0</v>
      </c>
      <c r="Y176" s="8">
        <v>5.47</v>
      </c>
      <c r="Z176" s="8">
        <v>22.43902397</v>
      </c>
      <c r="AA176" s="8">
        <v>0.57</v>
      </c>
      <c r="AB176" s="8">
        <v>-0.48</v>
      </c>
      <c r="AC176" s="8">
        <v>-0.86</v>
      </c>
      <c r="AD176" s="8">
        <v>-0.95</v>
      </c>
      <c r="AE176" s="8">
        <v>6.8</v>
      </c>
      <c r="AF176" s="8">
        <v>0.11</v>
      </c>
      <c r="AG176" s="8">
        <v>0.99</v>
      </c>
    </row>
    <row r="177" ht="16.5" customHeight="1">
      <c r="A177" s="8" t="s">
        <v>41</v>
      </c>
      <c r="B177" s="7">
        <v>2007.0</v>
      </c>
      <c r="C177" s="8">
        <v>1.84E11</v>
      </c>
      <c r="D177" s="8">
        <v>4.44</v>
      </c>
      <c r="E177" s="8">
        <v>1012.18</v>
      </c>
      <c r="F177" s="8">
        <v>0.4</v>
      </c>
      <c r="G177" s="8">
        <v>7.6</v>
      </c>
      <c r="H177" s="8">
        <v>3.04</v>
      </c>
      <c r="I177" s="8">
        <v>30.79</v>
      </c>
      <c r="J177" s="8">
        <v>29.7</v>
      </c>
      <c r="K177" s="8">
        <v>1.81924521E8</v>
      </c>
      <c r="L177" s="8">
        <v>2.14</v>
      </c>
      <c r="M177" s="8">
        <v>14.9</v>
      </c>
      <c r="N177" s="8">
        <v>63.85</v>
      </c>
      <c r="O177" s="8">
        <v>74.3</v>
      </c>
      <c r="P177" s="8">
        <v>52.0</v>
      </c>
      <c r="Q177" s="8">
        <v>74.22</v>
      </c>
      <c r="R177" s="8">
        <v>34.39</v>
      </c>
      <c r="S177" s="8">
        <v>80.2</v>
      </c>
      <c r="T177" s="8">
        <v>88.31</v>
      </c>
      <c r="U177" s="8">
        <v>44.06</v>
      </c>
      <c r="V177" s="8">
        <v>0.88</v>
      </c>
      <c r="W177" s="8">
        <v>50.75</v>
      </c>
      <c r="X177" s="8">
        <v>44.9</v>
      </c>
      <c r="Y177" s="8">
        <v>5.42</v>
      </c>
      <c r="Z177" s="8">
        <v>21.84465981</v>
      </c>
      <c r="AA177" s="8">
        <v>0.72</v>
      </c>
      <c r="AB177" s="8">
        <v>-0.54</v>
      </c>
      <c r="AC177" s="8">
        <v>-0.89</v>
      </c>
      <c r="AD177" s="8">
        <v>-0.84</v>
      </c>
      <c r="AE177" s="8">
        <v>7.0</v>
      </c>
      <c r="AF177" s="8">
        <v>0.63</v>
      </c>
      <c r="AG177" s="8">
        <v>1.92</v>
      </c>
    </row>
    <row r="178" ht="16.5" customHeight="1">
      <c r="A178" s="8" t="s">
        <v>41</v>
      </c>
      <c r="B178" s="7">
        <v>2008.0</v>
      </c>
      <c r="C178" s="8">
        <v>2.02E11</v>
      </c>
      <c r="D178" s="8">
        <v>2.12</v>
      </c>
      <c r="E178" s="8">
        <v>1087.51</v>
      </c>
      <c r="F178" s="8">
        <v>0.42</v>
      </c>
      <c r="G178" s="8">
        <v>20.29</v>
      </c>
      <c r="H178" s="8">
        <v>2.69</v>
      </c>
      <c r="I178" s="8">
        <v>34.35</v>
      </c>
      <c r="J178" s="8">
        <v>33.71</v>
      </c>
      <c r="K178" s="8">
        <v>1.85931955E8</v>
      </c>
      <c r="L178" s="8">
        <v>2.18</v>
      </c>
      <c r="M178" s="8">
        <v>2.7</v>
      </c>
      <c r="N178" s="8">
        <v>64.04</v>
      </c>
      <c r="O178" s="8">
        <v>73.0</v>
      </c>
      <c r="P178" s="8">
        <v>56.0</v>
      </c>
      <c r="Q178" s="8">
        <v>73.91</v>
      </c>
      <c r="R178" s="8">
        <v>34.59</v>
      </c>
      <c r="S178" s="8">
        <v>81.4</v>
      </c>
      <c r="T178" s="8">
        <v>88.48</v>
      </c>
      <c r="U178" s="8">
        <v>45.89</v>
      </c>
      <c r="V178" s="8">
        <v>0.83</v>
      </c>
      <c r="W178" s="8">
        <v>47.8</v>
      </c>
      <c r="X178" s="8">
        <v>46.6</v>
      </c>
      <c r="Y178" s="8">
        <v>5.36</v>
      </c>
      <c r="Z178" s="8">
        <v>19.41747665</v>
      </c>
      <c r="AA178" s="8">
        <v>0.8</v>
      </c>
      <c r="AB178" s="8">
        <v>-0.6</v>
      </c>
      <c r="AC178" s="8">
        <v>-0.97</v>
      </c>
      <c r="AD178" s="8">
        <v>-0.86</v>
      </c>
      <c r="AE178" s="8">
        <v>7.5</v>
      </c>
      <c r="AF178" s="8">
        <v>0.11</v>
      </c>
      <c r="AG178" s="8">
        <v>1.77</v>
      </c>
    </row>
    <row r="179" ht="16.5" customHeight="1">
      <c r="A179" s="8" t="s">
        <v>41</v>
      </c>
      <c r="B179" s="7">
        <v>2009.0</v>
      </c>
      <c r="C179" s="8">
        <v>1.87E11</v>
      </c>
      <c r="D179" s="8">
        <v>3.47</v>
      </c>
      <c r="E179" s="8">
        <v>985.35</v>
      </c>
      <c r="F179" s="8">
        <v>0.54</v>
      </c>
      <c r="G179" s="8">
        <v>13.65</v>
      </c>
      <c r="H179" s="8">
        <v>1.25</v>
      </c>
      <c r="I179" s="8">
        <v>33.33</v>
      </c>
      <c r="J179" s="8">
        <v>33.71</v>
      </c>
      <c r="K179" s="8">
        <v>1.90123222E8</v>
      </c>
      <c r="L179" s="8">
        <v>2.23</v>
      </c>
      <c r="M179" s="8">
        <v>2.7</v>
      </c>
      <c r="N179" s="8">
        <v>64.14</v>
      </c>
      <c r="O179" s="8">
        <v>71.6</v>
      </c>
      <c r="P179" s="8">
        <v>55.0</v>
      </c>
      <c r="Q179" s="8">
        <v>74.17</v>
      </c>
      <c r="R179" s="8">
        <v>34.79</v>
      </c>
      <c r="S179" s="8">
        <v>82.5</v>
      </c>
      <c r="T179" s="8">
        <v>88.64</v>
      </c>
      <c r="U179" s="8">
        <v>47.71</v>
      </c>
      <c r="V179" s="8">
        <v>0.83</v>
      </c>
      <c r="W179" s="8">
        <v>46.57</v>
      </c>
      <c r="X179" s="8">
        <v>46.4</v>
      </c>
      <c r="Y179" s="8">
        <v>5.31</v>
      </c>
      <c r="Z179" s="8">
        <v>13.87559795</v>
      </c>
      <c r="AA179" s="8">
        <v>0.74</v>
      </c>
      <c r="AB179" s="8">
        <v>-0.58</v>
      </c>
      <c r="AC179" s="8">
        <v>-0.84</v>
      </c>
      <c r="AD179" s="8">
        <v>-0.8</v>
      </c>
      <c r="AE179" s="8">
        <v>8.0</v>
      </c>
      <c r="AF179" s="8">
        <v>0.45</v>
      </c>
      <c r="AG179" s="8">
        <v>1.73</v>
      </c>
    </row>
    <row r="180" ht="16.5" customHeight="1">
      <c r="A180" s="8" t="s">
        <v>41</v>
      </c>
      <c r="B180" s="7">
        <v>2010.0</v>
      </c>
      <c r="C180" s="8">
        <v>1.97E11</v>
      </c>
      <c r="D180" s="8">
        <v>1.5</v>
      </c>
      <c r="E180" s="8">
        <v>1011.6</v>
      </c>
      <c r="F180" s="8">
        <v>0.65</v>
      </c>
      <c r="G180" s="8">
        <v>12.94</v>
      </c>
      <c r="H180" s="8">
        <v>1.03</v>
      </c>
      <c r="I180" s="8">
        <v>31.99</v>
      </c>
      <c r="J180" s="8">
        <v>28.8</v>
      </c>
      <c r="K180" s="8">
        <v>1.94454498E8</v>
      </c>
      <c r="L180" s="8">
        <v>2.25</v>
      </c>
      <c r="M180" s="8">
        <v>9.4</v>
      </c>
      <c r="N180" s="8">
        <v>64.44</v>
      </c>
      <c r="O180" s="8">
        <v>70.2</v>
      </c>
      <c r="P180" s="8">
        <v>55.0</v>
      </c>
      <c r="Q180" s="8">
        <v>74.52</v>
      </c>
      <c r="R180" s="8">
        <v>35.0</v>
      </c>
      <c r="S180" s="8">
        <v>87.1</v>
      </c>
      <c r="T180" s="8">
        <v>88.8</v>
      </c>
      <c r="U180" s="8">
        <v>49.52</v>
      </c>
      <c r="V180" s="8">
        <v>0.78</v>
      </c>
      <c r="W180" s="8">
        <v>55.75</v>
      </c>
      <c r="X180" s="8">
        <v>47.4</v>
      </c>
      <c r="Y180" s="8">
        <v>5.27</v>
      </c>
      <c r="Z180" s="8">
        <v>13.80952358</v>
      </c>
      <c r="AA180" s="8">
        <v>0.83</v>
      </c>
      <c r="AB180" s="8">
        <v>-0.61</v>
      </c>
      <c r="AC180" s="8">
        <v>-0.74</v>
      </c>
      <c r="AD180" s="8">
        <v>-0.83</v>
      </c>
      <c r="AE180" s="8">
        <v>8.0</v>
      </c>
      <c r="AF180" s="8">
        <v>0.11</v>
      </c>
      <c r="AG180" s="8">
        <v>1.81</v>
      </c>
    </row>
    <row r="181" ht="16.5" customHeight="1">
      <c r="A181" s="8" t="s">
        <v>41</v>
      </c>
      <c r="B181" s="7">
        <v>2011.0</v>
      </c>
      <c r="C181" s="8">
        <v>2.31E11</v>
      </c>
      <c r="D181" s="8">
        <v>2.68</v>
      </c>
      <c r="E181" s="8">
        <v>1161.04</v>
      </c>
      <c r="F181" s="8">
        <v>0.8</v>
      </c>
      <c r="G181" s="8">
        <v>11.92</v>
      </c>
      <c r="H181" s="8">
        <v>0.58</v>
      </c>
      <c r="I181" s="8">
        <v>32.36</v>
      </c>
      <c r="J181" s="8">
        <v>29.7</v>
      </c>
      <c r="K181" s="8">
        <v>1.98602738E8</v>
      </c>
      <c r="L181" s="8">
        <v>2.11</v>
      </c>
      <c r="M181" s="8">
        <v>9.6</v>
      </c>
      <c r="N181" s="8">
        <v>64.65</v>
      </c>
      <c r="O181" s="8">
        <v>68.7</v>
      </c>
      <c r="P181" s="8">
        <v>55.0</v>
      </c>
      <c r="Q181" s="8">
        <v>71.03</v>
      </c>
      <c r="R181" s="8">
        <v>35.2</v>
      </c>
      <c r="S181" s="8">
        <v>87.8</v>
      </c>
      <c r="T181" s="8">
        <v>88.97</v>
      </c>
      <c r="U181" s="8">
        <v>51.33</v>
      </c>
      <c r="V181" s="8">
        <v>0.77</v>
      </c>
      <c r="W181" s="8">
        <v>66.87</v>
      </c>
      <c r="X181" s="8">
        <v>46.8</v>
      </c>
      <c r="Y181" s="8">
        <v>5.23</v>
      </c>
      <c r="Z181" s="8">
        <v>15.16587639</v>
      </c>
      <c r="AA181" s="8">
        <v>0.78</v>
      </c>
      <c r="AB181" s="8">
        <v>-0.65</v>
      </c>
      <c r="AC181" s="8">
        <v>-0.91</v>
      </c>
      <c r="AD181" s="8">
        <v>-0.84</v>
      </c>
      <c r="AE181" s="8">
        <v>8.1</v>
      </c>
      <c r="AF181" s="8">
        <v>0.33</v>
      </c>
      <c r="AG181" s="8">
        <v>1.73</v>
      </c>
    </row>
    <row r="182" ht="16.5" customHeight="1">
      <c r="A182" s="8" t="s">
        <v>41</v>
      </c>
      <c r="B182" s="7">
        <v>2012.0</v>
      </c>
      <c r="C182" s="8">
        <v>2.5E11</v>
      </c>
      <c r="D182" s="8">
        <v>3.03</v>
      </c>
      <c r="E182" s="8">
        <v>1236.89</v>
      </c>
      <c r="F182" s="8">
        <v>3.67</v>
      </c>
      <c r="G182" s="8">
        <v>9.68</v>
      </c>
      <c r="H182" s="8">
        <v>0.34</v>
      </c>
      <c r="I182" s="8">
        <v>31.32</v>
      </c>
      <c r="J182" s="8">
        <v>33.71</v>
      </c>
      <c r="K182" s="8">
        <v>2.02205861E8</v>
      </c>
      <c r="L182" s="8">
        <v>1.8</v>
      </c>
      <c r="M182" s="8">
        <v>2.7</v>
      </c>
      <c r="N182" s="8">
        <v>64.78</v>
      </c>
      <c r="O182" s="8">
        <v>67.1</v>
      </c>
      <c r="P182" s="8">
        <v>57.0</v>
      </c>
      <c r="Q182" s="8">
        <v>70.79</v>
      </c>
      <c r="R182" s="8">
        <v>35.41</v>
      </c>
      <c r="S182" s="8">
        <v>88.6</v>
      </c>
      <c r="T182" s="8">
        <v>89.12</v>
      </c>
      <c r="U182" s="8">
        <v>53.12</v>
      </c>
      <c r="V182" s="8">
        <v>0.77</v>
      </c>
      <c r="W182" s="8">
        <v>68.58</v>
      </c>
      <c r="X182" s="8">
        <v>47.2</v>
      </c>
      <c r="Y182" s="8">
        <v>5.19</v>
      </c>
      <c r="Z182" s="8">
        <v>14.21800995</v>
      </c>
      <c r="AA182" s="8">
        <v>0.78</v>
      </c>
      <c r="AB182" s="8">
        <v>-0.72</v>
      </c>
      <c r="AC182" s="8">
        <v>-0.88</v>
      </c>
      <c r="AD182" s="8">
        <v>-0.8</v>
      </c>
      <c r="AE182" s="8">
        <v>9.0</v>
      </c>
      <c r="AF182" s="8">
        <v>0.11</v>
      </c>
      <c r="AG182" s="8">
        <v>1.92</v>
      </c>
    </row>
    <row r="183" ht="16.5" customHeight="1">
      <c r="A183" s="8" t="s">
        <v>41</v>
      </c>
      <c r="B183" s="7">
        <v>2013.0</v>
      </c>
      <c r="C183" s="8">
        <v>2.59E11</v>
      </c>
      <c r="D183" s="8">
        <v>4.37</v>
      </c>
      <c r="E183" s="8">
        <v>1259.67</v>
      </c>
      <c r="F183" s="8">
        <v>2.95</v>
      </c>
      <c r="G183" s="8">
        <v>7.69</v>
      </c>
      <c r="H183" s="8">
        <v>0.52</v>
      </c>
      <c r="I183" s="8">
        <v>30.89</v>
      </c>
      <c r="J183" s="8">
        <v>29.5</v>
      </c>
      <c r="K183" s="8">
        <v>2.05337562E8</v>
      </c>
      <c r="L183" s="8">
        <v>1.54</v>
      </c>
      <c r="M183" s="8">
        <v>7.4</v>
      </c>
      <c r="N183" s="8">
        <v>65.15</v>
      </c>
      <c r="O183" s="8">
        <v>65.5</v>
      </c>
      <c r="P183" s="8">
        <v>56.0</v>
      </c>
      <c r="Q183" s="8">
        <v>70.24</v>
      </c>
      <c r="R183" s="8">
        <v>35.61</v>
      </c>
      <c r="S183" s="8">
        <v>89.3</v>
      </c>
      <c r="T183" s="8">
        <v>89.28</v>
      </c>
      <c r="U183" s="8">
        <v>54.9</v>
      </c>
      <c r="V183" s="8">
        <v>0.76</v>
      </c>
      <c r="W183" s="8">
        <v>71.71</v>
      </c>
      <c r="X183" s="8">
        <v>48.1</v>
      </c>
      <c r="Y183" s="8">
        <v>5.14</v>
      </c>
      <c r="Z183" s="8">
        <v>17.06161118</v>
      </c>
      <c r="AA183" s="8">
        <v>1.07</v>
      </c>
      <c r="AB183" s="8">
        <v>-0.71</v>
      </c>
      <c r="AC183" s="8">
        <v>-0.86</v>
      </c>
      <c r="AD183" s="8">
        <v>-0.72</v>
      </c>
      <c r="AE183" s="8">
        <v>10.0</v>
      </c>
      <c r="AF183" s="8">
        <v>0.29</v>
      </c>
      <c r="AG183" s="8">
        <v>1.45</v>
      </c>
    </row>
    <row r="184" ht="16.5" customHeight="1">
      <c r="A184" s="8" t="s">
        <v>41</v>
      </c>
      <c r="B184" s="7">
        <v>2014.0</v>
      </c>
      <c r="C184" s="8">
        <v>2.71E11</v>
      </c>
      <c r="D184" s="8">
        <v>4.12</v>
      </c>
      <c r="E184" s="8">
        <v>1303.19</v>
      </c>
      <c r="F184" s="8">
        <v>1.83</v>
      </c>
      <c r="G184" s="8">
        <v>7.19</v>
      </c>
      <c r="H184" s="8">
        <v>0.7</v>
      </c>
      <c r="I184" s="8">
        <v>29.47</v>
      </c>
      <c r="J184" s="8">
        <v>33.71</v>
      </c>
      <c r="K184" s="8">
        <v>2.08251628E8</v>
      </c>
      <c r="L184" s="8">
        <v>1.41</v>
      </c>
      <c r="M184" s="8">
        <v>2.7</v>
      </c>
      <c r="N184" s="8">
        <v>65.28</v>
      </c>
      <c r="O184" s="8">
        <v>63.8</v>
      </c>
      <c r="P184" s="8">
        <v>57.0</v>
      </c>
      <c r="Q184" s="8">
        <v>74.32</v>
      </c>
      <c r="R184" s="8">
        <v>35.82</v>
      </c>
      <c r="S184" s="8">
        <v>90.1</v>
      </c>
      <c r="T184" s="8">
        <v>89.44</v>
      </c>
      <c r="U184" s="8">
        <v>56.67</v>
      </c>
      <c r="V184" s="8">
        <v>0.79</v>
      </c>
      <c r="W184" s="8">
        <v>68.01</v>
      </c>
      <c r="X184" s="8">
        <v>47.2</v>
      </c>
      <c r="Y184" s="8">
        <v>5.1</v>
      </c>
      <c r="Z184" s="8">
        <v>23.07692337</v>
      </c>
      <c r="AA184" s="8">
        <v>0.96</v>
      </c>
      <c r="AB184" s="8">
        <v>-0.69</v>
      </c>
      <c r="AC184" s="8">
        <v>-0.75</v>
      </c>
      <c r="AD184" s="8">
        <v>-0.72</v>
      </c>
      <c r="AE184" s="8">
        <v>11.0</v>
      </c>
      <c r="AF184" s="8">
        <v>0.11</v>
      </c>
      <c r="AG184" s="8">
        <v>1.6</v>
      </c>
    </row>
    <row r="185" ht="16.5" customHeight="1">
      <c r="A185" s="8" t="s">
        <v>41</v>
      </c>
      <c r="B185" s="7">
        <v>2015.0</v>
      </c>
      <c r="C185" s="8">
        <v>3.0E11</v>
      </c>
      <c r="D185" s="8">
        <v>4.22</v>
      </c>
      <c r="E185" s="8">
        <v>1421.84</v>
      </c>
      <c r="F185" s="8">
        <v>3.57</v>
      </c>
      <c r="G185" s="8">
        <v>2.53</v>
      </c>
      <c r="H185" s="8">
        <v>0.56</v>
      </c>
      <c r="I185" s="8">
        <v>26.69</v>
      </c>
      <c r="J185" s="8">
        <v>31.3</v>
      </c>
      <c r="K185" s="8">
        <v>2.10969298E8</v>
      </c>
      <c r="L185" s="8">
        <v>1.3</v>
      </c>
      <c r="M185" s="8">
        <v>5.1</v>
      </c>
      <c r="N185" s="8">
        <v>65.7</v>
      </c>
      <c r="O185" s="8">
        <v>62.2</v>
      </c>
      <c r="P185" s="8">
        <v>22.0</v>
      </c>
      <c r="Q185" s="8">
        <v>74.85</v>
      </c>
      <c r="R185" s="8">
        <v>36.03</v>
      </c>
      <c r="S185" s="8">
        <v>91.0</v>
      </c>
      <c r="T185" s="8">
        <v>89.59</v>
      </c>
      <c r="U185" s="8">
        <v>58.43</v>
      </c>
      <c r="V185" s="8">
        <v>0.83</v>
      </c>
      <c r="W185" s="8">
        <v>68.52</v>
      </c>
      <c r="X185" s="8">
        <v>45.9</v>
      </c>
      <c r="Y185" s="8">
        <v>5.02</v>
      </c>
      <c r="Z185" s="8">
        <v>22.38095284</v>
      </c>
      <c r="AA185" s="8">
        <v>1.11</v>
      </c>
      <c r="AB185" s="8">
        <v>-0.65</v>
      </c>
      <c r="AC185" s="8">
        <v>-0.78</v>
      </c>
      <c r="AD185" s="8">
        <v>-0.7</v>
      </c>
      <c r="AE185" s="8">
        <v>12.39</v>
      </c>
      <c r="AF185" s="8">
        <v>0.25</v>
      </c>
      <c r="AG185" s="8">
        <v>1.96</v>
      </c>
    </row>
    <row r="186" ht="16.5" customHeight="1">
      <c r="A186" s="8" t="s">
        <v>41</v>
      </c>
      <c r="B186" s="7">
        <v>2016.0</v>
      </c>
      <c r="C186" s="8">
        <v>3.14E11</v>
      </c>
      <c r="D186" s="8">
        <v>6.57</v>
      </c>
      <c r="E186" s="8">
        <v>1468.82</v>
      </c>
      <c r="F186" s="8">
        <v>2.29</v>
      </c>
      <c r="G186" s="8">
        <v>3.77</v>
      </c>
      <c r="H186" s="8">
        <v>0.82</v>
      </c>
      <c r="I186" s="8">
        <v>24.7</v>
      </c>
      <c r="J186" s="8">
        <v>33.71</v>
      </c>
      <c r="K186" s="8">
        <v>2.1352484E8</v>
      </c>
      <c r="L186" s="8">
        <v>1.2</v>
      </c>
      <c r="M186" s="8">
        <v>2.7</v>
      </c>
      <c r="N186" s="8">
        <v>65.88</v>
      </c>
      <c r="O186" s="8">
        <v>60.5</v>
      </c>
      <c r="P186" s="8">
        <v>22.0</v>
      </c>
      <c r="Q186" s="8">
        <v>79.84</v>
      </c>
      <c r="R186" s="8">
        <v>36.23</v>
      </c>
      <c r="S186" s="8">
        <v>91.8</v>
      </c>
      <c r="T186" s="8">
        <v>89.74</v>
      </c>
      <c r="U186" s="8">
        <v>60.19</v>
      </c>
      <c r="V186" s="8">
        <v>0.9</v>
      </c>
      <c r="W186" s="8">
        <v>61.8</v>
      </c>
      <c r="X186" s="8">
        <v>43.7</v>
      </c>
      <c r="Y186" s="8">
        <v>4.99</v>
      </c>
      <c r="Z186" s="8">
        <v>17.61904716</v>
      </c>
      <c r="AA186" s="8">
        <v>1.1</v>
      </c>
      <c r="AB186" s="8">
        <v>-0.66</v>
      </c>
      <c r="AC186" s="8">
        <v>-0.82</v>
      </c>
      <c r="AD186" s="8">
        <v>-0.69</v>
      </c>
      <c r="AE186" s="8">
        <v>13.78</v>
      </c>
      <c r="AF186" s="8">
        <v>0.11</v>
      </c>
      <c r="AG186" s="8">
        <v>2.18</v>
      </c>
    </row>
    <row r="187" ht="16.5" customHeight="1">
      <c r="A187" s="8" t="s">
        <v>41</v>
      </c>
      <c r="B187" s="7">
        <v>2017.0</v>
      </c>
      <c r="C187" s="8">
        <v>3.39E11</v>
      </c>
      <c r="D187" s="8">
        <v>4.43</v>
      </c>
      <c r="E187" s="8">
        <v>1567.64</v>
      </c>
      <c r="F187" s="8">
        <v>3.19</v>
      </c>
      <c r="G187" s="8">
        <v>4.09</v>
      </c>
      <c r="H187" s="8">
        <v>0.74</v>
      </c>
      <c r="I187" s="8">
        <v>25.47</v>
      </c>
      <c r="J187" s="8">
        <v>33.71</v>
      </c>
      <c r="K187" s="8">
        <v>2.16379655E8</v>
      </c>
      <c r="L187" s="8">
        <v>1.33</v>
      </c>
      <c r="M187" s="8">
        <v>2.7</v>
      </c>
      <c r="N187" s="8">
        <v>66.3</v>
      </c>
      <c r="O187" s="8">
        <v>58.9</v>
      </c>
      <c r="P187" s="8">
        <v>59.0</v>
      </c>
      <c r="Q187" s="8">
        <v>78.84</v>
      </c>
      <c r="R187" s="8">
        <v>36.44</v>
      </c>
      <c r="S187" s="8">
        <v>92.7</v>
      </c>
      <c r="T187" s="8">
        <v>89.89</v>
      </c>
      <c r="U187" s="8">
        <v>61.93</v>
      </c>
      <c r="V187" s="8">
        <v>0.97</v>
      </c>
      <c r="W187" s="8">
        <v>62.39</v>
      </c>
      <c r="X187" s="8">
        <v>42.1</v>
      </c>
      <c r="Y187" s="8">
        <v>4.94</v>
      </c>
      <c r="Z187" s="8">
        <v>21.90476227</v>
      </c>
      <c r="AA187" s="8">
        <v>1.08</v>
      </c>
      <c r="AB187" s="8">
        <v>-0.61</v>
      </c>
      <c r="AC187" s="8">
        <v>-0.73</v>
      </c>
      <c r="AD187" s="8">
        <v>-0.81</v>
      </c>
      <c r="AE187" s="8">
        <v>15.34</v>
      </c>
      <c r="AF187" s="8">
        <v>0.21</v>
      </c>
      <c r="AG187" s="8">
        <v>2.17</v>
      </c>
    </row>
    <row r="188" ht="16.5" customHeight="1">
      <c r="A188" s="8" t="s">
        <v>41</v>
      </c>
      <c r="B188" s="7">
        <v>2018.0</v>
      </c>
      <c r="C188" s="8">
        <v>3.56E11</v>
      </c>
      <c r="D188" s="8">
        <v>6.15</v>
      </c>
      <c r="E188" s="8">
        <v>1620.74</v>
      </c>
      <c r="F188" s="8">
        <v>4.08</v>
      </c>
      <c r="G188" s="8">
        <v>5.08</v>
      </c>
      <c r="H188" s="8">
        <v>0.49</v>
      </c>
      <c r="I188" s="8">
        <v>27.63</v>
      </c>
      <c r="J188" s="8">
        <v>29.6</v>
      </c>
      <c r="K188" s="8">
        <v>2.19731479E8</v>
      </c>
      <c r="L188" s="8">
        <v>1.54</v>
      </c>
      <c r="M188" s="8">
        <v>4.9</v>
      </c>
      <c r="N188" s="8">
        <v>66.48</v>
      </c>
      <c r="O188" s="8">
        <v>57.3</v>
      </c>
      <c r="P188" s="8">
        <v>57.0</v>
      </c>
      <c r="Q188" s="8">
        <v>82.03</v>
      </c>
      <c r="R188" s="8">
        <v>36.67</v>
      </c>
      <c r="S188" s="8">
        <v>93.4</v>
      </c>
      <c r="T188" s="8">
        <v>90.04</v>
      </c>
      <c r="U188" s="8">
        <v>63.66</v>
      </c>
      <c r="V188" s="8">
        <v>0.9</v>
      </c>
      <c r="W188" s="8">
        <v>52.86</v>
      </c>
      <c r="X188" s="8">
        <v>43.4</v>
      </c>
      <c r="Y188" s="8">
        <v>4.89</v>
      </c>
      <c r="Z188" s="8">
        <v>24.2857151</v>
      </c>
      <c r="AA188" s="8">
        <v>1.07</v>
      </c>
      <c r="AB188" s="8">
        <v>-0.67</v>
      </c>
      <c r="AC188" s="8">
        <v>-0.68</v>
      </c>
      <c r="AD188" s="8">
        <v>-0.86</v>
      </c>
      <c r="AE188" s="8">
        <v>17.07</v>
      </c>
      <c r="AF188" s="8">
        <v>0.11</v>
      </c>
      <c r="AG188" s="8">
        <v>2.3</v>
      </c>
    </row>
    <row r="189" ht="16.5" customHeight="1">
      <c r="A189" s="8" t="s">
        <v>41</v>
      </c>
      <c r="B189" s="7">
        <v>2019.0</v>
      </c>
      <c r="C189" s="8">
        <v>3.21E11</v>
      </c>
      <c r="D189" s="8">
        <v>2.5</v>
      </c>
      <c r="E189" s="8">
        <v>1437.17</v>
      </c>
      <c r="F189" s="8">
        <v>4.83</v>
      </c>
      <c r="G189" s="8">
        <v>10.58</v>
      </c>
      <c r="H189" s="8">
        <v>0.7</v>
      </c>
      <c r="I189" s="8">
        <v>28.91</v>
      </c>
      <c r="J189" s="8">
        <v>28.91</v>
      </c>
      <c r="K189" s="8">
        <v>2.2329328E8</v>
      </c>
      <c r="L189" s="8">
        <v>1.61</v>
      </c>
      <c r="M189" s="8">
        <v>2.7</v>
      </c>
      <c r="N189" s="8">
        <v>66.76</v>
      </c>
      <c r="O189" s="8">
        <v>55.7</v>
      </c>
      <c r="P189" s="8">
        <v>58.0</v>
      </c>
      <c r="Q189" s="8">
        <v>83.18</v>
      </c>
      <c r="R189" s="8">
        <v>36.91</v>
      </c>
      <c r="S189" s="8">
        <v>93.9</v>
      </c>
      <c r="T189" s="8">
        <v>90.19</v>
      </c>
      <c r="U189" s="8">
        <v>65.39</v>
      </c>
      <c r="V189" s="8">
        <v>0.88</v>
      </c>
      <c r="W189" s="8">
        <v>43.0</v>
      </c>
      <c r="X189" s="8">
        <v>45.9</v>
      </c>
      <c r="Y189" s="8">
        <v>4.83</v>
      </c>
      <c r="Z189" s="8">
        <v>20.95238113</v>
      </c>
      <c r="AA189" s="8">
        <v>1.01</v>
      </c>
      <c r="AB189" s="8">
        <v>-0.69</v>
      </c>
      <c r="AC189" s="8">
        <v>-0.69</v>
      </c>
      <c r="AD189" s="8">
        <v>-0.88</v>
      </c>
      <c r="AE189" s="8">
        <v>18.93</v>
      </c>
      <c r="AF189" s="8">
        <v>0.17</v>
      </c>
      <c r="AG189" s="8">
        <v>1.89</v>
      </c>
    </row>
    <row r="190" ht="16.5" customHeight="1">
      <c r="A190" s="8" t="s">
        <v>41</v>
      </c>
      <c r="B190" s="7">
        <v>2020.0</v>
      </c>
      <c r="C190" s="8">
        <v>3.0E11</v>
      </c>
      <c r="D190" s="8">
        <v>-1.27</v>
      </c>
      <c r="E190" s="8">
        <v>1322.31</v>
      </c>
      <c r="F190" s="8">
        <v>6.16</v>
      </c>
      <c r="G190" s="8">
        <v>9.74</v>
      </c>
      <c r="H190" s="8">
        <v>0.68</v>
      </c>
      <c r="I190" s="8">
        <v>26.72</v>
      </c>
      <c r="J190" s="8">
        <v>26.72</v>
      </c>
      <c r="K190" s="8">
        <v>2.27196741E8</v>
      </c>
      <c r="L190" s="8">
        <v>1.73</v>
      </c>
      <c r="M190" s="8">
        <v>2.7</v>
      </c>
      <c r="N190" s="8">
        <v>66.27</v>
      </c>
      <c r="O190" s="8">
        <v>54.1</v>
      </c>
      <c r="P190" s="8">
        <v>22.0</v>
      </c>
      <c r="Q190" s="8">
        <v>88.12</v>
      </c>
      <c r="R190" s="8">
        <v>37.17</v>
      </c>
      <c r="S190" s="8">
        <v>94.5</v>
      </c>
      <c r="T190" s="8">
        <v>90.34</v>
      </c>
      <c r="U190" s="8">
        <v>67.11</v>
      </c>
      <c r="V190" s="8">
        <v>0.85</v>
      </c>
      <c r="W190" s="8">
        <v>40.46</v>
      </c>
      <c r="X190" s="8">
        <v>42.7</v>
      </c>
      <c r="Y190" s="8">
        <v>4.78</v>
      </c>
      <c r="Z190" s="8">
        <v>21.90476227</v>
      </c>
      <c r="AA190" s="8">
        <v>0.8</v>
      </c>
      <c r="AB190" s="8">
        <v>-0.76</v>
      </c>
      <c r="AC190" s="8">
        <v>-0.71</v>
      </c>
      <c r="AD190" s="8">
        <v>-0.84</v>
      </c>
      <c r="AE190" s="8">
        <v>24.98</v>
      </c>
      <c r="AF190" s="8">
        <v>0.11</v>
      </c>
      <c r="AG190" s="8">
        <v>1.49</v>
      </c>
    </row>
    <row r="191" ht="16.5" customHeight="1">
      <c r="A191" s="8" t="s">
        <v>41</v>
      </c>
      <c r="B191" s="7">
        <v>2021.0</v>
      </c>
      <c r="C191" s="8">
        <v>3.49E11</v>
      </c>
      <c r="D191" s="8">
        <v>6.51</v>
      </c>
      <c r="E191" s="8">
        <v>1506.11</v>
      </c>
      <c r="F191" s="8">
        <v>6.34</v>
      </c>
      <c r="G191" s="8">
        <v>9.5</v>
      </c>
      <c r="H191" s="8">
        <v>0.62</v>
      </c>
      <c r="I191" s="8">
        <v>27.03</v>
      </c>
      <c r="J191" s="8">
        <v>27.03</v>
      </c>
      <c r="K191" s="8">
        <v>2.31402117E8</v>
      </c>
      <c r="L191" s="8">
        <v>1.83</v>
      </c>
      <c r="M191" s="8">
        <v>2.7</v>
      </c>
      <c r="N191" s="8">
        <v>66.1</v>
      </c>
      <c r="O191" s="8">
        <v>52.5</v>
      </c>
      <c r="P191" s="8">
        <v>22.0</v>
      </c>
      <c r="Q191" s="8">
        <v>84.37</v>
      </c>
      <c r="R191" s="8">
        <v>37.44</v>
      </c>
      <c r="S191" s="8">
        <v>94.9</v>
      </c>
      <c r="T191" s="8">
        <v>90.48</v>
      </c>
      <c r="U191" s="8">
        <v>68.82</v>
      </c>
      <c r="V191" s="8">
        <v>0.93</v>
      </c>
      <c r="W191" s="8">
        <v>40.46</v>
      </c>
      <c r="X191" s="8">
        <v>41.6</v>
      </c>
      <c r="Y191" s="8">
        <v>22.14</v>
      </c>
      <c r="Z191" s="8">
        <v>23.33333397</v>
      </c>
      <c r="AA191" s="8">
        <v>0.86</v>
      </c>
      <c r="AB191" s="8">
        <v>-0.76</v>
      </c>
      <c r="AC191" s="8">
        <v>-0.66</v>
      </c>
      <c r="AD191" s="8">
        <v>-0.86</v>
      </c>
      <c r="AE191" s="8">
        <v>32.95</v>
      </c>
      <c r="AF191" s="8">
        <v>0.16</v>
      </c>
      <c r="AG191" s="8">
        <v>1.43</v>
      </c>
    </row>
    <row r="192" ht="16.5" customHeight="1">
      <c r="A192" s="8" t="s">
        <v>41</v>
      </c>
      <c r="B192" s="7">
        <v>2022.0</v>
      </c>
      <c r="C192" s="8">
        <v>3.75E11</v>
      </c>
      <c r="D192" s="8">
        <v>4.77</v>
      </c>
      <c r="E192" s="8">
        <v>1589.26</v>
      </c>
      <c r="F192" s="8">
        <v>5.55</v>
      </c>
      <c r="G192" s="8">
        <v>19.87</v>
      </c>
      <c r="H192" s="8">
        <v>0.39</v>
      </c>
      <c r="I192" s="8">
        <v>33.04</v>
      </c>
      <c r="J192" s="8">
        <v>33.04</v>
      </c>
      <c r="K192" s="8">
        <v>2.35824862E8</v>
      </c>
      <c r="L192" s="8">
        <v>1.89</v>
      </c>
      <c r="M192" s="8">
        <v>2.7</v>
      </c>
      <c r="N192" s="8">
        <v>66.43</v>
      </c>
      <c r="O192" s="8">
        <v>51.0</v>
      </c>
      <c r="P192" s="8">
        <v>22.0</v>
      </c>
      <c r="Q192" s="8">
        <v>82.68</v>
      </c>
      <c r="R192" s="8">
        <v>37.73</v>
      </c>
      <c r="S192" s="8">
        <v>95.0</v>
      </c>
      <c r="T192" s="8">
        <v>90.63</v>
      </c>
      <c r="U192" s="8">
        <v>70.53</v>
      </c>
      <c r="V192" s="8">
        <v>0.85</v>
      </c>
      <c r="W192" s="8">
        <v>40.46</v>
      </c>
      <c r="X192" s="8">
        <v>44.0</v>
      </c>
      <c r="Y192" s="8">
        <v>22.14</v>
      </c>
      <c r="Z192" s="8">
        <v>22.64151001</v>
      </c>
      <c r="AA192" s="8">
        <v>-0.88</v>
      </c>
      <c r="AB192" s="8">
        <v>-0.89</v>
      </c>
      <c r="AC192" s="8">
        <v>-0.67</v>
      </c>
      <c r="AD192" s="8">
        <v>-0.46</v>
      </c>
      <c r="AE192" s="8">
        <v>15.77</v>
      </c>
      <c r="AF192" s="8">
        <v>0.11</v>
      </c>
      <c r="AG192" s="8">
        <v>0.99</v>
      </c>
    </row>
    <row r="193" ht="16.5" customHeight="1">
      <c r="A193" s="8" t="s">
        <v>41</v>
      </c>
      <c r="B193" s="7">
        <v>2023.0</v>
      </c>
      <c r="C193" s="8">
        <v>3.38E11</v>
      </c>
      <c r="D193" s="8">
        <v>5.091675392670157</v>
      </c>
      <c r="E193" s="8">
        <v>1407.02</v>
      </c>
      <c r="F193" s="8">
        <v>5.5</v>
      </c>
      <c r="G193" s="8">
        <v>30.77</v>
      </c>
      <c r="H193" s="8">
        <v>0.54</v>
      </c>
      <c r="I193" s="8">
        <v>28.1</v>
      </c>
      <c r="J193" s="8">
        <v>28.1</v>
      </c>
      <c r="K193" s="8">
        <v>2.40485658E8</v>
      </c>
      <c r="L193" s="8">
        <v>1.96</v>
      </c>
      <c r="M193" s="8">
        <v>2.7</v>
      </c>
      <c r="N193" s="8">
        <v>65.53</v>
      </c>
      <c r="O193" s="8">
        <v>37.5</v>
      </c>
      <c r="P193" s="8">
        <v>22.0</v>
      </c>
      <c r="Q193" s="8">
        <v>88.12</v>
      </c>
      <c r="R193" s="8">
        <v>38.04</v>
      </c>
      <c r="S193" s="8">
        <v>73.2</v>
      </c>
      <c r="T193" s="8">
        <v>82.3</v>
      </c>
      <c r="U193" s="8">
        <v>55.23</v>
      </c>
      <c r="V193" s="8">
        <v>1.05</v>
      </c>
      <c r="W193" s="9">
        <v>40.46</v>
      </c>
      <c r="X193" s="8">
        <v>44.0</v>
      </c>
      <c r="Y193" s="9">
        <v>22.14</v>
      </c>
      <c r="Z193" s="8">
        <v>33.95</v>
      </c>
      <c r="AA193" s="8">
        <v>-0.73</v>
      </c>
      <c r="AB193" s="8">
        <v>-0.58</v>
      </c>
      <c r="AC193" s="8">
        <v>-0.89</v>
      </c>
      <c r="AD193" s="8">
        <v>-0.46</v>
      </c>
      <c r="AE193" s="8">
        <v>15.77</v>
      </c>
      <c r="AF193" s="8">
        <v>0.11</v>
      </c>
      <c r="AG193" s="9">
        <v>0.99</v>
      </c>
    </row>
    <row r="194">
      <c r="A194" s="8"/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>
      <c r="A195" s="8"/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>
      <c r="A196" s="8"/>
      <c r="B196" s="7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>
      <c r="A197" s="8"/>
      <c r="B197" s="7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>
      <c r="A198" s="8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>
      <c r="A199" s="8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>
      <c r="A200" s="8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>
      <c r="A201" s="8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>
      <c r="A202" s="8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>
      <c r="A203" s="8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>
      <c r="A204" s="8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>
      <c r="A205" s="8"/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>
      <c r="A206" s="8"/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>
      <c r="A207" s="8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>
      <c r="A208" s="8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>
      <c r="A209" s="8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>
      <c r="A210" s="8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>
      <c r="A211" s="8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>
      <c r="A212" s="8"/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>
      <c r="A213" s="8"/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>
      <c r="A214" s="8"/>
      <c r="B214" s="7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>
      <c r="A215" s="8"/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>
      <c r="A216" s="8"/>
      <c r="B216" s="7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>
      <c r="A217" s="8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>
      <c r="A218" s="8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>
      <c r="A219" s="8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>
      <c r="A220" s="8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>
      <c r="A221" s="8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>
      <c r="A222" s="8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>
      <c r="A223" s="8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>
      <c r="A224" s="8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>
      <c r="A225" s="8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>
      <c r="A226" s="8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>
      <c r="A227" s="8"/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>
      <c r="A228" s="8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>
      <c r="A229" s="8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>
      <c r="A230" s="8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>
      <c r="A231" s="8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>
      <c r="A232" s="8"/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>
      <c r="A233" s="8"/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>
      <c r="A234" s="8"/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>
      <c r="A235" s="8"/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>
      <c r="A236" s="8"/>
      <c r="B236" s="7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>
      <c r="A237" s="8"/>
      <c r="B237" s="7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>
      <c r="A238" s="8"/>
      <c r="B238" s="7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>
      <c r="A239" s="8"/>
      <c r="B239" s="7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>
      <c r="A240" s="8"/>
      <c r="B240" s="7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>
      <c r="A241" s="8"/>
      <c r="B241" s="7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>
      <c r="A242" s="8"/>
      <c r="B242" s="7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>
      <c r="A243" s="8"/>
      <c r="B243" s="7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>
      <c r="A244" s="8"/>
      <c r="B244" s="7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>
      <c r="A245" s="8"/>
      <c r="B245" s="7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>
      <c r="A246" s="8"/>
      <c r="B246" s="7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>
      <c r="A247" s="8"/>
      <c r="B247" s="7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>
      <c r="A248" s="8"/>
      <c r="B248" s="7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>
      <c r="A249" s="8"/>
      <c r="B249" s="7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>
      <c r="A250" s="8"/>
      <c r="B250" s="7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>
      <c r="A251" s="8"/>
      <c r="B251" s="7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>
      <c r="A252" s="8"/>
      <c r="B252" s="7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>
      <c r="A253" s="8"/>
      <c r="B253" s="7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>
      <c r="A254" s="8"/>
      <c r="B254" s="7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>
      <c r="A255" s="8"/>
      <c r="B255" s="7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>
      <c r="A256" s="8"/>
      <c r="B256" s="7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>
      <c r="A257" s="8"/>
      <c r="B257" s="7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>
      <c r="A258" s="8"/>
      <c r="B258" s="7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>
      <c r="A259" s="8"/>
      <c r="B259" s="7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>
      <c r="A260" s="8"/>
      <c r="B260" s="7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>
      <c r="A261" s="8"/>
      <c r="B261" s="7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>
      <c r="A262" s="8"/>
      <c r="B262" s="7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>
      <c r="A263" s="8"/>
      <c r="B263" s="7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>
      <c r="A264" s="8"/>
      <c r="B264" s="7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>
      <c r="A265" s="8"/>
      <c r="B265" s="7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>
      <c r="A266" s="8"/>
      <c r="B266" s="7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>
      <c r="A267" s="8"/>
      <c r="B267" s="7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>
      <c r="A268" s="8"/>
      <c r="B268" s="7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>
      <c r="A269" s="8"/>
      <c r="B269" s="7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>
      <c r="A270" s="8"/>
      <c r="B270" s="7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>
      <c r="A271" s="8"/>
      <c r="B271" s="7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>
      <c r="A272" s="8"/>
      <c r="B272" s="7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>
      <c r="A273" s="8"/>
      <c r="B273" s="7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>
      <c r="A274" s="8"/>
      <c r="B274" s="7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>
      <c r="A275" s="8"/>
      <c r="B275" s="7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>
      <c r="A276" s="8"/>
      <c r="B276" s="7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>
      <c r="A277" s="8"/>
      <c r="B277" s="7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>
      <c r="A278" s="8"/>
      <c r="B278" s="7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>
      <c r="A279" s="8"/>
      <c r="B279" s="7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>
      <c r="A280" s="8"/>
      <c r="B280" s="7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>
      <c r="A281" s="8"/>
      <c r="B281" s="7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>
      <c r="A282" s="8"/>
      <c r="B282" s="7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>
      <c r="A283" s="8"/>
      <c r="B283" s="7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>
      <c r="A284" s="8"/>
      <c r="B284" s="7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>
      <c r="A285" s="8"/>
      <c r="B285" s="7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>
      <c r="A286" s="8"/>
      <c r="B286" s="7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>
      <c r="A287" s="8"/>
      <c r="B287" s="7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>
      <c r="A288" s="8"/>
      <c r="B288" s="7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>
      <c r="A289" s="8"/>
      <c r="B289" s="7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>
      <c r="A290" s="8"/>
      <c r="B290" s="7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>
      <c r="A291" s="8"/>
      <c r="B291" s="7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>
      <c r="A292" s="8"/>
      <c r="B292" s="7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>
      <c r="A293" s="8"/>
      <c r="B293" s="7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>
      <c r="A294" s="8"/>
      <c r="B294" s="7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>
      <c r="A295" s="8"/>
      <c r="B295" s="7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>
      <c r="A296" s="8"/>
      <c r="B296" s="7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>
      <c r="A297" s="8"/>
      <c r="B297" s="7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>
      <c r="A298" s="8"/>
      <c r="B298" s="7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>
      <c r="A299" s="8"/>
      <c r="B299" s="7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>
      <c r="A300" s="8"/>
      <c r="B300" s="7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>
      <c r="A301" s="8"/>
      <c r="B301" s="7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>
      <c r="A302" s="8"/>
      <c r="B302" s="7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>
      <c r="A303" s="8"/>
      <c r="B303" s="7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>
      <c r="A304" s="8"/>
      <c r="B304" s="7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>
      <c r="A305" s="8"/>
      <c r="B305" s="7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>
      <c r="A306" s="8"/>
      <c r="B306" s="7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>
      <c r="A307" s="8"/>
      <c r="B307" s="7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>
      <c r="A308" s="8"/>
      <c r="B308" s="7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>
      <c r="A309" s="8"/>
      <c r="B309" s="7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>
      <c r="A310" s="8"/>
      <c r="B310" s="7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>
      <c r="A311" s="8"/>
      <c r="B311" s="7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>
      <c r="A312" s="8"/>
      <c r="B312" s="7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>
      <c r="A313" s="8"/>
      <c r="B313" s="7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>
      <c r="A314" s="8"/>
      <c r="B314" s="7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>
      <c r="A315" s="8"/>
      <c r="B315" s="7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>
      <c r="A316" s="8"/>
      <c r="B316" s="7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>
      <c r="A317" s="8"/>
      <c r="B317" s="7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>
      <c r="A318" s="8"/>
      <c r="B318" s="7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>
      <c r="A319" s="8"/>
      <c r="B319" s="7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>
      <c r="A320" s="8"/>
      <c r="B320" s="7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>
      <c r="A321" s="8"/>
      <c r="B321" s="7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>
      <c r="A322" s="8"/>
      <c r="B322" s="7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>
      <c r="A323" s="8"/>
      <c r="B323" s="7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>
      <c r="A324" s="8"/>
      <c r="B324" s="7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>
      <c r="A325" s="8"/>
      <c r="B325" s="7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>
      <c r="A326" s="8"/>
      <c r="B326" s="7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>
      <c r="A327" s="8"/>
      <c r="B327" s="7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>
      <c r="A328" s="8"/>
      <c r="B328" s="7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>
      <c r="A329" s="8"/>
      <c r="B329" s="7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>
      <c r="A330" s="8"/>
      <c r="B330" s="7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>
      <c r="A331" s="8"/>
      <c r="B331" s="7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>
      <c r="A332" s="8"/>
      <c r="B332" s="7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>
      <c r="A333" s="8"/>
      <c r="B333" s="7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>
      <c r="A334" s="8"/>
      <c r="B334" s="7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>
      <c r="A335" s="8"/>
      <c r="B335" s="7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>
      <c r="A336" s="8"/>
      <c r="B336" s="7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>
      <c r="A337" s="8"/>
      <c r="B337" s="7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>
      <c r="A338" s="8"/>
      <c r="B338" s="7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>
      <c r="A339" s="8"/>
      <c r="B339" s="7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>
      <c r="A340" s="8"/>
      <c r="B340" s="7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>
      <c r="A341" s="8"/>
      <c r="B341" s="7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>
      <c r="A342" s="8"/>
      <c r="B342" s="7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>
      <c r="A343" s="8"/>
      <c r="B343" s="7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>
      <c r="A344" s="8"/>
      <c r="B344" s="7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>
      <c r="A345" s="8"/>
      <c r="B345" s="7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>
      <c r="A346" s="8"/>
      <c r="B346" s="7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>
      <c r="A347" s="8"/>
      <c r="B347" s="7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>
      <c r="A348" s="8"/>
      <c r="B348" s="7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>
      <c r="A349" s="8"/>
      <c r="B349" s="7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>
      <c r="A350" s="8"/>
      <c r="B350" s="7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>
      <c r="A351" s="8"/>
      <c r="B351" s="7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>
      <c r="A352" s="8"/>
      <c r="B352" s="7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>
      <c r="A353" s="8"/>
      <c r="B353" s="7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>
      <c r="A354" s="8"/>
      <c r="B354" s="7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>
      <c r="A355" s="8"/>
      <c r="B355" s="7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>
      <c r="A356" s="8"/>
      <c r="B356" s="7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>
      <c r="A357" s="8"/>
      <c r="B357" s="7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>
      <c r="A358" s="8"/>
      <c r="B358" s="7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>
      <c r="A359" s="8"/>
      <c r="B359" s="7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>
      <c r="A360" s="8"/>
      <c r="B360" s="7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>
      <c r="A361" s="8"/>
      <c r="B361" s="7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>
      <c r="A362" s="8"/>
      <c r="B362" s="7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>
      <c r="A363" s="8"/>
      <c r="B363" s="7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>
      <c r="A364" s="8"/>
      <c r="B364" s="7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>
      <c r="A365" s="8"/>
      <c r="B365" s="7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>
      <c r="A366" s="8"/>
      <c r="B366" s="7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>
      <c r="A367" s="8"/>
      <c r="B367" s="7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>
      <c r="A368" s="8"/>
      <c r="B368" s="7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>
      <c r="A369" s="8"/>
      <c r="B369" s="7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>
      <c r="A370" s="8"/>
      <c r="B370" s="7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>
      <c r="A371" s="8"/>
      <c r="B371" s="7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>
      <c r="A372" s="8"/>
      <c r="B372" s="7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>
      <c r="A373" s="8"/>
      <c r="B373" s="7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>
      <c r="A374" s="8"/>
      <c r="B374" s="7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>
      <c r="A375" s="8"/>
      <c r="B375" s="7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>
      <c r="A376" s="8"/>
      <c r="B376" s="7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>
      <c r="A377" s="8"/>
      <c r="B377" s="7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>
      <c r="A378" s="8"/>
      <c r="B378" s="7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>
      <c r="A379" s="8"/>
      <c r="B379" s="7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>
      <c r="A380" s="8"/>
      <c r="B380" s="7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>
      <c r="A381" s="8"/>
      <c r="B381" s="7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>
      <c r="A382" s="8"/>
      <c r="B382" s="7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>
      <c r="A383" s="8"/>
      <c r="B383" s="7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>
      <c r="A384" s="8"/>
      <c r="B384" s="7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>
      <c r="A385" s="8"/>
      <c r="B385" s="7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>
      <c r="A386" s="8"/>
      <c r="B386" s="7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>
      <c r="A387" s="8"/>
      <c r="B387" s="7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>
      <c r="A388" s="8"/>
      <c r="B388" s="7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>
      <c r="A389" s="8"/>
      <c r="B389" s="7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>
      <c r="A390" s="8"/>
      <c r="B390" s="7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>
      <c r="A391" s="8"/>
      <c r="B391" s="7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>
      <c r="A392" s="8"/>
      <c r="B392" s="7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>
      <c r="A393" s="8"/>
      <c r="B393" s="7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>
      <c r="A394" s="8"/>
      <c r="B394" s="7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>
      <c r="A395" s="8"/>
      <c r="B395" s="7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>
      <c r="A396" s="8"/>
      <c r="B396" s="7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>
      <c r="A397" s="8"/>
      <c r="B397" s="7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>
      <c r="A398" s="8"/>
      <c r="B398" s="7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>
      <c r="A399" s="8"/>
      <c r="B399" s="7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>
      <c r="A400" s="8"/>
      <c r="B400" s="7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>
      <c r="A401" s="8"/>
      <c r="B401" s="7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>
      <c r="A402" s="8"/>
      <c r="B402" s="7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>
      <c r="A403" s="8"/>
      <c r="B403" s="7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>
      <c r="A404" s="8"/>
      <c r="B404" s="7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>
      <c r="A405" s="8"/>
      <c r="B405" s="7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>
      <c r="A406" s="8"/>
      <c r="B406" s="7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>
      <c r="A407" s="8"/>
      <c r="B407" s="7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>
      <c r="A408" s="8"/>
      <c r="B408" s="7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>
      <c r="A409" s="8"/>
      <c r="B409" s="7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>
      <c r="A410" s="8"/>
      <c r="B410" s="7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>
      <c r="A411" s="8"/>
      <c r="B411" s="7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>
      <c r="A412" s="8"/>
      <c r="B412" s="7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>
      <c r="A413" s="8"/>
      <c r="B413" s="7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>
      <c r="A414" s="8"/>
      <c r="B414" s="7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>
      <c r="A415" s="8"/>
      <c r="B415" s="7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>
      <c r="A416" s="8"/>
      <c r="B416" s="7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>
      <c r="A417" s="8"/>
      <c r="B417" s="7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>
      <c r="A418" s="8"/>
      <c r="B418" s="7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>
      <c r="A419" s="8"/>
      <c r="B419" s="7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>
      <c r="A420" s="8"/>
      <c r="B420" s="7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>
      <c r="A421" s="8"/>
      <c r="B421" s="7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>
      <c r="A422" s="8"/>
      <c r="B422" s="7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>
      <c r="A423" s="8"/>
      <c r="B423" s="7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>
      <c r="A424" s="8"/>
      <c r="B424" s="7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>
      <c r="A425" s="8"/>
      <c r="B425" s="7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>
      <c r="A426" s="8"/>
      <c r="B426" s="7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>
      <c r="A427" s="8"/>
      <c r="B427" s="7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>
      <c r="A428" s="8"/>
      <c r="B428" s="7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>
      <c r="A429" s="8"/>
      <c r="B429" s="7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>
      <c r="A430" s="8"/>
      <c r="B430" s="7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>
      <c r="A431" s="8"/>
      <c r="B431" s="7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>
      <c r="A432" s="8"/>
      <c r="B432" s="7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>
      <c r="A433" s="8"/>
      <c r="B433" s="7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>
      <c r="A434" s="8"/>
      <c r="B434" s="7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>
      <c r="A435" s="8"/>
      <c r="B435" s="7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>
      <c r="A436" s="8"/>
      <c r="B436" s="7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>
      <c r="A437" s="8"/>
      <c r="B437" s="7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>
      <c r="A438" s="8"/>
      <c r="B438" s="7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>
      <c r="A439" s="8"/>
      <c r="B439" s="7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>
      <c r="A440" s="8"/>
      <c r="B440" s="7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>
      <c r="A441" s="8"/>
      <c r="B441" s="7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>
      <c r="A442" s="8"/>
      <c r="B442" s="7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>
      <c r="A443" s="8"/>
      <c r="B443" s="7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>
      <c r="A444" s="8"/>
      <c r="B444" s="7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>
      <c r="A445" s="8"/>
      <c r="B445" s="7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>
      <c r="A446" s="8"/>
      <c r="B446" s="7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>
      <c r="A447" s="8"/>
      <c r="B447" s="7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>
      <c r="A448" s="8"/>
      <c r="B448" s="7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>
      <c r="A449" s="8"/>
      <c r="B449" s="7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>
      <c r="A450" s="8"/>
      <c r="B450" s="7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>
      <c r="A451" s="8"/>
      <c r="B451" s="7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>
      <c r="A452" s="8"/>
      <c r="B452" s="7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>
      <c r="A453" s="8"/>
      <c r="B453" s="7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>
      <c r="A454" s="8"/>
      <c r="B454" s="7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>
      <c r="A455" s="8"/>
      <c r="B455" s="7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>
      <c r="A456" s="8"/>
      <c r="B456" s="7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>
      <c r="A457" s="8"/>
      <c r="B457" s="7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>
      <c r="A458" s="8"/>
      <c r="B458" s="7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>
      <c r="A459" s="8"/>
      <c r="B459" s="7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>
      <c r="A460" s="8"/>
      <c r="B460" s="7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>
      <c r="A461" s="8"/>
      <c r="B461" s="7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>
      <c r="A462" s="8"/>
      <c r="B462" s="7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>
      <c r="A463" s="8"/>
      <c r="B463" s="7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>
      <c r="A464" s="8"/>
      <c r="B464" s="7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>
      <c r="A465" s="8"/>
      <c r="B465" s="7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>
      <c r="A466" s="8"/>
      <c r="B466" s="7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>
      <c r="A467" s="8"/>
      <c r="B467" s="7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>
      <c r="A468" s="8"/>
      <c r="B468" s="7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>
      <c r="A469" s="8"/>
      <c r="B469" s="7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>
      <c r="A470" s="8"/>
      <c r="B470" s="7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>
      <c r="A471" s="8"/>
      <c r="B471" s="7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>
      <c r="A472" s="8"/>
      <c r="B472" s="7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>
      <c r="A473" s="8"/>
      <c r="B473" s="7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>
      <c r="A474" s="8"/>
      <c r="B474" s="7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>
      <c r="A475" s="8"/>
      <c r="B475" s="7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>
      <c r="A476" s="8"/>
      <c r="B476" s="7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>
      <c r="A477" s="8"/>
      <c r="B477" s="7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>
      <c r="A478" s="8"/>
      <c r="B478" s="7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>
      <c r="A479" s="8"/>
      <c r="B479" s="7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>
      <c r="A480" s="8"/>
      <c r="B480" s="7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>
      <c r="A481" s="8"/>
      <c r="B481" s="7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>
      <c r="A482" s="8"/>
      <c r="B482" s="7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>
      <c r="A483" s="8"/>
      <c r="B483" s="7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>
      <c r="A484" s="8"/>
      <c r="B484" s="7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>
      <c r="A485" s="8"/>
      <c r="B485" s="7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>
      <c r="A486" s="8"/>
      <c r="B486" s="7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>
      <c r="A487" s="8"/>
      <c r="B487" s="7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>
      <c r="A488" s="8"/>
      <c r="B488" s="7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>
      <c r="A489" s="8"/>
      <c r="B489" s="7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>
      <c r="A490" s="8"/>
      <c r="B490" s="7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>
      <c r="A491" s="8"/>
      <c r="B491" s="7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>
      <c r="A492" s="8"/>
      <c r="B492" s="7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>
      <c r="A493" s="8"/>
      <c r="B493" s="7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>
      <c r="A494" s="8"/>
      <c r="B494" s="7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>
      <c r="A495" s="8"/>
      <c r="B495" s="7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>
      <c r="A496" s="8"/>
      <c r="B496" s="7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>
      <c r="A497" s="8"/>
      <c r="B497" s="7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>
      <c r="A498" s="8"/>
      <c r="B498" s="7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>
      <c r="A499" s="8"/>
      <c r="B499" s="7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>
      <c r="A500" s="8"/>
      <c r="B500" s="7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>
      <c r="A501" s="8"/>
      <c r="B501" s="7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>
      <c r="A502" s="8"/>
      <c r="B502" s="7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>
      <c r="A503" s="8"/>
      <c r="B503" s="7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>
      <c r="A504" s="8"/>
      <c r="B504" s="7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>
      <c r="A505" s="8"/>
      <c r="B505" s="7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>
      <c r="A506" s="8"/>
      <c r="B506" s="7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>
      <c r="A507" s="8"/>
      <c r="B507" s="7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>
      <c r="A508" s="8"/>
      <c r="B508" s="7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>
      <c r="A509" s="8"/>
      <c r="B509" s="7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>
      <c r="A510" s="8"/>
      <c r="B510" s="7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>
      <c r="A511" s="8"/>
      <c r="B511" s="7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>
      <c r="A512" s="8"/>
      <c r="B512" s="7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>
      <c r="A513" s="8"/>
      <c r="B513" s="7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>
      <c r="A514" s="8"/>
      <c r="B514" s="7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>
      <c r="A515" s="8"/>
      <c r="B515" s="7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>
      <c r="A516" s="8"/>
      <c r="B516" s="7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>
      <c r="A517" s="8"/>
      <c r="B517" s="7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>
      <c r="A518" s="8"/>
      <c r="B518" s="7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>
      <c r="A519" s="8"/>
      <c r="B519" s="7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>
      <c r="A520" s="8"/>
      <c r="B520" s="7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>
      <c r="A521" s="8"/>
      <c r="B521" s="7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>
      <c r="A522" s="8"/>
      <c r="B522" s="7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>
      <c r="A523" s="8"/>
      <c r="B523" s="7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>
      <c r="A524" s="8"/>
      <c r="B524" s="7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>
      <c r="A525" s="8"/>
      <c r="B525" s="7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>
      <c r="A526" s="8"/>
      <c r="B526" s="7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>
      <c r="A527" s="8"/>
      <c r="B527" s="7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>
      <c r="A528" s="8"/>
      <c r="B528" s="7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>
      <c r="A529" s="8"/>
      <c r="B529" s="7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>
      <c r="A530" s="8"/>
      <c r="B530" s="7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>
      <c r="A531" s="8"/>
      <c r="B531" s="7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>
      <c r="A532" s="8"/>
      <c r="B532" s="7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>
      <c r="A533" s="8"/>
      <c r="B533" s="7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>
      <c r="A534" s="8"/>
      <c r="B534" s="7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>
      <c r="A535" s="8"/>
      <c r="B535" s="7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>
      <c r="A536" s="8"/>
      <c r="B536" s="7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>
      <c r="A537" s="8"/>
      <c r="B537" s="7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>
      <c r="A538" s="8"/>
      <c r="B538" s="7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>
      <c r="A539" s="8"/>
      <c r="B539" s="7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>
      <c r="A540" s="8"/>
      <c r="B540" s="7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>
      <c r="A541" s="8"/>
      <c r="B541" s="7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>
      <c r="A542" s="8"/>
      <c r="B542" s="7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>
      <c r="A543" s="8"/>
      <c r="B543" s="7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>
      <c r="A544" s="8"/>
      <c r="B544" s="7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>
      <c r="A545" s="8"/>
      <c r="B545" s="7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>
      <c r="A546" s="8"/>
      <c r="B546" s="7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>
      <c r="A547" s="8"/>
      <c r="B547" s="7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>
      <c r="A548" s="8"/>
      <c r="B548" s="7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>
      <c r="A549" s="8"/>
      <c r="B549" s="7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>
      <c r="A550" s="8"/>
      <c r="B550" s="7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>
      <c r="A551" s="8"/>
      <c r="B551" s="7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>
      <c r="A552" s="8"/>
      <c r="B552" s="7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>
      <c r="A553" s="8"/>
      <c r="B553" s="7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>
      <c r="A554" s="8"/>
      <c r="B554" s="7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>
      <c r="A555" s="8"/>
      <c r="B555" s="7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>
      <c r="A556" s="8"/>
      <c r="B556" s="7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>
      <c r="A557" s="8"/>
      <c r="B557" s="7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>
      <c r="A558" s="8"/>
      <c r="B558" s="7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>
      <c r="A559" s="8"/>
      <c r="B559" s="7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>
      <c r="A560" s="8"/>
      <c r="B560" s="7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>
      <c r="A561" s="8"/>
      <c r="B561" s="7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>
      <c r="A562" s="8"/>
      <c r="B562" s="7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>
      <c r="A563" s="8"/>
      <c r="B563" s="7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>
      <c r="A564" s="8"/>
      <c r="B564" s="7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>
      <c r="A565" s="8"/>
      <c r="B565" s="7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>
      <c r="A566" s="8"/>
      <c r="B566" s="7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>
      <c r="A567" s="8"/>
      <c r="B567" s="7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>
      <c r="A568" s="8"/>
      <c r="B568" s="7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>
      <c r="A569" s="8"/>
      <c r="B569" s="7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>
      <c r="A570" s="8"/>
      <c r="B570" s="7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>
      <c r="A571" s="8"/>
      <c r="B571" s="7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>
      <c r="A572" s="8"/>
      <c r="B572" s="7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>
      <c r="A573" s="8"/>
      <c r="B573" s="7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>
      <c r="A574" s="8"/>
      <c r="B574" s="7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>
      <c r="A575" s="8"/>
      <c r="B575" s="7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>
      <c r="A576" s="8"/>
      <c r="B576" s="7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>
      <c r="A577" s="8"/>
      <c r="B577" s="7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>
      <c r="A578" s="8"/>
      <c r="B578" s="7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>
      <c r="A579" s="8"/>
      <c r="B579" s="7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>
      <c r="A580" s="8"/>
      <c r="B580" s="7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>
      <c r="A581" s="8"/>
      <c r="B581" s="7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>
      <c r="A582" s="8"/>
      <c r="B582" s="7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>
      <c r="A583" s="8"/>
      <c r="B583" s="7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>
      <c r="A584" s="8"/>
      <c r="B584" s="7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>
      <c r="A585" s="8"/>
      <c r="B585" s="7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>
      <c r="A586" s="8"/>
      <c r="B586" s="7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>
      <c r="A587" s="8"/>
      <c r="B587" s="7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>
      <c r="A588" s="8"/>
      <c r="B588" s="7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>
      <c r="A589" s="8"/>
      <c r="B589" s="7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>
      <c r="A590" s="8"/>
      <c r="B590" s="7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>
      <c r="A591" s="8"/>
      <c r="B591" s="7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>
      <c r="A592" s="8"/>
      <c r="B592" s="7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>
      <c r="A593" s="8"/>
      <c r="B593" s="7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>
      <c r="A594" s="8"/>
      <c r="B594" s="7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>
      <c r="A595" s="8"/>
      <c r="B595" s="7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>
      <c r="A596" s="8"/>
      <c r="B596" s="7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>
      <c r="A597" s="8"/>
      <c r="B597" s="7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>
      <c r="A598" s="8"/>
      <c r="B598" s="7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>
      <c r="A599" s="8"/>
      <c r="B599" s="7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>
      <c r="A600" s="8"/>
      <c r="B600" s="7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>
      <c r="A601" s="8"/>
      <c r="B601" s="7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>
      <c r="A602" s="8"/>
      <c r="B602" s="7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>
      <c r="A603" s="8"/>
      <c r="B603" s="7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>
      <c r="A604" s="8"/>
      <c r="B604" s="7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>
      <c r="A605" s="8"/>
      <c r="B605" s="7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>
      <c r="A606" s="8"/>
      <c r="B606" s="7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>
      <c r="A607" s="8"/>
      <c r="B607" s="7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>
      <c r="A608" s="8"/>
      <c r="B608" s="7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>
      <c r="A609" s="8"/>
      <c r="B609" s="7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>
      <c r="A610" s="8"/>
      <c r="B610" s="7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>
      <c r="A611" s="8"/>
      <c r="B611" s="7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>
      <c r="A612" s="8"/>
      <c r="B612" s="7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>
      <c r="A613" s="8"/>
      <c r="B613" s="7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>
      <c r="A614" s="8"/>
      <c r="B614" s="7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>
      <c r="A615" s="8"/>
      <c r="B615" s="7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>
      <c r="A616" s="8"/>
      <c r="B616" s="7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>
      <c r="A617" s="8"/>
      <c r="B617" s="7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>
      <c r="A618" s="8"/>
      <c r="B618" s="7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>
      <c r="A619" s="8"/>
      <c r="B619" s="7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>
      <c r="A620" s="8"/>
      <c r="B620" s="7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>
      <c r="A621" s="8"/>
      <c r="B621" s="7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>
      <c r="A622" s="8"/>
      <c r="B622" s="7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>
      <c r="A623" s="8"/>
      <c r="B623" s="7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>
      <c r="A624" s="8"/>
      <c r="B624" s="7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>
      <c r="A625" s="8"/>
      <c r="B625" s="7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>
      <c r="A626" s="8"/>
      <c r="B626" s="7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>
      <c r="A627" s="8"/>
      <c r="B627" s="7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>
      <c r="A628" s="8"/>
      <c r="B628" s="7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>
      <c r="A629" s="8"/>
      <c r="B629" s="7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>
      <c r="A630" s="8"/>
      <c r="B630" s="7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>
      <c r="A631" s="8"/>
      <c r="B631" s="7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>
      <c r="A632" s="8"/>
      <c r="B632" s="7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>
      <c r="A633" s="8"/>
      <c r="B633" s="7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>
      <c r="A634" s="8"/>
      <c r="B634" s="7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>
      <c r="A635" s="8"/>
      <c r="B635" s="7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>
      <c r="A636" s="8"/>
      <c r="B636" s="7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>
      <c r="A637" s="8"/>
      <c r="B637" s="7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>
      <c r="A638" s="8"/>
      <c r="B638" s="7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>
      <c r="A639" s="8"/>
      <c r="B639" s="7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>
      <c r="A640" s="8"/>
      <c r="B640" s="7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>
      <c r="A641" s="8"/>
      <c r="B641" s="7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>
      <c r="A642" s="8"/>
      <c r="B642" s="7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>
      <c r="A643" s="8"/>
      <c r="B643" s="7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>
      <c r="A644" s="8"/>
      <c r="B644" s="7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>
      <c r="A645" s="8"/>
      <c r="B645" s="7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>
      <c r="A646" s="8"/>
      <c r="B646" s="7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>
      <c r="A647" s="8"/>
      <c r="B647" s="7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>
      <c r="A648" s="8"/>
      <c r="B648" s="7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>
      <c r="A649" s="8"/>
      <c r="B649" s="7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>
      <c r="A650" s="8"/>
      <c r="B650" s="7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>
      <c r="A651" s="8"/>
      <c r="B651" s="7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>
      <c r="A652" s="8"/>
      <c r="B652" s="7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>
      <c r="A653" s="8"/>
      <c r="B653" s="7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>
      <c r="A654" s="8"/>
      <c r="B654" s="7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>
      <c r="A655" s="8"/>
      <c r="B655" s="7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>
      <c r="A656" s="8"/>
      <c r="B656" s="7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>
      <c r="A657" s="8"/>
      <c r="B657" s="7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>
      <c r="A658" s="8"/>
      <c r="B658" s="7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>
      <c r="A659" s="8"/>
      <c r="B659" s="7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>
      <c r="A660" s="8"/>
      <c r="B660" s="7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>
      <c r="A661" s="8"/>
      <c r="B661" s="7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>
      <c r="A662" s="8"/>
      <c r="B662" s="7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>
      <c r="A663" s="8"/>
      <c r="B663" s="7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>
      <c r="A664" s="8"/>
      <c r="B664" s="7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>
      <c r="A665" s="8"/>
      <c r="B665" s="7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>
      <c r="A666" s="8"/>
      <c r="B666" s="7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>
      <c r="A667" s="8"/>
      <c r="B667" s="7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>
      <c r="A668" s="8"/>
      <c r="B668" s="7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>
      <c r="A669" s="8"/>
      <c r="B669" s="7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>
      <c r="A670" s="8"/>
      <c r="B670" s="7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>
      <c r="A671" s="8"/>
      <c r="B671" s="7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>
      <c r="A672" s="8"/>
      <c r="B672" s="7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>
      <c r="A673" s="8"/>
      <c r="B673" s="7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>
      <c r="A674" s="8"/>
      <c r="B674" s="7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>
      <c r="A675" s="8"/>
      <c r="B675" s="7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>
      <c r="A676" s="8"/>
      <c r="B676" s="7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>
      <c r="A677" s="8"/>
      <c r="B677" s="7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>
      <c r="A678" s="8"/>
      <c r="B678" s="7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>
      <c r="A679" s="8"/>
      <c r="B679" s="7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>
      <c r="A680" s="8"/>
      <c r="B680" s="7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>
      <c r="A681" s="8"/>
      <c r="B681" s="7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>
      <c r="A682" s="8"/>
      <c r="B682" s="7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>
      <c r="A683" s="8"/>
      <c r="B683" s="7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>
      <c r="A684" s="8"/>
      <c r="B684" s="7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>
      <c r="A685" s="8"/>
      <c r="B685" s="7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>
      <c r="A686" s="8"/>
      <c r="B686" s="7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>
      <c r="A687" s="8"/>
      <c r="B687" s="7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>
      <c r="A688" s="8"/>
      <c r="B688" s="7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>
      <c r="A689" s="8"/>
      <c r="B689" s="7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>
      <c r="A690" s="8"/>
      <c r="B690" s="7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>
      <c r="A691" s="8"/>
      <c r="B691" s="7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>
      <c r="A692" s="8"/>
      <c r="B692" s="7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>
      <c r="A693" s="8"/>
      <c r="B693" s="7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>
      <c r="A694" s="8"/>
      <c r="B694" s="7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>
      <c r="A695" s="8"/>
      <c r="B695" s="7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>
      <c r="A696" s="8"/>
      <c r="B696" s="7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>
      <c r="A697" s="8"/>
      <c r="B697" s="7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>
      <c r="A698" s="8"/>
      <c r="B698" s="7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>
      <c r="A699" s="8"/>
      <c r="B699" s="7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>
      <c r="A700" s="8"/>
      <c r="B700" s="7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>
      <c r="A701" s="8"/>
      <c r="B701" s="7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>
      <c r="A702" s="8"/>
      <c r="B702" s="7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>
      <c r="A703" s="8"/>
      <c r="B703" s="7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>
      <c r="A704" s="8"/>
      <c r="B704" s="7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>
      <c r="A705" s="8"/>
      <c r="B705" s="7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>
      <c r="A706" s="8"/>
      <c r="B706" s="7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>
      <c r="A707" s="8"/>
      <c r="B707" s="7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>
      <c r="A708" s="8"/>
      <c r="B708" s="7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>
      <c r="A709" s="8"/>
      <c r="B709" s="7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>
      <c r="A710" s="8"/>
      <c r="B710" s="7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>
      <c r="A711" s="8"/>
      <c r="B711" s="7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>
      <c r="A712" s="8"/>
      <c r="B712" s="7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>
      <c r="A713" s="8"/>
      <c r="B713" s="7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>
      <c r="A714" s="8"/>
      <c r="B714" s="7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>
      <c r="A715" s="8"/>
      <c r="B715" s="7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>
      <c r="A716" s="8"/>
      <c r="B716" s="7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>
      <c r="A717" s="8"/>
      <c r="B717" s="7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>
      <c r="A718" s="8"/>
      <c r="B718" s="7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>
      <c r="A719" s="8"/>
      <c r="B719" s="7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>
      <c r="A720" s="8"/>
      <c r="B720" s="7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>
      <c r="A721" s="8"/>
      <c r="B721" s="7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>
      <c r="A722" s="8"/>
      <c r="B722" s="7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>
      <c r="A723" s="8"/>
      <c r="B723" s="7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>
      <c r="A724" s="8"/>
      <c r="B724" s="7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>
      <c r="A725" s="8"/>
      <c r="B725" s="7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>
      <c r="A726" s="8"/>
      <c r="B726" s="7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>
      <c r="A727" s="8"/>
      <c r="B727" s="7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>
      <c r="A728" s="8"/>
      <c r="B728" s="7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>
      <c r="A729" s="8"/>
      <c r="B729" s="7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>
      <c r="A730" s="8"/>
      <c r="B730" s="7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>
      <c r="A731" s="8"/>
      <c r="B731" s="7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>
      <c r="A732" s="8"/>
      <c r="B732" s="7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>
      <c r="A733" s="8"/>
      <c r="B733" s="7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>
      <c r="A734" s="8"/>
      <c r="B734" s="7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>
      <c r="A735" s="8"/>
      <c r="B735" s="7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>
      <c r="A736" s="8"/>
      <c r="B736" s="7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>
      <c r="A737" s="8"/>
      <c r="B737" s="7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>
      <c r="A738" s="8"/>
      <c r="B738" s="7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>
      <c r="A739" s="8"/>
      <c r="B739" s="7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>
      <c r="A740" s="8"/>
      <c r="B740" s="7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>
      <c r="A741" s="8"/>
      <c r="B741" s="7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>
      <c r="A742" s="8"/>
      <c r="B742" s="7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>
      <c r="A743" s="8"/>
      <c r="B743" s="7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>
      <c r="A744" s="8"/>
      <c r="B744" s="7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>
      <c r="A745" s="8"/>
      <c r="B745" s="7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>
      <c r="A746" s="8"/>
      <c r="B746" s="7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>
      <c r="A747" s="8"/>
      <c r="B747" s="7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>
      <c r="A748" s="8"/>
      <c r="B748" s="7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>
      <c r="A749" s="8"/>
      <c r="B749" s="7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>
      <c r="A750" s="8"/>
      <c r="B750" s="7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>
      <c r="A751" s="8"/>
      <c r="B751" s="7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>
      <c r="A752" s="8"/>
      <c r="B752" s="7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>
      <c r="A753" s="8"/>
      <c r="B753" s="7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>
      <c r="A754" s="8"/>
      <c r="B754" s="7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>
      <c r="A755" s="8"/>
      <c r="B755" s="7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>
      <c r="A756" s="8"/>
      <c r="B756" s="7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>
      <c r="A757" s="8"/>
      <c r="B757" s="7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>
      <c r="A758" s="8"/>
      <c r="B758" s="7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>
      <c r="A759" s="8"/>
      <c r="B759" s="7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>
      <c r="A760" s="8"/>
      <c r="B760" s="7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>
      <c r="A761" s="8"/>
      <c r="B761" s="7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>
      <c r="A762" s="8"/>
      <c r="B762" s="7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>
      <c r="A763" s="8"/>
      <c r="B763" s="7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>
      <c r="A764" s="8"/>
      <c r="B764" s="7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>
      <c r="A765" s="8"/>
      <c r="B765" s="7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>
      <c r="A766" s="8"/>
      <c r="B766" s="7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>
      <c r="A767" s="8"/>
      <c r="B767" s="7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>
      <c r="A768" s="8"/>
      <c r="B768" s="7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>
      <c r="A769" s="8"/>
      <c r="B769" s="7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>
      <c r="A770" s="8"/>
      <c r="B770" s="7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>
      <c r="A771" s="8"/>
      <c r="B771" s="7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>
      <c r="A772" s="8"/>
      <c r="B772" s="7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>
      <c r="A773" s="8"/>
      <c r="B773" s="7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>
      <c r="A774" s="8"/>
      <c r="B774" s="7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>
      <c r="A775" s="8"/>
      <c r="B775" s="7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>
      <c r="A776" s="8"/>
      <c r="B776" s="7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>
      <c r="A777" s="8"/>
      <c r="B777" s="7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>
      <c r="A778" s="8"/>
      <c r="B778" s="7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>
      <c r="A779" s="8"/>
      <c r="B779" s="7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>
      <c r="A780" s="8"/>
      <c r="B780" s="7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>
      <c r="A781" s="8"/>
      <c r="B781" s="7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>
      <c r="A782" s="8"/>
      <c r="B782" s="7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>
      <c r="A783" s="8"/>
      <c r="B783" s="7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>
      <c r="A784" s="8"/>
      <c r="B784" s="7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>
      <c r="A785" s="8"/>
      <c r="B785" s="7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>
      <c r="A786" s="8"/>
      <c r="B786" s="7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>
      <c r="A787" s="8"/>
      <c r="B787" s="7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>
      <c r="A788" s="8"/>
      <c r="B788" s="7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>
      <c r="A789" s="8"/>
      <c r="B789" s="7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>
      <c r="A790" s="8"/>
      <c r="B790" s="7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>
      <c r="A791" s="8"/>
      <c r="B791" s="7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>
      <c r="A792" s="8"/>
      <c r="B792" s="7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>
      <c r="A793" s="8"/>
      <c r="B793" s="7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>
      <c r="A794" s="8"/>
      <c r="B794" s="7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>
      <c r="A795" s="8"/>
      <c r="B795" s="7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>
      <c r="A796" s="8"/>
      <c r="B796" s="7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>
      <c r="A797" s="8"/>
      <c r="B797" s="7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>
      <c r="A798" s="8"/>
      <c r="B798" s="7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>
      <c r="A799" s="8"/>
      <c r="B799" s="7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>
      <c r="A800" s="8"/>
      <c r="B800" s="7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>
      <c r="A801" s="8"/>
      <c r="B801" s="7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>
      <c r="A802" s="8"/>
      <c r="B802" s="7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>
      <c r="A803" s="8"/>
      <c r="B803" s="7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>
      <c r="A804" s="8"/>
      <c r="B804" s="7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>
      <c r="A805" s="8"/>
      <c r="B805" s="7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>
      <c r="A806" s="8"/>
      <c r="B806" s="7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>
      <c r="A807" s="8"/>
      <c r="B807" s="7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>
      <c r="A808" s="8"/>
      <c r="B808" s="7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>
      <c r="A809" s="8"/>
      <c r="B809" s="7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>
      <c r="A810" s="8"/>
      <c r="B810" s="7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>
      <c r="A811" s="8"/>
      <c r="B811" s="7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>
      <c r="A812" s="8"/>
      <c r="B812" s="7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>
      <c r="A813" s="8"/>
      <c r="B813" s="7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>
      <c r="A814" s="8"/>
      <c r="B814" s="7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>
      <c r="A815" s="8"/>
      <c r="B815" s="7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>
      <c r="A816" s="8"/>
      <c r="B816" s="7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>
      <c r="A817" s="8"/>
      <c r="B817" s="7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>
      <c r="A818" s="8"/>
      <c r="B818" s="7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>
      <c r="A819" s="8"/>
      <c r="B819" s="7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>
      <c r="A820" s="8"/>
      <c r="B820" s="7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>
      <c r="A821" s="8"/>
      <c r="B821" s="7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>
      <c r="A822" s="8"/>
      <c r="B822" s="7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>
      <c r="A823" s="8"/>
      <c r="B823" s="7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>
      <c r="A824" s="8"/>
      <c r="B824" s="7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>
      <c r="A825" s="8"/>
      <c r="B825" s="7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>
      <c r="A826" s="8"/>
      <c r="B826" s="7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>
      <c r="A827" s="8"/>
      <c r="B827" s="7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>
      <c r="A828" s="8"/>
      <c r="B828" s="7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>
      <c r="A829" s="8"/>
      <c r="B829" s="7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>
      <c r="A830" s="8"/>
      <c r="B830" s="7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>
      <c r="A831" s="8"/>
      <c r="B831" s="7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>
      <c r="A832" s="8"/>
      <c r="B832" s="7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>
      <c r="A833" s="8"/>
      <c r="B833" s="7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>
      <c r="A834" s="8"/>
      <c r="B834" s="7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>
      <c r="A835" s="8"/>
      <c r="B835" s="7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>
      <c r="A836" s="8"/>
      <c r="B836" s="7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>
      <c r="A837" s="8"/>
      <c r="B837" s="7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>
      <c r="A838" s="8"/>
      <c r="B838" s="7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>
      <c r="A839" s="8"/>
      <c r="B839" s="7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>
      <c r="A840" s="8"/>
      <c r="B840" s="7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>
      <c r="A841" s="8"/>
      <c r="B841" s="7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>
      <c r="A842" s="8"/>
      <c r="B842" s="7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>
      <c r="A843" s="8"/>
      <c r="B843" s="7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>
      <c r="A844" s="8"/>
      <c r="B844" s="7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>
      <c r="A845" s="8"/>
      <c r="B845" s="7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>
      <c r="A846" s="8"/>
      <c r="B846" s="7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>
      <c r="A847" s="8"/>
      <c r="B847" s="7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>
      <c r="A848" s="8"/>
      <c r="B848" s="7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>
      <c r="A849" s="8"/>
      <c r="B849" s="7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>
      <c r="A850" s="8"/>
      <c r="B850" s="7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>
      <c r="A851" s="8"/>
      <c r="B851" s="7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>
      <c r="A852" s="8"/>
      <c r="B852" s="7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>
      <c r="A853" s="8"/>
      <c r="B853" s="7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>
      <c r="A854" s="8"/>
      <c r="B854" s="7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>
      <c r="A855" s="8"/>
      <c r="B855" s="7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>
      <c r="A856" s="8"/>
      <c r="B856" s="7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>
      <c r="A857" s="8"/>
      <c r="B857" s="7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>
      <c r="A858" s="8"/>
      <c r="B858" s="7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>
      <c r="A859" s="8"/>
      <c r="B859" s="7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>
      <c r="A860" s="8"/>
      <c r="B860" s="7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>
      <c r="A861" s="8"/>
      <c r="B861" s="7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>
      <c r="A862" s="8"/>
      <c r="B862" s="7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>
      <c r="A863" s="8"/>
      <c r="B863" s="7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>
      <c r="A864" s="8"/>
      <c r="B864" s="7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>
      <c r="A865" s="8"/>
      <c r="B865" s="7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>
      <c r="A866" s="8"/>
      <c r="B866" s="7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>
      <c r="A867" s="8"/>
      <c r="B867" s="7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>
      <c r="A868" s="8"/>
      <c r="B868" s="7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>
      <c r="A869" s="8"/>
      <c r="B869" s="7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>
      <c r="A870" s="8"/>
      <c r="B870" s="7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>
      <c r="A871" s="8"/>
      <c r="B871" s="7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>
      <c r="A872" s="8"/>
      <c r="B872" s="7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>
      <c r="A873" s="8"/>
      <c r="B873" s="7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>
      <c r="A874" s="8"/>
      <c r="B874" s="7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>
      <c r="A875" s="8"/>
      <c r="B875" s="7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>
      <c r="A876" s="8"/>
      <c r="B876" s="7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>
      <c r="A877" s="8"/>
      <c r="B877" s="7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>
      <c r="A878" s="8"/>
      <c r="B878" s="7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>
      <c r="A879" s="8"/>
      <c r="B879" s="7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>
      <c r="A880" s="8"/>
      <c r="B880" s="7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>
      <c r="A881" s="8"/>
      <c r="B881" s="7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>
      <c r="A882" s="8"/>
      <c r="B882" s="7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>
      <c r="A883" s="8"/>
      <c r="B883" s="7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>
      <c r="A884" s="8"/>
      <c r="B884" s="7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>
      <c r="A885" s="8"/>
      <c r="B885" s="7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>
      <c r="A886" s="8"/>
      <c r="B886" s="7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>
      <c r="A887" s="8"/>
      <c r="B887" s="7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>
      <c r="A888" s="8"/>
      <c r="B888" s="7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>
      <c r="A889" s="8"/>
      <c r="B889" s="7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>
      <c r="A890" s="8"/>
      <c r="B890" s="7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>
      <c r="A891" s="8"/>
      <c r="B891" s="7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>
      <c r="A892" s="8"/>
      <c r="B892" s="7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>
      <c r="A893" s="8"/>
      <c r="B893" s="7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>
      <c r="A894" s="8"/>
      <c r="B894" s="7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>
      <c r="A895" s="8"/>
      <c r="B895" s="7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>
      <c r="A896" s="8"/>
      <c r="B896" s="7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>
      <c r="A897" s="8"/>
      <c r="B897" s="7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>
      <c r="A898" s="8"/>
      <c r="B898" s="7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>
      <c r="A899" s="8"/>
      <c r="B899" s="7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>
      <c r="A900" s="8"/>
      <c r="B900" s="7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>
      <c r="A901" s="8"/>
      <c r="B901" s="7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>
      <c r="A902" s="8"/>
      <c r="B902" s="7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>
      <c r="A903" s="8"/>
      <c r="B903" s="7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>
      <c r="A904" s="8"/>
      <c r="B904" s="7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>
      <c r="A905" s="8"/>
      <c r="B905" s="7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>
      <c r="A906" s="8"/>
      <c r="B906" s="7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>
      <c r="A907" s="8"/>
      <c r="B907" s="7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>
      <c r="A908" s="8"/>
      <c r="B908" s="7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>
      <c r="A909" s="8"/>
      <c r="B909" s="7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>
      <c r="A910" s="8"/>
      <c r="B910" s="7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>
      <c r="A911" s="8"/>
      <c r="B911" s="7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>
      <c r="A912" s="8"/>
      <c r="B912" s="7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>
      <c r="A913" s="8"/>
      <c r="B913" s="7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>
      <c r="A914" s="8"/>
      <c r="B914" s="7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>
      <c r="A915" s="8"/>
      <c r="B915" s="7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>
      <c r="A916" s="8"/>
      <c r="B916" s="7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>
      <c r="A917" s="8"/>
      <c r="B917" s="7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>
      <c r="A918" s="8"/>
      <c r="B918" s="7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>
      <c r="A919" s="8"/>
      <c r="B919" s="7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>
      <c r="A920" s="8"/>
      <c r="B920" s="7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>
      <c r="A921" s="8"/>
      <c r="B921" s="7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>
      <c r="A922" s="8"/>
      <c r="B922" s="7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>
      <c r="A923" s="8"/>
      <c r="B923" s="7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>
      <c r="A924" s="8"/>
      <c r="B924" s="7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>
      <c r="A925" s="8"/>
      <c r="B925" s="7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>
      <c r="A926" s="8"/>
      <c r="B926" s="7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>
      <c r="A927" s="8"/>
      <c r="B927" s="7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>
      <c r="A928" s="8"/>
      <c r="B928" s="7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>
      <c r="A929" s="8"/>
      <c r="B929" s="7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>
      <c r="A930" s="8"/>
      <c r="B930" s="7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>
      <c r="A931" s="8"/>
      <c r="B931" s="7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>
      <c r="A932" s="8"/>
      <c r="B932" s="7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>
      <c r="A933" s="8"/>
      <c r="B933" s="7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>
      <c r="A934" s="8"/>
      <c r="B934" s="7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>
      <c r="A935" s="8"/>
      <c r="B935" s="7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>
      <c r="A936" s="8"/>
      <c r="B936" s="7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>
      <c r="A937" s="8"/>
      <c r="B937" s="7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>
      <c r="A938" s="8"/>
      <c r="B938" s="7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>
      <c r="A939" s="8"/>
      <c r="B939" s="7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>
      <c r="A940" s="8"/>
      <c r="B940" s="7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>
      <c r="A941" s="8"/>
      <c r="B941" s="7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>
      <c r="A942" s="8"/>
      <c r="B942" s="7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>
      <c r="A943" s="8"/>
      <c r="B943" s="7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>
      <c r="A944" s="8"/>
      <c r="B944" s="7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>
      <c r="A945" s="8"/>
      <c r="B945" s="7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>
      <c r="A946" s="8"/>
      <c r="B946" s="7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>
      <c r="A947" s="8"/>
      <c r="B947" s="7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>
      <c r="A948" s="8"/>
      <c r="B948" s="7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>
      <c r="A949" s="8"/>
      <c r="B949" s="7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>
      <c r="A950" s="8"/>
      <c r="B950" s="7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>
      <c r="A951" s="8"/>
      <c r="B951" s="7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>
      <c r="A952" s="8"/>
      <c r="B952" s="7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>
      <c r="A953" s="8"/>
      <c r="B953" s="7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>
      <c r="A954" s="8"/>
      <c r="B954" s="7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>
      <c r="A955" s="8"/>
      <c r="B955" s="7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>
      <c r="A956" s="8"/>
      <c r="B956" s="7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>
      <c r="A957" s="8"/>
      <c r="B957" s="7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>
      <c r="A958" s="8"/>
      <c r="B958" s="7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>
      <c r="A959" s="8"/>
      <c r="B959" s="7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>
      <c r="A960" s="8"/>
      <c r="B960" s="7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>
      <c r="A961" s="8"/>
      <c r="B961" s="7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>
      <c r="A962" s="8"/>
      <c r="B962" s="7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>
      <c r="A963" s="8"/>
      <c r="B963" s="7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>
      <c r="A964" s="8"/>
      <c r="B964" s="7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>
      <c r="A965" s="8"/>
      <c r="B965" s="7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>
      <c r="A966" s="8"/>
      <c r="B966" s="7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>
      <c r="A967" s="8"/>
      <c r="B967" s="7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>
      <c r="A968" s="8"/>
      <c r="B968" s="7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>
      <c r="A969" s="8"/>
      <c r="B969" s="7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>
      <c r="A970" s="8"/>
      <c r="B970" s="7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>
      <c r="A971" s="8"/>
      <c r="B971" s="7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>
      <c r="A972" s="8"/>
      <c r="B972" s="7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>
      <c r="A973" s="8"/>
      <c r="B973" s="7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>
      <c r="A974" s="8"/>
      <c r="B974" s="7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>
      <c r="A975" s="8"/>
      <c r="B975" s="7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>
      <c r="A976" s="8"/>
      <c r="B976" s="7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>
      <c r="A977" s="8"/>
      <c r="B977" s="7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>
      <c r="A978" s="8"/>
      <c r="B978" s="7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>
      <c r="A979" s="8"/>
      <c r="B979" s="7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>
      <c r="A980" s="8"/>
      <c r="B980" s="7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>
      <c r="A981" s="8"/>
      <c r="B981" s="7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>
      <c r="A982" s="8"/>
      <c r="B982" s="7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>
      <c r="A983" s="8"/>
      <c r="B983" s="7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>
      <c r="A984" s="8"/>
      <c r="B984" s="7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>
      <c r="A985" s="8"/>
      <c r="B985" s="7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>
      <c r="A986" s="8"/>
      <c r="B986" s="7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>
      <c r="A987" s="8"/>
      <c r="B987" s="7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>
      <c r="A988" s="8"/>
      <c r="B988" s="7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>
      <c r="A989" s="8"/>
      <c r="B989" s="7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>
      <c r="A990" s="8"/>
      <c r="B990" s="7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>
      <c r="A991" s="8"/>
      <c r="B991" s="7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>
      <c r="A992" s="8"/>
      <c r="B992" s="7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>
      <c r="A993" s="8"/>
      <c r="B993" s="7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>
      <c r="A994" s="8"/>
      <c r="B994" s="7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>
      <c r="A995" s="8"/>
      <c r="B995" s="7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>
      <c r="A996" s="8"/>
      <c r="B996" s="7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>
      <c r="A997" s="8"/>
      <c r="B997" s="7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>
      <c r="A998" s="8"/>
      <c r="B998" s="7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>
      <c r="A999" s="8"/>
      <c r="B999" s="7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>
      <c r="A1000" s="8"/>
      <c r="B1000" s="7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conditionalFormatting sqref="A1:A48 C1:AG48 A50:A193 C50:C193 D50:D192 E50:AG193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0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75"/>
    <col customWidth="1" min="2" max="2" width="17.63"/>
    <col customWidth="1" min="3" max="3" width="15.13"/>
    <col customWidth="1" min="4" max="4" width="9.75"/>
    <col customWidth="1" min="5" max="5" width="17.38"/>
    <col customWidth="1" min="6" max="6" width="26.5"/>
    <col customWidth="1" min="10" max="10" width="4.75"/>
    <col customWidth="1" min="11" max="11" width="21.75"/>
    <col customWidth="1" min="12" max="14" width="15.13"/>
    <col customWidth="1" min="20" max="20" width="4.75"/>
    <col customWidth="1" min="21" max="21" width="17.63"/>
    <col customWidth="1" min="22" max="22" width="21.38"/>
  </cols>
  <sheetData>
    <row r="1">
      <c r="A1" s="11" t="str">
        <f>IFERROR(__xludf.DUMMYFUNCTION("QUERY('Copy of South_Asian_dataset.csv'!A1:AG193, ""SELECT A, AVG(K) GROUP BY A LABEL AVG(K) 'TOTAL POPULATION'"")"),"Country")</f>
        <v>Country</v>
      </c>
      <c r="B1" s="11" t="str">
        <f>IFERROR(__xludf.DUMMYFUNCTION("""COMPUTED_VALUE"""),"TOTAL POPULATION")</f>
        <v>TOTAL POPULATION</v>
      </c>
      <c r="C1" s="11"/>
      <c r="D1" s="11"/>
      <c r="E1" s="11"/>
      <c r="F1" s="11"/>
      <c r="G1" s="11"/>
      <c r="H1" s="11"/>
      <c r="I1" s="12"/>
      <c r="J1" s="13" t="str">
        <f>IFERROR(__xludf.DUMMYFUNCTION("QUERY('Copy of South_Asian_dataset.csv'!A1:AG193, ""SELECT B, SUM(L) GROUP BY B LABEL SUM(L)'POPULATION GROWTH %'"")"),"Year")</f>
        <v>Year</v>
      </c>
      <c r="K1" s="13" t="str">
        <f>IFERROR(__xludf.DUMMYFUNCTION("""COMPUTED_VALUE"""),"POPULATION GROWTH %")</f>
        <v>POPULATION GROWTH %</v>
      </c>
      <c r="L1" s="14"/>
      <c r="M1" s="14"/>
      <c r="N1" s="15"/>
      <c r="O1" s="15"/>
      <c r="P1" s="14"/>
      <c r="Q1" s="14"/>
      <c r="R1" s="14"/>
      <c r="S1" s="16"/>
      <c r="T1" s="11" t="str">
        <f>IFERROR(__xludf.DUMMYFUNCTION("QUERY('Copy of South_Asian_dataset.csv'!A1:AG193, ""SELECT B, SUM(K) GROUP BY B LABEL SUM(K) 'TOTAL POPULATION'"")"),"Year")</f>
        <v>Year</v>
      </c>
      <c r="U1" s="11" t="str">
        <f>IFERROR(__xludf.DUMMYFUNCTION("""COMPUTED_VALUE"""),"TOTAL POPULATION")</f>
        <v>TOTAL POPULATION</v>
      </c>
      <c r="V1" s="11"/>
      <c r="W1" s="17"/>
      <c r="X1" s="15"/>
      <c r="Y1" s="15"/>
      <c r="Z1" s="18"/>
      <c r="AA1" s="18"/>
      <c r="AB1" s="14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</row>
    <row r="2">
      <c r="A2" s="19" t="str">
        <f>IFERROR(__xludf.DUMMYFUNCTION("""COMPUTED_VALUE"""),"Afghanistan")</f>
        <v>Afghanistan</v>
      </c>
      <c r="B2" s="20">
        <f>IFERROR(__xludf.DUMMYFUNCTION("""COMPUTED_VALUE"""),3.0378872666666668E7)</f>
        <v>30378872.67</v>
      </c>
      <c r="C2" s="19"/>
      <c r="D2" s="19"/>
      <c r="E2" s="19"/>
      <c r="F2" s="19"/>
      <c r="G2" s="19"/>
      <c r="H2" s="19"/>
      <c r="I2" s="21"/>
      <c r="J2" s="22">
        <f>IFERROR(__xludf.DUMMYFUNCTION("""COMPUTED_VALUE"""),2000.0)</f>
        <v>2000</v>
      </c>
      <c r="K2" s="22">
        <f>IFERROR(__xludf.DUMMYFUNCTION("""COMPUTED_VALUE"""),14.9)</f>
        <v>14.9</v>
      </c>
      <c r="L2" s="22"/>
      <c r="M2" s="22"/>
      <c r="N2" s="22"/>
      <c r="O2" s="22"/>
      <c r="P2" s="22"/>
      <c r="Q2" s="22"/>
      <c r="R2" s="22"/>
      <c r="S2" s="21"/>
      <c r="T2" s="23">
        <f>IFERROR(__xludf.DUMMYFUNCTION("""COMPUTED_VALUE"""),2000.0)</f>
        <v>2000</v>
      </c>
      <c r="U2" s="23">
        <f>IFERROR(__xludf.DUMMYFUNCTION("""COMPUTED_VALUE"""),1.406945493E9)</f>
        <v>1406945493</v>
      </c>
      <c r="V2" s="23"/>
      <c r="W2" s="22"/>
      <c r="X2" s="22"/>
      <c r="Y2" s="22"/>
      <c r="AB2" s="22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</row>
    <row r="3">
      <c r="A3" s="19" t="str">
        <f>IFERROR(__xludf.DUMMYFUNCTION("""COMPUTED_VALUE"""),"Bangladesh")</f>
        <v>Bangladesh</v>
      </c>
      <c r="B3" s="20">
        <f>IFERROR(__xludf.DUMMYFUNCTION("""COMPUTED_VALUE"""),1.51679703625E8)</f>
        <v>151679703.6</v>
      </c>
      <c r="C3" s="20"/>
      <c r="D3" s="20"/>
      <c r="E3" s="20"/>
      <c r="F3" s="20"/>
      <c r="G3" s="20"/>
      <c r="H3" s="20"/>
      <c r="I3" s="21"/>
      <c r="J3" s="22">
        <f>IFERROR(__xludf.DUMMYFUNCTION("""COMPUTED_VALUE"""),2001.0)</f>
        <v>2001</v>
      </c>
      <c r="K3" s="22">
        <f>IFERROR(__xludf.DUMMYFUNCTION("""COMPUTED_VALUE"""),14.28)</f>
        <v>14.28</v>
      </c>
      <c r="L3" s="22"/>
      <c r="M3" s="22"/>
      <c r="N3" s="22"/>
      <c r="O3" s="22"/>
      <c r="P3" s="22"/>
      <c r="Q3" s="22"/>
      <c r="R3" s="22"/>
      <c r="S3" s="21"/>
      <c r="T3" s="23">
        <f>IFERROR(__xludf.DUMMYFUNCTION("""COMPUTED_VALUE"""),2001.0)</f>
        <v>2001</v>
      </c>
      <c r="U3" s="23">
        <f>IFERROR(__xludf.DUMMYFUNCTION("""COMPUTED_VALUE"""),1.434314654E9)</f>
        <v>1434314654</v>
      </c>
      <c r="V3" s="23"/>
      <c r="W3" s="22"/>
      <c r="X3" s="22"/>
      <c r="Y3" s="22"/>
      <c r="AB3" s="22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>
      <c r="A4" s="19" t="str">
        <f>IFERROR(__xludf.DUMMYFUNCTION("""COMPUTED_VALUE"""),"Bhutan")</f>
        <v>Bhutan</v>
      </c>
      <c r="B4" s="20">
        <f>IFERROR(__xludf.DUMMYFUNCTION("""COMPUTED_VALUE"""),708480.7916666666)</f>
        <v>708480.7917</v>
      </c>
      <c r="C4" s="20"/>
      <c r="D4" s="20"/>
      <c r="E4" s="20"/>
      <c r="F4" s="20"/>
      <c r="G4" s="20"/>
      <c r="H4" s="20"/>
      <c r="I4" s="21"/>
      <c r="J4" s="22">
        <f>IFERROR(__xludf.DUMMYFUNCTION("""COMPUTED_VALUE"""),2002.0)</f>
        <v>2002</v>
      </c>
      <c r="K4" s="22">
        <f>IFERROR(__xludf.DUMMYFUNCTION("""COMPUTED_VALUE"""),19.4)</f>
        <v>19.4</v>
      </c>
      <c r="L4" s="22"/>
      <c r="M4" s="22"/>
      <c r="N4" s="22"/>
      <c r="O4" s="22"/>
      <c r="P4" s="22"/>
      <c r="Q4" s="22"/>
      <c r="R4" s="22"/>
      <c r="S4" s="21"/>
      <c r="T4" s="23">
        <f>IFERROR(__xludf.DUMMYFUNCTION("""COMPUTED_VALUE"""),2002.0)</f>
        <v>2002</v>
      </c>
      <c r="U4" s="23">
        <f>IFERROR(__xludf.DUMMYFUNCTION("""COMPUTED_VALUE"""),1.462070145E9)</f>
        <v>1462070145</v>
      </c>
      <c r="V4" s="23"/>
      <c r="W4" s="22"/>
      <c r="X4" s="22"/>
      <c r="Y4" s="22"/>
      <c r="AB4" s="22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>
      <c r="A5" s="19" t="str">
        <f>IFERROR(__xludf.DUMMYFUNCTION("""COMPUTED_VALUE"""),"India")</f>
        <v>India</v>
      </c>
      <c r="B5" s="20">
        <f>IFERROR(__xludf.DUMMYFUNCTION("""COMPUTED_VALUE"""),1.259430953625E9)</f>
        <v>1259430954</v>
      </c>
      <c r="C5" s="20"/>
      <c r="D5" s="20"/>
      <c r="E5" s="20"/>
      <c r="F5" s="20"/>
      <c r="G5" s="20"/>
      <c r="H5" s="20"/>
      <c r="I5" s="21"/>
      <c r="J5" s="22">
        <f>IFERROR(__xludf.DUMMYFUNCTION("""COMPUTED_VALUE"""),2003.0)</f>
        <v>2003</v>
      </c>
      <c r="K5" s="22">
        <f>IFERROR(__xludf.DUMMYFUNCTION("""COMPUTED_VALUE"""),19.75)</f>
        <v>19.75</v>
      </c>
      <c r="L5" s="22"/>
      <c r="M5" s="22"/>
      <c r="N5" s="22"/>
      <c r="O5" s="22"/>
      <c r="P5" s="22"/>
      <c r="Q5" s="22"/>
      <c r="R5" s="22"/>
      <c r="S5" s="21"/>
      <c r="T5" s="23">
        <f>IFERROR(__xludf.DUMMYFUNCTION("""COMPUTED_VALUE"""),2003.0)</f>
        <v>2003</v>
      </c>
      <c r="U5" s="23">
        <f>IFERROR(__xludf.DUMMYFUNCTION("""COMPUTED_VALUE"""),1.48935808E9)</f>
        <v>1489358080</v>
      </c>
      <c r="V5" s="23"/>
      <c r="W5" s="22"/>
      <c r="X5" s="22"/>
      <c r="Y5" s="22"/>
      <c r="AB5" s="22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</row>
    <row r="6">
      <c r="A6" s="19" t="str">
        <f>IFERROR(__xludf.DUMMYFUNCTION("""COMPUTED_VALUE"""),"Maldives")</f>
        <v>Maldives</v>
      </c>
      <c r="B6" s="20">
        <f>IFERROR(__xludf.DUMMYFUNCTION("""COMPUTED_VALUE"""),394675.25)</f>
        <v>394675.25</v>
      </c>
      <c r="C6" s="20"/>
      <c r="D6" s="20"/>
      <c r="E6" s="20"/>
      <c r="F6" s="20"/>
      <c r="G6" s="20"/>
      <c r="H6" s="20"/>
      <c r="I6" s="21"/>
      <c r="J6" s="22">
        <f>IFERROR(__xludf.DUMMYFUNCTION("""COMPUTED_VALUE"""),2004.0)</f>
        <v>2004</v>
      </c>
      <c r="K6" s="22">
        <f>IFERROR(__xludf.DUMMYFUNCTION("""COMPUTED_VALUE"""),15.740000000000002)</f>
        <v>15.74</v>
      </c>
      <c r="L6" s="22"/>
      <c r="M6" s="22"/>
      <c r="N6" s="22"/>
      <c r="O6" s="22"/>
      <c r="P6" s="22"/>
      <c r="Q6" s="22"/>
      <c r="R6" s="22"/>
      <c r="S6" s="21"/>
      <c r="T6" s="23">
        <f>IFERROR(__xludf.DUMMYFUNCTION("""COMPUTED_VALUE"""),2004.0)</f>
        <v>2004</v>
      </c>
      <c r="U6" s="23">
        <f>IFERROR(__xludf.DUMMYFUNCTION("""COMPUTED_VALUE"""),1.515703001E9)</f>
        <v>1515703001</v>
      </c>
      <c r="V6" s="23"/>
      <c r="W6" s="22"/>
      <c r="X6" s="22"/>
      <c r="Y6" s="22"/>
      <c r="AB6" s="22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</row>
    <row r="7">
      <c r="A7" s="19" t="str">
        <f>IFERROR(__xludf.DUMMYFUNCTION("""COMPUTED_VALUE"""),"Nepal")</f>
        <v>Nepal</v>
      </c>
      <c r="B7" s="20">
        <f>IFERROR(__xludf.DUMMYFUNCTION("""COMPUTED_VALUE"""),2.7432712291666668E7)</f>
        <v>27432712.29</v>
      </c>
      <c r="C7" s="20"/>
      <c r="D7" s="20"/>
      <c r="E7" s="20"/>
      <c r="F7" s="20"/>
      <c r="G7" s="20"/>
      <c r="H7" s="20"/>
      <c r="I7" s="21"/>
      <c r="J7" s="22">
        <f>IFERROR(__xludf.DUMMYFUNCTION("""COMPUTED_VALUE"""),2005.0)</f>
        <v>2005</v>
      </c>
      <c r="K7" s="22">
        <f>IFERROR(__xludf.DUMMYFUNCTION("""COMPUTED_VALUE"""),14.509999999999998)</f>
        <v>14.51</v>
      </c>
      <c r="L7" s="22"/>
      <c r="M7" s="22"/>
      <c r="N7" s="22"/>
      <c r="O7" s="22"/>
      <c r="P7" s="22"/>
      <c r="Q7" s="22"/>
      <c r="R7" s="22"/>
      <c r="S7" s="21"/>
      <c r="T7" s="23">
        <f>IFERROR(__xludf.DUMMYFUNCTION("""COMPUTED_VALUE"""),2005.0)</f>
        <v>2005</v>
      </c>
      <c r="U7" s="23">
        <f>IFERROR(__xludf.DUMMYFUNCTION("""COMPUTED_VALUE"""),1.541263909E9)</f>
        <v>1541263909</v>
      </c>
      <c r="V7" s="23"/>
      <c r="W7" s="22"/>
      <c r="X7" s="22"/>
      <c r="Y7" s="22"/>
      <c r="AB7" s="22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</row>
    <row r="8">
      <c r="A8" s="19" t="str">
        <f>IFERROR(__xludf.DUMMYFUNCTION("""COMPUTED_VALUE"""),"Pakistan")</f>
        <v>Pakistan</v>
      </c>
      <c r="B8" s="20">
        <f>IFERROR(__xludf.DUMMYFUNCTION("""COMPUTED_VALUE"""),1.98019073125E8)</f>
        <v>198019073.1</v>
      </c>
      <c r="C8" s="20"/>
      <c r="D8" s="20"/>
      <c r="E8" s="20"/>
      <c r="F8" s="20"/>
      <c r="G8" s="20"/>
      <c r="H8" s="20"/>
      <c r="I8" s="21"/>
      <c r="J8" s="22">
        <f>IFERROR(__xludf.DUMMYFUNCTION("""COMPUTED_VALUE"""),2006.0)</f>
        <v>2006</v>
      </c>
      <c r="K8" s="22">
        <f>IFERROR(__xludf.DUMMYFUNCTION("""COMPUTED_VALUE"""),14.729999999999999)</f>
        <v>14.73</v>
      </c>
      <c r="L8" s="22"/>
      <c r="M8" s="22"/>
      <c r="N8" s="22"/>
      <c r="O8" s="22"/>
      <c r="P8" s="22"/>
      <c r="Q8" s="22"/>
      <c r="R8" s="22"/>
      <c r="S8" s="21"/>
      <c r="T8" s="23">
        <f>IFERROR(__xludf.DUMMYFUNCTION("""COMPUTED_VALUE"""),2006.0)</f>
        <v>2006</v>
      </c>
      <c r="U8" s="23">
        <f>IFERROR(__xludf.DUMMYFUNCTION("""COMPUTED_VALUE"""),1.565892885E9)</f>
        <v>1565892885</v>
      </c>
      <c r="V8" s="23"/>
      <c r="W8" s="22"/>
      <c r="X8" s="22"/>
      <c r="Y8" s="22"/>
      <c r="AB8" s="22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>
      <c r="A9" s="19" t="str">
        <f>IFERROR(__xludf.DUMMYFUNCTION("""COMPUTED_VALUE"""),"Sri Lanka")</f>
        <v>Sri Lanka</v>
      </c>
      <c r="B9" s="20">
        <f>IFERROR(__xludf.DUMMYFUNCTION("""COMPUTED_VALUE"""),2.0705998958333332E7)</f>
        <v>20705998.96</v>
      </c>
      <c r="C9" s="20"/>
      <c r="D9" s="20"/>
      <c r="E9" s="20"/>
      <c r="F9" s="20"/>
      <c r="G9" s="20"/>
      <c r="H9" s="20"/>
      <c r="I9" s="21"/>
      <c r="J9" s="22">
        <f>IFERROR(__xludf.DUMMYFUNCTION("""COMPUTED_VALUE"""),2007.0)</f>
        <v>2007</v>
      </c>
      <c r="K9" s="22">
        <f>IFERROR(__xludf.DUMMYFUNCTION("""COMPUTED_VALUE"""),12.8)</f>
        <v>12.8</v>
      </c>
      <c r="L9" s="22"/>
      <c r="M9" s="22"/>
      <c r="N9" s="22"/>
      <c r="O9" s="22"/>
      <c r="P9" s="22"/>
      <c r="Q9" s="22"/>
      <c r="R9" s="22"/>
      <c r="S9" s="21"/>
      <c r="T9" s="23">
        <f>IFERROR(__xludf.DUMMYFUNCTION("""COMPUTED_VALUE"""),2007.0)</f>
        <v>2007</v>
      </c>
      <c r="U9" s="23">
        <f>IFERROR(__xludf.DUMMYFUNCTION("""COMPUTED_VALUE"""),1.589454615E9)</f>
        <v>1589454615</v>
      </c>
      <c r="V9" s="23"/>
      <c r="W9" s="22"/>
      <c r="X9" s="22"/>
      <c r="Y9" s="22"/>
      <c r="AB9" s="22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</row>
    <row r="10">
      <c r="A10" s="19"/>
      <c r="B10" s="20"/>
      <c r="C10" s="20"/>
      <c r="D10" s="20"/>
      <c r="E10" s="20"/>
      <c r="F10" s="20"/>
      <c r="G10" s="20"/>
      <c r="H10" s="20"/>
      <c r="I10" s="21"/>
      <c r="J10" s="22">
        <f>IFERROR(__xludf.DUMMYFUNCTION("""COMPUTED_VALUE"""),2008.0)</f>
        <v>2008</v>
      </c>
      <c r="K10" s="22">
        <f>IFERROR(__xludf.DUMMYFUNCTION("""COMPUTED_VALUE"""),12.879999999999999)</f>
        <v>12.88</v>
      </c>
      <c r="L10" s="22"/>
      <c r="M10" s="22"/>
      <c r="N10" s="22"/>
      <c r="O10" s="22"/>
      <c r="P10" s="22"/>
      <c r="Q10" s="22"/>
      <c r="R10" s="22"/>
      <c r="S10" s="21"/>
      <c r="T10" s="23">
        <f>IFERROR(__xludf.DUMMYFUNCTION("""COMPUTED_VALUE"""),2008.0)</f>
        <v>2008</v>
      </c>
      <c r="U10" s="23">
        <f>IFERROR(__xludf.DUMMYFUNCTION("""COMPUTED_VALUE"""),1.612709085E9)</f>
        <v>1612709085</v>
      </c>
      <c r="V10" s="23"/>
      <c r="W10" s="22"/>
      <c r="X10" s="22"/>
      <c r="Y10" s="22"/>
      <c r="AB10" s="22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>
      <c r="A11" s="19"/>
      <c r="B11" s="20"/>
      <c r="C11" s="20"/>
      <c r="D11" s="20"/>
      <c r="E11" s="20"/>
      <c r="F11" s="20"/>
      <c r="G11" s="20"/>
      <c r="H11" s="20"/>
      <c r="I11" s="21"/>
      <c r="J11" s="22">
        <f>IFERROR(__xludf.DUMMYFUNCTION("""COMPUTED_VALUE"""),2009.0)</f>
        <v>2009</v>
      </c>
      <c r="K11" s="22">
        <f>IFERROR(__xludf.DUMMYFUNCTION("""COMPUTED_VALUE"""),14.25)</f>
        <v>14.25</v>
      </c>
      <c r="L11" s="22"/>
      <c r="M11" s="22"/>
      <c r="N11" s="22"/>
      <c r="O11" s="22"/>
      <c r="P11" s="22"/>
      <c r="Q11" s="22"/>
      <c r="R11" s="22"/>
      <c r="S11" s="21"/>
      <c r="T11" s="23">
        <f>IFERROR(__xludf.DUMMYFUNCTION("""COMPUTED_VALUE"""),2009.0)</f>
        <v>2009</v>
      </c>
      <c r="U11" s="23">
        <f>IFERROR(__xludf.DUMMYFUNCTION("""COMPUTED_VALUE"""),1.636411632E9)</f>
        <v>1636411632</v>
      </c>
      <c r="V11" s="23"/>
      <c r="W11" s="22"/>
      <c r="X11" s="22"/>
      <c r="Y11" s="22"/>
      <c r="AB11" s="22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>
      <c r="A12" s="19"/>
      <c r="B12" s="20"/>
      <c r="C12" s="20"/>
      <c r="D12" s="20"/>
      <c r="E12" s="20"/>
      <c r="F12" s="20"/>
      <c r="G12" s="20"/>
      <c r="H12" s="20"/>
      <c r="I12" s="21"/>
      <c r="J12" s="22">
        <f>IFERROR(__xludf.DUMMYFUNCTION("""COMPUTED_VALUE"""),2010.0)</f>
        <v>2010</v>
      </c>
      <c r="K12" s="22">
        <f>IFERROR(__xludf.DUMMYFUNCTION("""COMPUTED_VALUE"""),13.709999999999999)</f>
        <v>13.71</v>
      </c>
      <c r="L12" s="22"/>
      <c r="M12" s="22"/>
      <c r="N12" s="22"/>
      <c r="O12" s="22"/>
      <c r="P12" s="22"/>
      <c r="Q12" s="22"/>
      <c r="R12" s="22"/>
      <c r="S12" s="21"/>
      <c r="T12" s="23">
        <f>IFERROR(__xludf.DUMMYFUNCTION("""COMPUTED_VALUE"""),2010.0)</f>
        <v>2010</v>
      </c>
      <c r="U12" s="23">
        <f>IFERROR(__xludf.DUMMYFUNCTION("""COMPUTED_VALUE"""),1.660546144E9)</f>
        <v>1660546144</v>
      </c>
      <c r="V12" s="23"/>
      <c r="W12" s="22"/>
      <c r="X12" s="22"/>
      <c r="Y12" s="22"/>
      <c r="AB12" s="22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>
      <c r="A13" s="19"/>
      <c r="B13" s="20"/>
      <c r="C13" s="20"/>
      <c r="D13" s="20"/>
      <c r="E13" s="20"/>
      <c r="F13" s="20"/>
      <c r="G13" s="20"/>
      <c r="H13" s="20"/>
      <c r="I13" s="21"/>
      <c r="J13" s="22">
        <f>IFERROR(__xludf.DUMMYFUNCTION("""COMPUTED_VALUE"""),2011.0)</f>
        <v>2011</v>
      </c>
      <c r="K13" s="22">
        <f>IFERROR(__xludf.DUMMYFUNCTION("""COMPUTED_VALUE"""),14.290000000000001)</f>
        <v>14.29</v>
      </c>
      <c r="L13" s="22"/>
      <c r="M13" s="22"/>
      <c r="N13" s="22"/>
      <c r="O13" s="22"/>
      <c r="P13" s="22"/>
      <c r="Q13" s="22"/>
      <c r="R13" s="22"/>
      <c r="S13" s="21"/>
      <c r="T13" s="23">
        <f>IFERROR(__xludf.DUMMYFUNCTION("""COMPUTED_VALUE"""),2011.0)</f>
        <v>2011</v>
      </c>
      <c r="U13" s="23">
        <f>IFERROR(__xludf.DUMMYFUNCTION("""COMPUTED_VALUE"""),1.684898004E9)</f>
        <v>1684898004</v>
      </c>
      <c r="V13" s="23"/>
      <c r="W13" s="22"/>
      <c r="X13" s="22"/>
      <c r="Y13" s="22"/>
      <c r="AB13" s="22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>
      <c r="A14" s="19"/>
      <c r="B14" s="20"/>
      <c r="C14" s="20"/>
      <c r="D14" s="20"/>
      <c r="E14" s="20"/>
      <c r="F14" s="20"/>
      <c r="G14" s="20"/>
      <c r="H14" s="20"/>
      <c r="I14" s="21"/>
      <c r="J14" s="22">
        <f>IFERROR(__xludf.DUMMYFUNCTION("""COMPUTED_VALUE"""),2012.0)</f>
        <v>2012</v>
      </c>
      <c r="K14" s="22">
        <f>IFERROR(__xludf.DUMMYFUNCTION("""COMPUTED_VALUE"""),13.97)</f>
        <v>13.97</v>
      </c>
      <c r="L14" s="22"/>
      <c r="M14" s="22"/>
      <c r="N14" s="22"/>
      <c r="O14" s="22"/>
      <c r="P14" s="22"/>
      <c r="Q14" s="22"/>
      <c r="R14" s="22"/>
      <c r="S14" s="21"/>
      <c r="T14" s="23">
        <f>IFERROR(__xludf.DUMMYFUNCTION("""COMPUTED_VALUE"""),2012.0)</f>
        <v>2012</v>
      </c>
      <c r="U14" s="23">
        <f>IFERROR(__xludf.DUMMYFUNCTION("""COMPUTED_VALUE"""),1.708706729E9)</f>
        <v>1708706729</v>
      </c>
      <c r="V14" s="23"/>
      <c r="W14" s="22"/>
      <c r="X14" s="22"/>
      <c r="Y14" s="22"/>
      <c r="AB14" s="22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>
      <c r="A15" s="19"/>
      <c r="B15" s="20"/>
      <c r="C15" s="20"/>
      <c r="D15" s="20"/>
      <c r="E15" s="20"/>
      <c r="F15" s="20"/>
      <c r="G15" s="20"/>
      <c r="H15" s="20"/>
      <c r="I15" s="21"/>
      <c r="J15" s="22">
        <f>IFERROR(__xludf.DUMMYFUNCTION("""COMPUTED_VALUE"""),2013.0)</f>
        <v>2013</v>
      </c>
      <c r="K15" s="22">
        <f>IFERROR(__xludf.DUMMYFUNCTION("""COMPUTED_VALUE"""),12.73)</f>
        <v>12.73</v>
      </c>
      <c r="L15" s="22"/>
      <c r="M15" s="22"/>
      <c r="N15" s="22"/>
      <c r="O15" s="22"/>
      <c r="P15" s="22"/>
      <c r="Q15" s="22"/>
      <c r="R15" s="22"/>
      <c r="S15" s="21"/>
      <c r="T15" s="23">
        <f>IFERROR(__xludf.DUMMYFUNCTION("""COMPUTED_VALUE"""),2013.0)</f>
        <v>2013</v>
      </c>
      <c r="U15" s="23">
        <f>IFERROR(__xludf.DUMMYFUNCTION("""COMPUTED_VALUE"""),1.731683901E9)</f>
        <v>1731683901</v>
      </c>
      <c r="V15" s="23"/>
      <c r="W15" s="22"/>
      <c r="X15" s="22"/>
      <c r="Y15" s="22"/>
      <c r="AB15" s="22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>
      <c r="A16" s="19"/>
      <c r="B16" s="20"/>
      <c r="C16" s="20"/>
      <c r="D16" s="20"/>
      <c r="E16" s="20"/>
      <c r="F16" s="20"/>
      <c r="G16" s="20"/>
      <c r="H16" s="20"/>
      <c r="I16" s="21"/>
      <c r="J16" s="22">
        <f>IFERROR(__xludf.DUMMYFUNCTION("""COMPUTED_VALUE"""),2014.0)</f>
        <v>2014</v>
      </c>
      <c r="K16" s="22">
        <f>IFERROR(__xludf.DUMMYFUNCTION("""COMPUTED_VALUE"""),13.299999999999999)</f>
        <v>13.3</v>
      </c>
      <c r="L16" s="22"/>
      <c r="M16" s="22"/>
      <c r="N16" s="22"/>
      <c r="O16" s="22"/>
      <c r="P16" s="22"/>
      <c r="Q16" s="22"/>
      <c r="R16" s="22"/>
      <c r="S16" s="21"/>
      <c r="T16" s="23">
        <f>IFERROR(__xludf.DUMMYFUNCTION("""COMPUTED_VALUE"""),2014.0)</f>
        <v>2014</v>
      </c>
      <c r="U16" s="23">
        <f>IFERROR(__xludf.DUMMYFUNCTION("""COMPUTED_VALUE"""),1.754030304E9)</f>
        <v>1754030304</v>
      </c>
      <c r="V16" s="23"/>
      <c r="W16" s="22"/>
      <c r="X16" s="22"/>
      <c r="Y16" s="22"/>
      <c r="AB16" s="22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>
      <c r="A17" s="19"/>
      <c r="B17" s="20"/>
      <c r="C17" s="20"/>
      <c r="D17" s="20"/>
      <c r="E17" s="20"/>
      <c r="F17" s="20"/>
      <c r="G17" s="20"/>
      <c r="H17" s="20"/>
      <c r="I17" s="21"/>
      <c r="J17" s="22">
        <f>IFERROR(__xludf.DUMMYFUNCTION("""COMPUTED_VALUE"""),2015.0)</f>
        <v>2015</v>
      </c>
      <c r="K17" s="22">
        <f>IFERROR(__xludf.DUMMYFUNCTION("""COMPUTED_VALUE"""),13.150000000000002)</f>
        <v>13.15</v>
      </c>
      <c r="L17" s="22"/>
      <c r="M17" s="22"/>
      <c r="N17" s="22"/>
      <c r="O17" s="22"/>
      <c r="P17" s="22"/>
      <c r="Q17" s="22"/>
      <c r="R17" s="22"/>
      <c r="S17" s="21"/>
      <c r="T17" s="23">
        <f>IFERROR(__xludf.DUMMYFUNCTION("""COMPUTED_VALUE"""),2015.0)</f>
        <v>2015</v>
      </c>
      <c r="U17" s="23">
        <f>IFERROR(__xludf.DUMMYFUNCTION("""COMPUTED_VALUE"""),1.77554518E9)</f>
        <v>1775545180</v>
      </c>
      <c r="V17" s="23"/>
      <c r="W17" s="22"/>
      <c r="X17" s="22"/>
      <c r="Y17" s="22"/>
      <c r="AB17" s="22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</row>
    <row r="18">
      <c r="A18" s="19"/>
      <c r="B18" s="20"/>
      <c r="C18" s="20"/>
      <c r="D18" s="20"/>
      <c r="E18" s="20"/>
      <c r="F18" s="20"/>
      <c r="G18" s="20"/>
      <c r="H18" s="20"/>
      <c r="I18" s="21"/>
      <c r="J18" s="22">
        <f>IFERROR(__xludf.DUMMYFUNCTION("""COMPUTED_VALUE"""),2016.0)</f>
        <v>2016</v>
      </c>
      <c r="K18" s="22">
        <f>IFERROR(__xludf.DUMMYFUNCTION("""COMPUTED_VALUE"""),12.59)</f>
        <v>12.59</v>
      </c>
      <c r="L18" s="22"/>
      <c r="M18" s="22"/>
      <c r="N18" s="22"/>
      <c r="O18" s="22"/>
      <c r="P18" s="22"/>
      <c r="Q18" s="22"/>
      <c r="R18" s="22"/>
      <c r="S18" s="21"/>
      <c r="T18" s="23">
        <f>IFERROR(__xludf.DUMMYFUNCTION("""COMPUTED_VALUE"""),2016.0)</f>
        <v>2016</v>
      </c>
      <c r="U18" s="23">
        <f>IFERROR(__xludf.DUMMYFUNCTION("""COMPUTED_VALUE"""),1.797072648E9)</f>
        <v>1797072648</v>
      </c>
      <c r="V18" s="23"/>
      <c r="W18" s="22"/>
      <c r="X18" s="22"/>
      <c r="Y18" s="22"/>
      <c r="AB18" s="22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>
      <c r="A19" s="19"/>
      <c r="B19" s="20"/>
      <c r="C19" s="20"/>
      <c r="D19" s="20"/>
      <c r="E19" s="20"/>
      <c r="F19" s="20"/>
      <c r="G19" s="20"/>
      <c r="H19" s="20"/>
      <c r="I19" s="21"/>
      <c r="J19" s="22">
        <f>IFERROR(__xludf.DUMMYFUNCTION("""COMPUTED_VALUE"""),2017.0)</f>
        <v>2017</v>
      </c>
      <c r="K19" s="22">
        <f>IFERROR(__xludf.DUMMYFUNCTION("""COMPUTED_VALUE"""),12.910000000000002)</f>
        <v>12.91</v>
      </c>
      <c r="L19" s="22"/>
      <c r="M19" s="22"/>
      <c r="N19" s="22"/>
      <c r="O19" s="22"/>
      <c r="P19" s="22"/>
      <c r="Q19" s="22"/>
      <c r="R19" s="22"/>
      <c r="S19" s="21"/>
      <c r="T19" s="23">
        <f>IFERROR(__xludf.DUMMYFUNCTION("""COMPUTED_VALUE"""),2017.0)</f>
        <v>2017</v>
      </c>
      <c r="U19" s="23">
        <f>IFERROR(__xludf.DUMMYFUNCTION("""COMPUTED_VALUE"""),1.818931519E9)</f>
        <v>1818931519</v>
      </c>
      <c r="V19" s="23"/>
      <c r="W19" s="22"/>
      <c r="Y19" s="22"/>
      <c r="AB19" s="22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>
      <c r="A20" s="19"/>
      <c r="B20" s="20"/>
      <c r="C20" s="20"/>
      <c r="D20" s="20"/>
      <c r="E20" s="20"/>
      <c r="F20" s="20"/>
      <c r="G20" s="20"/>
      <c r="H20" s="20"/>
      <c r="I20" s="21"/>
      <c r="J20" s="22">
        <f>IFERROR(__xludf.DUMMYFUNCTION("""COMPUTED_VALUE"""),2018.0)</f>
        <v>2018</v>
      </c>
      <c r="K20" s="22">
        <f>IFERROR(__xludf.DUMMYFUNCTION("""COMPUTED_VALUE"""),12.969999999999999)</f>
        <v>12.97</v>
      </c>
      <c r="L20" s="22"/>
      <c r="M20" s="22"/>
      <c r="N20" s="22"/>
      <c r="O20" s="22"/>
      <c r="P20" s="22"/>
      <c r="Q20" s="22"/>
      <c r="R20" s="22"/>
      <c r="S20" s="21"/>
      <c r="T20" s="23">
        <f>IFERROR(__xludf.DUMMYFUNCTION("""COMPUTED_VALUE"""),2018.0)</f>
        <v>2018</v>
      </c>
      <c r="U20" s="23">
        <f>IFERROR(__xludf.DUMMYFUNCTION("""COMPUTED_VALUE"""),1.840534093E9)</f>
        <v>1840534093</v>
      </c>
      <c r="V20" s="23"/>
      <c r="W20" s="22"/>
      <c r="X20" s="22"/>
      <c r="Y20" s="22"/>
      <c r="AB20" s="22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>
      <c r="A21" s="19"/>
      <c r="B21" s="20"/>
      <c r="C21" s="20"/>
      <c r="D21" s="20"/>
      <c r="E21" s="20"/>
      <c r="F21" s="20"/>
      <c r="G21" s="20"/>
      <c r="H21" s="20"/>
      <c r="I21" s="21"/>
      <c r="J21" s="22">
        <f>IFERROR(__xludf.DUMMYFUNCTION("""COMPUTED_VALUE"""),2019.0)</f>
        <v>2019</v>
      </c>
      <c r="K21" s="22">
        <f>IFERROR(__xludf.DUMMYFUNCTION("""COMPUTED_VALUE"""),12.08)</f>
        <v>12.08</v>
      </c>
      <c r="L21" s="22"/>
      <c r="M21" s="22"/>
      <c r="N21" s="22"/>
      <c r="O21" s="22"/>
      <c r="P21" s="22"/>
      <c r="Q21" s="22"/>
      <c r="R21" s="22"/>
      <c r="S21" s="21"/>
      <c r="T21" s="23">
        <f>IFERROR(__xludf.DUMMYFUNCTION("""COMPUTED_VALUE"""),2019.0)</f>
        <v>2019</v>
      </c>
      <c r="U21" s="23">
        <f>IFERROR(__xludf.DUMMYFUNCTION("""COMPUTED_VALUE"""),1.861598514E9)</f>
        <v>1861598514</v>
      </c>
      <c r="V21" s="23"/>
      <c r="W21" s="22"/>
      <c r="X21" s="22"/>
      <c r="Y21" s="22"/>
      <c r="AB21" s="22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>
      <c r="A22" s="19"/>
      <c r="B22" s="20"/>
      <c r="C22" s="20"/>
      <c r="D22" s="20"/>
      <c r="E22" s="20"/>
      <c r="F22" s="20"/>
      <c r="G22" s="20"/>
      <c r="H22" s="20"/>
      <c r="I22" s="21"/>
      <c r="J22" s="22">
        <f>IFERROR(__xludf.DUMMYFUNCTION("""COMPUTED_VALUE"""),2020.0)</f>
        <v>2020</v>
      </c>
      <c r="K22" s="22">
        <f>IFERROR(__xludf.DUMMYFUNCTION("""COMPUTED_VALUE"""),11.87)</f>
        <v>11.87</v>
      </c>
      <c r="L22" s="22"/>
      <c r="M22" s="22"/>
      <c r="N22" s="22"/>
      <c r="O22" s="22"/>
      <c r="P22" s="22"/>
      <c r="Q22" s="22"/>
      <c r="R22" s="22"/>
      <c r="S22" s="21"/>
      <c r="T22" s="23">
        <f>IFERROR(__xludf.DUMMYFUNCTION("""COMPUTED_VALUE"""),2020.0)</f>
        <v>2020</v>
      </c>
      <c r="U22" s="23">
        <f>IFERROR(__xludf.DUMMYFUNCTION("""COMPUTED_VALUE"""),1.88253162E9)</f>
        <v>1882531620</v>
      </c>
      <c r="V22" s="23"/>
      <c r="W22" s="22"/>
      <c r="X22" s="22"/>
      <c r="Y22" s="22"/>
      <c r="AB22" s="22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>
      <c r="A23" s="19"/>
      <c r="B23" s="20"/>
      <c r="C23" s="20"/>
      <c r="D23" s="20"/>
      <c r="E23" s="20"/>
      <c r="F23" s="20"/>
      <c r="G23" s="20"/>
      <c r="H23" s="20"/>
      <c r="I23" s="21"/>
      <c r="J23" s="22">
        <f>IFERROR(__xludf.DUMMYFUNCTION("""COMPUTED_VALUE"""),2021.0)</f>
        <v>2021</v>
      </c>
      <c r="K23" s="22">
        <f>IFERROR(__xludf.DUMMYFUNCTION("""COMPUTED_VALUE"""),12.020000000000001)</f>
        <v>12.02</v>
      </c>
      <c r="L23" s="22"/>
      <c r="M23" s="22"/>
      <c r="N23" s="22"/>
      <c r="O23" s="22"/>
      <c r="P23" s="22"/>
      <c r="Q23" s="22"/>
      <c r="R23" s="22"/>
      <c r="S23" s="21"/>
      <c r="T23" s="23">
        <f>IFERROR(__xludf.DUMMYFUNCTION("""COMPUTED_VALUE"""),2021.0)</f>
        <v>2021</v>
      </c>
      <c r="U23" s="23">
        <f>IFERROR(__xludf.DUMMYFUNCTION("""COMPUTED_VALUE"""),1.901911604E9)</f>
        <v>1901911604</v>
      </c>
      <c r="V23" s="23"/>
      <c r="W23" s="22"/>
      <c r="X23" s="22"/>
      <c r="Y23" s="22"/>
      <c r="AB23" s="22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>
      <c r="A24" s="19"/>
      <c r="B24" s="20"/>
      <c r="C24" s="20"/>
      <c r="D24" s="20"/>
      <c r="E24" s="20"/>
      <c r="F24" s="20"/>
      <c r="G24" s="20"/>
      <c r="H24" s="20"/>
      <c r="I24" s="21"/>
      <c r="J24" s="22">
        <f>IFERROR(__xludf.DUMMYFUNCTION("""COMPUTED_VALUE"""),2022.0)</f>
        <v>2022</v>
      </c>
      <c r="K24" s="22">
        <f>IFERROR(__xludf.DUMMYFUNCTION("""COMPUTED_VALUE"""),9.06)</f>
        <v>9.06</v>
      </c>
      <c r="L24" s="22"/>
      <c r="M24" s="22"/>
      <c r="N24" s="22"/>
      <c r="O24" s="22"/>
      <c r="P24" s="22"/>
      <c r="Q24" s="22"/>
      <c r="R24" s="22"/>
      <c r="S24" s="21"/>
      <c r="T24" s="23">
        <f>IFERROR(__xludf.DUMMYFUNCTION("""COMPUTED_VALUE"""),2022.0)</f>
        <v>2022</v>
      </c>
      <c r="U24" s="23">
        <f>IFERROR(__xludf.DUMMYFUNCTION("""COMPUTED_VALUE"""),1.919348E9)</f>
        <v>1919348000</v>
      </c>
      <c r="V24" s="23"/>
      <c r="W24" s="22"/>
      <c r="X24" s="22"/>
      <c r="Y24" s="22"/>
      <c r="AB24" s="22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>
      <c r="A25" s="19"/>
      <c r="B25" s="20"/>
      <c r="C25" s="20"/>
      <c r="D25" s="20"/>
      <c r="E25" s="20"/>
      <c r="F25" s="20"/>
      <c r="G25" s="20"/>
      <c r="H25" s="20"/>
      <c r="I25" s="21"/>
      <c r="J25" s="22">
        <f>IFERROR(__xludf.DUMMYFUNCTION("""COMPUTED_VALUE"""),2023.0)</f>
        <v>2023</v>
      </c>
      <c r="K25" s="22">
        <f>IFERROR(__xludf.DUMMYFUNCTION("""COMPUTED_VALUE"""),7.0600000000000005)</f>
        <v>7.06</v>
      </c>
      <c r="L25" s="22"/>
      <c r="M25" s="22"/>
      <c r="N25" s="22"/>
      <c r="O25" s="22"/>
      <c r="P25" s="22"/>
      <c r="Q25" s="22"/>
      <c r="R25" s="22"/>
      <c r="S25" s="21"/>
      <c r="T25" s="23">
        <f>IFERROR(__xludf.DUMMYFUNCTION("""COMPUTED_VALUE"""),2023.0)</f>
        <v>2023</v>
      </c>
      <c r="U25" s="23">
        <f>IFERROR(__xludf.DUMMYFUNCTION("""COMPUTED_VALUE"""),1.938549529E9)</f>
        <v>1938549529</v>
      </c>
      <c r="V25" s="23"/>
      <c r="W25" s="22"/>
      <c r="X25" s="22"/>
      <c r="Y25" s="22"/>
      <c r="AB25" s="22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</row>
    <row r="26">
      <c r="A26" s="19"/>
      <c r="B26" s="20"/>
      <c r="C26" s="20"/>
      <c r="D26" s="20"/>
      <c r="E26" s="20"/>
      <c r="F26" s="20"/>
      <c r="G26" s="20"/>
      <c r="H26" s="20"/>
      <c r="I26" s="21"/>
      <c r="J26" s="22"/>
      <c r="K26" s="22"/>
      <c r="L26" s="22"/>
      <c r="M26" s="22"/>
      <c r="N26" s="22"/>
      <c r="O26" s="22"/>
      <c r="P26" s="22"/>
      <c r="Q26" s="22"/>
      <c r="R26" s="22"/>
      <c r="S26" s="21"/>
      <c r="T26" s="24"/>
      <c r="U26" s="24"/>
      <c r="V26" s="22"/>
      <c r="W26" s="22"/>
      <c r="X26" s="22"/>
      <c r="Y26" s="22"/>
      <c r="AB26" s="22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>
      <c r="A27" s="19"/>
      <c r="B27" s="20"/>
      <c r="C27" s="20"/>
      <c r="D27" s="20"/>
      <c r="E27" s="20"/>
      <c r="F27" s="20"/>
      <c r="G27" s="20"/>
      <c r="H27" s="20"/>
      <c r="I27" s="21"/>
      <c r="J27" s="22"/>
      <c r="K27" s="22"/>
      <c r="L27" s="22"/>
      <c r="M27" s="22"/>
      <c r="N27" s="22"/>
      <c r="O27" s="22"/>
      <c r="P27" s="22"/>
      <c r="Q27" s="22"/>
      <c r="R27" s="22"/>
      <c r="S27" s="21"/>
      <c r="T27" s="24"/>
      <c r="U27" s="24"/>
      <c r="V27" s="22"/>
      <c r="W27" s="22"/>
      <c r="X27" s="22"/>
      <c r="Y27" s="22"/>
      <c r="AB27" s="22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</row>
    <row r="28">
      <c r="A28" s="25"/>
      <c r="B28" s="26"/>
      <c r="C28" s="26"/>
      <c r="D28" s="26"/>
      <c r="E28" s="26"/>
      <c r="F28" s="26"/>
      <c r="G28" s="26"/>
      <c r="H28" s="26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7"/>
      <c r="U28" s="27"/>
      <c r="V28" s="21"/>
      <c r="W28" s="21"/>
      <c r="X28" s="21"/>
      <c r="Y28" s="21"/>
      <c r="Z28" s="28"/>
      <c r="AA28" s="28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</row>
    <row r="29">
      <c r="A29" s="25"/>
      <c r="B29" s="26"/>
      <c r="C29" s="26"/>
      <c r="D29" s="26"/>
      <c r="E29" s="26"/>
      <c r="F29" s="26"/>
      <c r="G29" s="26"/>
      <c r="H29" s="26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</row>
    <row r="30">
      <c r="A30" s="29" t="str">
        <f>IFERROR(__xludf.DUMMYFUNCTION("QUERY('Copy of South_Asian_dataset.csv'!A1:AG193, ""SELECT A, AVG(N), AVG(O) GROUP BY A LABEL AVG(N)'AVG Life Expectancy', AVG(O)'AVG Mortality Rate'"")  "),"Country")</f>
        <v>Country</v>
      </c>
      <c r="B30" s="29" t="str">
        <f>IFERROR(__xludf.DUMMYFUNCTION("""COMPUTED_VALUE"""),"AVG Life Expectancy")</f>
        <v>AVG Life Expectancy</v>
      </c>
      <c r="C30" s="29" t="str">
        <f>IFERROR(__xludf.DUMMYFUNCTION("""COMPUTED_VALUE"""),"AVG Mortality Rate")</f>
        <v>AVG Mortality Rate</v>
      </c>
      <c r="D30" s="29"/>
      <c r="E30" s="29"/>
      <c r="F30" s="29"/>
      <c r="G30" s="29"/>
      <c r="H30" s="29"/>
      <c r="I30" s="28"/>
      <c r="J30" s="30" t="str">
        <f>IFERROR(__xludf.DUMMYFUNCTION("QUERY('Copy of South_Asian_dataset.csv'!A1:AG193, ""SELECT B, AVG(N), AVG(O) GROUP BY B LABEL AVG(N)'AVG Life Expectancy', AVG(O)'AVG Mortality Rate'"")"),"Year")</f>
        <v>Year</v>
      </c>
      <c r="K30" s="30" t="str">
        <f>IFERROR(__xludf.DUMMYFUNCTION("""COMPUTED_VALUE"""),"AVG Life Expectancy")</f>
        <v>AVG Life Expectancy</v>
      </c>
      <c r="L30" s="30" t="str">
        <f>IFERROR(__xludf.DUMMYFUNCTION("""COMPUTED_VALUE"""),"AVG Mortality Rate")</f>
        <v>AVG Mortality Rate</v>
      </c>
      <c r="M30" s="31"/>
      <c r="N30" s="31"/>
      <c r="O30" s="31"/>
      <c r="P30" s="31"/>
      <c r="Q30" s="31"/>
      <c r="R30" s="31"/>
      <c r="S30" s="31"/>
      <c r="T30" s="21"/>
      <c r="U30" s="30" t="str">
        <f>IFERROR(__xludf.DUMMYFUNCTION("QUERY('Copy of South_Asian_dataset.csv'!A1:AG193, ""SELECT A, AVG(AA) GROUP BY A LABEL AVG(AA) 'TERRORISM ABSENCE %'"")"),"Country")</f>
        <v>Country</v>
      </c>
      <c r="V30" s="30" t="str">
        <f>IFERROR(__xludf.DUMMYFUNCTION("""COMPUTED_VALUE"""),"TERRORISM ABSENCE %")</f>
        <v>TERRORISM ABSENCE %</v>
      </c>
      <c r="W30" s="31"/>
      <c r="X30" s="31"/>
      <c r="Y30" s="31"/>
      <c r="Z30" s="31"/>
      <c r="AA30" s="31"/>
      <c r="AB30" s="3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</row>
    <row r="31">
      <c r="A31" s="32" t="str">
        <f>IFERROR(__xludf.DUMMYFUNCTION("""COMPUTED_VALUE"""),"Afghanistan")</f>
        <v>Afghanistan</v>
      </c>
      <c r="B31" s="32">
        <f>IFERROR(__xludf.DUMMYFUNCTION("""COMPUTED_VALUE"""),60.69958333333332)</f>
        <v>60.69958333</v>
      </c>
      <c r="C31" s="32">
        <f>IFERROR(__xludf.DUMMYFUNCTION("""COMPUTED_VALUE"""),63.73333333333332)</f>
        <v>63.73333333</v>
      </c>
      <c r="I31" s="28"/>
      <c r="J31" s="22">
        <f>IFERROR(__xludf.DUMMYFUNCTION("""COMPUTED_VALUE"""),2000.0)</f>
        <v>2000</v>
      </c>
      <c r="K31" s="22">
        <f>IFERROR(__xludf.DUMMYFUNCTION("""COMPUTED_VALUE"""),63.963750000000005)</f>
        <v>63.96375</v>
      </c>
      <c r="L31" s="22">
        <f>IFERROR(__xludf.DUMMYFUNCTION("""COMPUTED_VALUE"""),58.6625)</f>
        <v>58.6625</v>
      </c>
      <c r="M31" s="22"/>
      <c r="N31" s="22"/>
      <c r="O31" s="22"/>
      <c r="P31" s="22"/>
      <c r="Q31" s="22"/>
      <c r="R31" s="22"/>
      <c r="S31" s="22"/>
      <c r="T31" s="21"/>
      <c r="U31" s="22" t="str">
        <f>IFERROR(__xludf.DUMMYFUNCTION("""COMPUTED_VALUE"""),"Afghanistan")</f>
        <v>Afghanistan</v>
      </c>
      <c r="V31" s="22">
        <f>IFERROR(__xludf.DUMMYFUNCTION("""COMPUTED_VALUE"""),-2.33625)</f>
        <v>-2.33625</v>
      </c>
      <c r="W31" s="22"/>
      <c r="X31" s="22"/>
      <c r="Y31" s="22"/>
      <c r="Z31" s="22"/>
      <c r="AA31" s="22"/>
      <c r="AB31" s="22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</row>
    <row r="32">
      <c r="A32" s="32" t="str">
        <f>IFERROR(__xludf.DUMMYFUNCTION("""COMPUTED_VALUE"""),"Bangladesh")</f>
        <v>Bangladesh</v>
      </c>
      <c r="B32" s="32">
        <f>IFERROR(__xludf.DUMMYFUNCTION("""COMPUTED_VALUE"""),69.13416666666666)</f>
        <v>69.13416667</v>
      </c>
      <c r="C32" s="32">
        <f>IFERROR(__xludf.DUMMYFUNCTION("""COMPUTED_VALUE"""),39.41666666666667)</f>
        <v>39.41666667</v>
      </c>
      <c r="I32" s="28"/>
      <c r="J32" s="22">
        <f>IFERROR(__xludf.DUMMYFUNCTION("""COMPUTED_VALUE"""),2001.0)</f>
        <v>2001</v>
      </c>
      <c r="K32" s="22">
        <f>IFERROR(__xludf.DUMMYFUNCTION("""COMPUTED_VALUE"""),64.64999999999999)</f>
        <v>64.65</v>
      </c>
      <c r="L32" s="22">
        <f>IFERROR(__xludf.DUMMYFUNCTION("""COMPUTED_VALUE"""),56.3)</f>
        <v>56.3</v>
      </c>
      <c r="M32" s="22"/>
      <c r="N32" s="22"/>
      <c r="O32" s="22"/>
      <c r="P32" s="22"/>
      <c r="Q32" s="22"/>
      <c r="R32" s="22"/>
      <c r="S32" s="22"/>
      <c r="T32" s="21"/>
      <c r="U32" s="22" t="str">
        <f>IFERROR(__xludf.DUMMYFUNCTION("""COMPUTED_VALUE"""),"Bangladesh")</f>
        <v>Bangladesh</v>
      </c>
      <c r="V32" s="22">
        <f>IFERROR(__xludf.DUMMYFUNCTION("""COMPUTED_VALUE"""),-1.2091666666666667)</f>
        <v>-1.209166667</v>
      </c>
      <c r="W32" s="22"/>
      <c r="X32" s="22"/>
      <c r="Y32" s="22"/>
      <c r="Z32" s="22"/>
      <c r="AA32" s="22"/>
      <c r="AB32" s="22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>
      <c r="A33" s="32" t="str">
        <f>IFERROR(__xludf.DUMMYFUNCTION("""COMPUTED_VALUE"""),"Bhutan")</f>
        <v>Bhutan</v>
      </c>
      <c r="B33" s="32">
        <f>IFERROR(__xludf.DUMMYFUNCTION("""COMPUTED_VALUE"""),68.16333333333331)</f>
        <v>68.16333333</v>
      </c>
      <c r="C33" s="32">
        <f>IFERROR(__xludf.DUMMYFUNCTION("""COMPUTED_VALUE"""),34.40833333333334)</f>
        <v>34.40833333</v>
      </c>
      <c r="I33" s="28"/>
      <c r="J33" s="22">
        <f>IFERROR(__xludf.DUMMYFUNCTION("""COMPUTED_VALUE"""),2002.0)</f>
        <v>2002</v>
      </c>
      <c r="K33" s="22">
        <f>IFERROR(__xludf.DUMMYFUNCTION("""COMPUTED_VALUE"""),65.13250000000001)</f>
        <v>65.1325</v>
      </c>
      <c r="L33" s="22">
        <f>IFERROR(__xludf.DUMMYFUNCTION("""COMPUTED_VALUE"""),54.0125)</f>
        <v>54.0125</v>
      </c>
      <c r="M33" s="22"/>
      <c r="N33" s="22"/>
      <c r="O33" s="22"/>
      <c r="P33" s="22"/>
      <c r="Q33" s="22"/>
      <c r="R33" s="22"/>
      <c r="S33" s="22"/>
      <c r="T33" s="21"/>
      <c r="U33" s="22" t="str">
        <f>IFERROR(__xludf.DUMMYFUNCTION("""COMPUTED_VALUE"""),"Bhutan")</f>
        <v>Bhutan</v>
      </c>
      <c r="V33" s="22">
        <f>IFERROR(__xludf.DUMMYFUNCTION("""COMPUTED_VALUE"""),0.7795833333333332)</f>
        <v>0.7795833333</v>
      </c>
      <c r="W33" s="22"/>
      <c r="X33" s="22"/>
      <c r="Y33" s="22"/>
      <c r="Z33" s="22"/>
      <c r="AA33" s="22"/>
      <c r="AB33" s="22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</row>
    <row r="34">
      <c r="A34" s="32" t="str">
        <f>IFERROR(__xludf.DUMMYFUNCTION("""COMPUTED_VALUE"""),"India")</f>
        <v>India</v>
      </c>
      <c r="B34" s="32">
        <f>IFERROR(__xludf.DUMMYFUNCTION("""COMPUTED_VALUE"""),67.04375000000002)</f>
        <v>67.04375</v>
      </c>
      <c r="C34" s="32">
        <f>IFERROR(__xludf.DUMMYFUNCTION("""COMPUTED_VALUE"""),44.6875)</f>
        <v>44.6875</v>
      </c>
      <c r="I34" s="28"/>
      <c r="J34" s="22">
        <f>IFERROR(__xludf.DUMMYFUNCTION("""COMPUTED_VALUE"""),2003.0)</f>
        <v>2003</v>
      </c>
      <c r="K34" s="22">
        <f>IFERROR(__xludf.DUMMYFUNCTION("""COMPUTED_VALUE"""),65.6775)</f>
        <v>65.6775</v>
      </c>
      <c r="L34" s="22">
        <f>IFERROR(__xludf.DUMMYFUNCTION("""COMPUTED_VALUE"""),51.824999999999996)</f>
        <v>51.825</v>
      </c>
      <c r="M34" s="22"/>
      <c r="N34" s="22"/>
      <c r="O34" s="22"/>
      <c r="P34" s="22"/>
      <c r="Q34" s="22"/>
      <c r="R34" s="22"/>
      <c r="S34" s="22"/>
      <c r="T34" s="21"/>
      <c r="U34" s="22" t="str">
        <f>IFERROR(__xludf.DUMMYFUNCTION("""COMPUTED_VALUE"""),"India")</f>
        <v>India</v>
      </c>
      <c r="V34" s="22">
        <f>IFERROR(__xludf.DUMMYFUNCTION("""COMPUTED_VALUE"""),-1.0329166666666667)</f>
        <v>-1.032916667</v>
      </c>
      <c r="W34" s="22"/>
      <c r="X34" s="22"/>
      <c r="Y34" s="22"/>
      <c r="Z34" s="22"/>
      <c r="AA34" s="22"/>
      <c r="AB34" s="22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</row>
    <row r="35">
      <c r="A35" s="32" t="str">
        <f>IFERROR(__xludf.DUMMYFUNCTION("""COMPUTED_VALUE"""),"Maldives")</f>
        <v>Maldives</v>
      </c>
      <c r="B35" s="32">
        <f>IFERROR(__xludf.DUMMYFUNCTION("""COMPUTED_VALUE"""),76.745)</f>
        <v>76.745</v>
      </c>
      <c r="C35" s="32">
        <f>IFERROR(__xludf.DUMMYFUNCTION("""COMPUTED_VALUE"""),14.504166666666668)</f>
        <v>14.50416667</v>
      </c>
      <c r="I35" s="28"/>
      <c r="J35" s="22">
        <f>IFERROR(__xludf.DUMMYFUNCTION("""COMPUTED_VALUE"""),2004.0)</f>
        <v>2004</v>
      </c>
      <c r="K35" s="22">
        <f>IFERROR(__xludf.DUMMYFUNCTION("""COMPUTED_VALUE"""),65.4275)</f>
        <v>65.4275</v>
      </c>
      <c r="L35" s="22">
        <f>IFERROR(__xludf.DUMMYFUNCTION("""COMPUTED_VALUE"""),50.5125)</f>
        <v>50.5125</v>
      </c>
      <c r="M35" s="22"/>
      <c r="N35" s="22"/>
      <c r="O35" s="22"/>
      <c r="P35" s="22"/>
      <c r="Q35" s="22"/>
      <c r="R35" s="22"/>
      <c r="S35" s="22"/>
      <c r="T35" s="21"/>
      <c r="U35" s="22" t="str">
        <f>IFERROR(__xludf.DUMMYFUNCTION("""COMPUTED_VALUE"""),"Maldives")</f>
        <v>Maldives</v>
      </c>
      <c r="V35" s="22">
        <f>IFERROR(__xludf.DUMMYFUNCTION("""COMPUTED_VALUE"""),0.26708333333333334)</f>
        <v>0.2670833333</v>
      </c>
      <c r="W35" s="22"/>
      <c r="X35" s="22"/>
      <c r="Y35" s="22"/>
      <c r="Z35" s="22"/>
      <c r="AA35" s="22"/>
      <c r="AB35" s="22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  <row r="36">
      <c r="A36" s="32" t="str">
        <f>IFERROR(__xludf.DUMMYFUNCTION("""COMPUTED_VALUE"""),"Nepal")</f>
        <v>Nepal</v>
      </c>
      <c r="B36" s="32">
        <f>IFERROR(__xludf.DUMMYFUNCTION("""COMPUTED_VALUE"""),66.83833333333332)</f>
        <v>66.83833333</v>
      </c>
      <c r="C36" s="32">
        <f>IFERROR(__xludf.DUMMYFUNCTION("""COMPUTED_VALUE"""),37.8875)</f>
        <v>37.8875</v>
      </c>
      <c r="I36" s="28"/>
      <c r="J36" s="22">
        <f>IFERROR(__xludf.DUMMYFUNCTION("""COMPUTED_VALUE"""),2005.0)</f>
        <v>2005</v>
      </c>
      <c r="K36" s="22">
        <f>IFERROR(__xludf.DUMMYFUNCTION("""COMPUTED_VALUE"""),66.40875)</f>
        <v>66.40875</v>
      </c>
      <c r="L36" s="22">
        <f>IFERROR(__xludf.DUMMYFUNCTION("""COMPUTED_VALUE"""),47.7875)</f>
        <v>47.7875</v>
      </c>
      <c r="M36" s="22"/>
      <c r="N36" s="22"/>
      <c r="O36" s="22"/>
      <c r="P36" s="22"/>
      <c r="Q36" s="22"/>
      <c r="R36" s="22"/>
      <c r="S36" s="22"/>
      <c r="T36" s="21"/>
      <c r="U36" s="22" t="str">
        <f>IFERROR(__xludf.DUMMYFUNCTION("""COMPUTED_VALUE"""),"Nepal")</f>
        <v>Nepal</v>
      </c>
      <c r="V36" s="22">
        <f>IFERROR(__xludf.DUMMYFUNCTION("""COMPUTED_VALUE"""),-2.23)</f>
        <v>-2.23</v>
      </c>
      <c r="W36" s="22"/>
      <c r="X36" s="22"/>
      <c r="Y36" s="22"/>
      <c r="Z36" s="22"/>
      <c r="AA36" s="22"/>
      <c r="AB36" s="22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</row>
    <row r="37">
      <c r="A37" s="32" t="str">
        <f>IFERROR(__xludf.DUMMYFUNCTION("""COMPUTED_VALUE"""),"Pakistan")</f>
        <v>Pakistan</v>
      </c>
      <c r="B37" s="32">
        <f>IFERROR(__xludf.DUMMYFUNCTION("""COMPUTED_VALUE"""),64.62583333333333)</f>
        <v>64.62583333</v>
      </c>
      <c r="C37" s="32">
        <f>IFERROR(__xludf.DUMMYFUNCTION("""COMPUTED_VALUE"""),66.775)</f>
        <v>66.775</v>
      </c>
      <c r="I37" s="28"/>
      <c r="J37" s="22">
        <f>IFERROR(__xludf.DUMMYFUNCTION("""COMPUTED_VALUE"""),2006.0)</f>
        <v>2006</v>
      </c>
      <c r="K37" s="22">
        <f>IFERROR(__xludf.DUMMYFUNCTION("""COMPUTED_VALUE"""),66.79875)</f>
        <v>66.79875</v>
      </c>
      <c r="L37" s="22">
        <f>IFERROR(__xludf.DUMMYFUNCTION("""COMPUTED_VALUE"""),45.85)</f>
        <v>45.85</v>
      </c>
      <c r="M37" s="22"/>
      <c r="N37" s="22"/>
      <c r="O37" s="22"/>
      <c r="P37" s="22"/>
      <c r="Q37" s="22"/>
      <c r="R37" s="22"/>
      <c r="S37" s="22"/>
      <c r="T37" s="21"/>
      <c r="U37" s="22" t="str">
        <f>IFERROR(__xludf.DUMMYFUNCTION("""COMPUTED_VALUE"""),"Pakistan")</f>
        <v>Pakistan</v>
      </c>
      <c r="V37" s="22">
        <f>IFERROR(__xludf.DUMMYFUNCTION("""COMPUTED_VALUE"""),0.7129166666666666)</f>
        <v>0.7129166667</v>
      </c>
      <c r="W37" s="22"/>
      <c r="X37" s="22"/>
      <c r="Y37" s="22"/>
      <c r="Z37" s="22"/>
      <c r="AA37" s="22"/>
      <c r="AB37" s="22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</row>
    <row r="38">
      <c r="A38" s="32" t="str">
        <f>IFERROR(__xludf.DUMMYFUNCTION("""COMPUTED_VALUE"""),"Sri Lanka")</f>
        <v>Sri Lanka</v>
      </c>
      <c r="B38" s="32">
        <f>IFERROR(__xludf.DUMMYFUNCTION("""COMPUTED_VALUE"""),72.89750000000001)</f>
        <v>72.8975</v>
      </c>
      <c r="C38" s="32">
        <f>IFERROR(__xludf.DUMMYFUNCTION("""COMPUTED_VALUE"""),10.983333333333334)</f>
        <v>10.98333333</v>
      </c>
      <c r="I38" s="28"/>
      <c r="J38" s="22">
        <f>IFERROR(__xludf.DUMMYFUNCTION("""COMPUTED_VALUE"""),2007.0)</f>
        <v>2007</v>
      </c>
      <c r="K38" s="22">
        <f>IFERROR(__xludf.DUMMYFUNCTION("""COMPUTED_VALUE"""),67.06)</f>
        <v>67.06</v>
      </c>
      <c r="L38" s="22">
        <f>IFERROR(__xludf.DUMMYFUNCTION("""COMPUTED_VALUE"""),44.0375)</f>
        <v>44.0375</v>
      </c>
      <c r="M38" s="22"/>
      <c r="N38" s="22"/>
      <c r="O38" s="22"/>
      <c r="P38" s="22"/>
      <c r="Q38" s="22"/>
      <c r="R38" s="22"/>
      <c r="S38" s="22"/>
      <c r="T38" s="21"/>
      <c r="U38" s="22" t="str">
        <f>IFERROR(__xludf.DUMMYFUNCTION("""COMPUTED_VALUE"""),"Sri Lanka")</f>
        <v>Sri Lanka</v>
      </c>
      <c r="V38" s="22">
        <f>IFERROR(__xludf.DUMMYFUNCTION("""COMPUTED_VALUE"""),-0.8358333333333333)</f>
        <v>-0.8358333333</v>
      </c>
      <c r="W38" s="22"/>
      <c r="X38" s="22"/>
      <c r="Y38" s="22"/>
      <c r="Z38" s="22"/>
      <c r="AA38" s="22"/>
      <c r="AB38" s="22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>
      <c r="I39" s="28"/>
      <c r="J39" s="22">
        <f>IFERROR(__xludf.DUMMYFUNCTION("""COMPUTED_VALUE"""),2008.0)</f>
        <v>2008</v>
      </c>
      <c r="K39" s="22">
        <f>IFERROR(__xludf.DUMMYFUNCTION("""COMPUTED_VALUE"""),67.41)</f>
        <v>67.41</v>
      </c>
      <c r="L39" s="22">
        <f>IFERROR(__xludf.DUMMYFUNCTION("""COMPUTED_VALUE"""),42.300000000000004)</f>
        <v>42.3</v>
      </c>
      <c r="M39" s="22"/>
      <c r="N39" s="22"/>
      <c r="O39" s="22"/>
      <c r="P39" s="22"/>
      <c r="Q39" s="22"/>
      <c r="R39" s="22"/>
      <c r="S39" s="22"/>
      <c r="T39" s="21"/>
      <c r="V39" s="22"/>
      <c r="W39" s="22"/>
      <c r="X39" s="22"/>
      <c r="Y39" s="22"/>
      <c r="Z39" s="22"/>
      <c r="AA39" s="22"/>
      <c r="AB39" s="22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>
      <c r="I40" s="28"/>
      <c r="J40" s="22">
        <f>IFERROR(__xludf.DUMMYFUNCTION("""COMPUTED_VALUE"""),2009.0)</f>
        <v>2009</v>
      </c>
      <c r="K40" s="22">
        <f>IFERROR(__xludf.DUMMYFUNCTION("""COMPUTED_VALUE"""),67.41625)</f>
        <v>67.41625</v>
      </c>
      <c r="L40" s="22">
        <f>IFERROR(__xludf.DUMMYFUNCTION("""COMPUTED_VALUE"""),41.087500000000006)</f>
        <v>41.0875</v>
      </c>
      <c r="M40" s="22"/>
      <c r="N40" s="22"/>
      <c r="O40" s="22"/>
      <c r="P40" s="22"/>
      <c r="Q40" s="22"/>
      <c r="R40" s="22"/>
      <c r="S40" s="22"/>
      <c r="T40" s="21"/>
      <c r="V40" s="22"/>
      <c r="W40" s="22"/>
      <c r="X40" s="22"/>
      <c r="Y40" s="22"/>
      <c r="Z40" s="22"/>
      <c r="AA40" s="22"/>
      <c r="AB40" s="22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>
      <c r="I41" s="28"/>
      <c r="J41" s="22">
        <f>IFERROR(__xludf.DUMMYFUNCTION("""COMPUTED_VALUE"""),2010.0)</f>
        <v>2010</v>
      </c>
      <c r="K41" s="22">
        <f>IFERROR(__xludf.DUMMYFUNCTION("""COMPUTED_VALUE"""),68.37)</f>
        <v>68.37</v>
      </c>
      <c r="L41" s="22">
        <f>IFERROR(__xludf.DUMMYFUNCTION("""COMPUTED_VALUE"""),39.0875)</f>
        <v>39.0875</v>
      </c>
      <c r="M41" s="22"/>
      <c r="N41" s="22"/>
      <c r="O41" s="22"/>
      <c r="P41" s="22"/>
      <c r="Q41" s="22"/>
      <c r="R41" s="22"/>
      <c r="S41" s="22"/>
      <c r="T41" s="21"/>
      <c r="V41" s="22"/>
      <c r="W41" s="22"/>
      <c r="X41" s="22"/>
      <c r="Y41" s="22"/>
      <c r="Z41" s="22"/>
      <c r="AA41" s="22"/>
      <c r="AB41" s="22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>
      <c r="I42" s="28"/>
      <c r="J42" s="22">
        <f>IFERROR(__xludf.DUMMYFUNCTION("""COMPUTED_VALUE"""),2011.0)</f>
        <v>2011</v>
      </c>
      <c r="K42" s="22">
        <f>IFERROR(__xludf.DUMMYFUNCTION("""COMPUTED_VALUE"""),68.74125000000001)</f>
        <v>68.74125</v>
      </c>
      <c r="L42" s="22">
        <f>IFERROR(__xludf.DUMMYFUNCTION("""COMPUTED_VALUE"""),37.5875)</f>
        <v>37.5875</v>
      </c>
      <c r="M42" s="22"/>
      <c r="N42" s="22"/>
      <c r="O42" s="22"/>
      <c r="P42" s="22"/>
      <c r="Q42" s="22"/>
      <c r="R42" s="22"/>
      <c r="S42" s="22"/>
      <c r="T42" s="21"/>
      <c r="V42" s="22"/>
      <c r="W42" s="22"/>
      <c r="X42" s="22"/>
      <c r="Y42" s="22"/>
      <c r="Z42" s="22"/>
      <c r="AA42" s="22"/>
      <c r="AB42" s="22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>
      <c r="I43" s="28"/>
      <c r="J43" s="22">
        <f>IFERROR(__xludf.DUMMYFUNCTION("""COMPUTED_VALUE"""),2012.0)</f>
        <v>2012</v>
      </c>
      <c r="K43" s="22">
        <f>IFERROR(__xludf.DUMMYFUNCTION("""COMPUTED_VALUE"""),69.19125)</f>
        <v>69.19125</v>
      </c>
      <c r="L43" s="22">
        <f>IFERROR(__xludf.DUMMYFUNCTION("""COMPUTED_VALUE"""),36.1125)</f>
        <v>36.1125</v>
      </c>
      <c r="M43" s="22"/>
      <c r="N43" s="22"/>
      <c r="O43" s="22"/>
      <c r="P43" s="22"/>
      <c r="Q43" s="22"/>
      <c r="R43" s="22"/>
      <c r="S43" s="22"/>
      <c r="T43" s="21"/>
      <c r="V43" s="22"/>
      <c r="W43" s="22"/>
      <c r="X43" s="22"/>
      <c r="Y43" s="22"/>
      <c r="Z43" s="22"/>
      <c r="AA43" s="22"/>
      <c r="AB43" s="22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>
      <c r="I44" s="28"/>
      <c r="J44" s="22">
        <f>IFERROR(__xludf.DUMMYFUNCTION("""COMPUTED_VALUE"""),2013.0)</f>
        <v>2013</v>
      </c>
      <c r="K44" s="22">
        <f>IFERROR(__xludf.DUMMYFUNCTION("""COMPUTED_VALUE"""),69.57249999999999)</f>
        <v>69.5725</v>
      </c>
      <c r="L44" s="22">
        <f>IFERROR(__xludf.DUMMYFUNCTION("""COMPUTED_VALUE"""),34.7375)</f>
        <v>34.7375</v>
      </c>
      <c r="M44" s="22"/>
      <c r="N44" s="22"/>
      <c r="O44" s="22"/>
      <c r="P44" s="22"/>
      <c r="Q44" s="22"/>
      <c r="R44" s="22"/>
      <c r="S44" s="22"/>
      <c r="T44" s="21"/>
      <c r="V44" s="22"/>
      <c r="W44" s="22"/>
      <c r="X44" s="22"/>
      <c r="Y44" s="22"/>
      <c r="Z44" s="22"/>
      <c r="AA44" s="22"/>
      <c r="AB44" s="22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>
      <c r="I45" s="28"/>
      <c r="J45" s="22">
        <f>IFERROR(__xludf.DUMMYFUNCTION("""COMPUTED_VALUE"""),2014.0)</f>
        <v>2014</v>
      </c>
      <c r="K45" s="22">
        <f>IFERROR(__xludf.DUMMYFUNCTION("""COMPUTED_VALUE"""),69.8875)</f>
        <v>69.8875</v>
      </c>
      <c r="L45" s="22">
        <f>IFERROR(__xludf.DUMMYFUNCTION("""COMPUTED_VALUE"""),33.4)</f>
        <v>33.4</v>
      </c>
      <c r="M45" s="22"/>
      <c r="N45" s="22"/>
      <c r="O45" s="22"/>
      <c r="P45" s="22"/>
      <c r="Q45" s="22"/>
      <c r="R45" s="22"/>
      <c r="S45" s="22"/>
      <c r="T45" s="21"/>
      <c r="V45" s="22"/>
      <c r="W45" s="22"/>
      <c r="X45" s="22"/>
      <c r="Y45" s="22"/>
      <c r="Z45" s="22"/>
      <c r="AA45" s="22"/>
      <c r="AB45" s="22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>
      <c r="I46" s="28"/>
      <c r="J46" s="22">
        <f>IFERROR(__xludf.DUMMYFUNCTION("""COMPUTED_VALUE"""),2015.0)</f>
        <v>2015</v>
      </c>
      <c r="K46" s="22">
        <f>IFERROR(__xludf.DUMMYFUNCTION("""COMPUTED_VALUE"""),70.115)</f>
        <v>70.115</v>
      </c>
      <c r="L46" s="22">
        <f>IFERROR(__xludf.DUMMYFUNCTION("""COMPUTED_VALUE"""),32.1375)</f>
        <v>32.1375</v>
      </c>
      <c r="M46" s="22"/>
      <c r="N46" s="22"/>
      <c r="O46" s="22"/>
      <c r="P46" s="22"/>
      <c r="Q46" s="22"/>
      <c r="R46" s="22"/>
      <c r="S46" s="22"/>
      <c r="T46" s="21"/>
      <c r="V46" s="22"/>
      <c r="W46" s="22"/>
      <c r="X46" s="22"/>
      <c r="Y46" s="22"/>
      <c r="Z46" s="22"/>
      <c r="AA46" s="22"/>
      <c r="AB46" s="22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>
      <c r="I47" s="28"/>
      <c r="J47" s="22">
        <f>IFERROR(__xludf.DUMMYFUNCTION("""COMPUTED_VALUE"""),2016.0)</f>
        <v>2016</v>
      </c>
      <c r="K47" s="22">
        <f>IFERROR(__xludf.DUMMYFUNCTION("""COMPUTED_VALUE"""),70.60125000000001)</f>
        <v>70.60125</v>
      </c>
      <c r="L47" s="22">
        <f>IFERROR(__xludf.DUMMYFUNCTION("""COMPUTED_VALUE"""),30.924999999999994)</f>
        <v>30.925</v>
      </c>
      <c r="M47" s="22"/>
      <c r="N47" s="22"/>
      <c r="O47" s="22"/>
      <c r="P47" s="22"/>
      <c r="Q47" s="22"/>
      <c r="R47" s="22"/>
      <c r="S47" s="22"/>
      <c r="T47" s="21"/>
      <c r="V47" s="22"/>
      <c r="W47" s="22"/>
      <c r="X47" s="22"/>
      <c r="Y47" s="22"/>
      <c r="Z47" s="22"/>
      <c r="AA47" s="22"/>
      <c r="AB47" s="22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>
      <c r="I48" s="28"/>
      <c r="J48" s="22">
        <f>IFERROR(__xludf.DUMMYFUNCTION("""COMPUTED_VALUE"""),2017.0)</f>
        <v>2017</v>
      </c>
      <c r="K48" s="22">
        <f>IFERROR(__xludf.DUMMYFUNCTION("""COMPUTED_VALUE"""),70.835)</f>
        <v>70.835</v>
      </c>
      <c r="L48" s="22">
        <f>IFERROR(__xludf.DUMMYFUNCTION("""COMPUTED_VALUE"""),29.762500000000003)</f>
        <v>29.7625</v>
      </c>
      <c r="M48" s="22"/>
      <c r="N48" s="22"/>
      <c r="O48" s="22"/>
      <c r="P48" s="22"/>
      <c r="Q48" s="22"/>
      <c r="R48" s="22"/>
      <c r="S48" s="22"/>
      <c r="T48" s="21"/>
      <c r="V48" s="22"/>
      <c r="W48" s="22"/>
      <c r="X48" s="22"/>
      <c r="Y48" s="22"/>
      <c r="Z48" s="22"/>
      <c r="AA48" s="22"/>
      <c r="AB48" s="22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>
      <c r="I49" s="28"/>
      <c r="J49" s="22">
        <f>IFERROR(__xludf.DUMMYFUNCTION("""COMPUTED_VALUE"""),2018.0)</f>
        <v>2018</v>
      </c>
      <c r="K49" s="22">
        <f>IFERROR(__xludf.DUMMYFUNCTION("""COMPUTED_VALUE"""),71.08874999999999)</f>
        <v>71.08875</v>
      </c>
      <c r="L49" s="22">
        <f>IFERROR(__xludf.DUMMYFUNCTION("""COMPUTED_VALUE"""),28.699999999999996)</f>
        <v>28.7</v>
      </c>
      <c r="M49" s="22"/>
      <c r="N49" s="22"/>
      <c r="O49" s="22"/>
      <c r="P49" s="22"/>
      <c r="Q49" s="22"/>
      <c r="R49" s="22"/>
      <c r="S49" s="22"/>
      <c r="T49" s="21"/>
      <c r="V49" s="22"/>
      <c r="W49" s="22"/>
      <c r="X49" s="22"/>
      <c r="Y49" s="22"/>
      <c r="Z49" s="22"/>
      <c r="AA49" s="22"/>
      <c r="AB49" s="22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>
      <c r="I50" s="28"/>
      <c r="J50" s="22">
        <f>IFERROR(__xludf.DUMMYFUNCTION("""COMPUTED_VALUE"""),2019.0)</f>
        <v>2019</v>
      </c>
      <c r="K50" s="22">
        <f>IFERROR(__xludf.DUMMYFUNCTION("""COMPUTED_VALUE"""),71.39125)</f>
        <v>71.39125</v>
      </c>
      <c r="L50" s="22">
        <f>IFERROR(__xludf.DUMMYFUNCTION("""COMPUTED_VALUE"""),27.65)</f>
        <v>27.65</v>
      </c>
      <c r="M50" s="22"/>
      <c r="N50" s="22"/>
      <c r="O50" s="22"/>
      <c r="P50" s="22"/>
      <c r="Q50" s="22"/>
      <c r="R50" s="22"/>
      <c r="S50" s="22"/>
      <c r="T50" s="21"/>
      <c r="V50" s="22"/>
      <c r="W50" s="22"/>
      <c r="X50" s="22"/>
      <c r="Y50" s="22"/>
      <c r="Z50" s="22"/>
      <c r="AA50" s="22"/>
      <c r="AB50" s="22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>
      <c r="I51" s="28"/>
      <c r="J51" s="22">
        <f>IFERROR(__xludf.DUMMYFUNCTION("""COMPUTED_VALUE"""),2020.0)</f>
        <v>2020</v>
      </c>
      <c r="K51" s="22">
        <f>IFERROR(__xludf.DUMMYFUNCTION("""COMPUTED_VALUE"""),71.0125)</f>
        <v>71.0125</v>
      </c>
      <c r="L51" s="22">
        <f>IFERROR(__xludf.DUMMYFUNCTION("""COMPUTED_VALUE"""),26.6375)</f>
        <v>26.6375</v>
      </c>
      <c r="M51" s="22"/>
      <c r="N51" s="22"/>
      <c r="O51" s="22"/>
      <c r="P51" s="22"/>
      <c r="Q51" s="22"/>
      <c r="R51" s="22"/>
      <c r="S51" s="22"/>
      <c r="T51" s="21"/>
      <c r="V51" s="22"/>
      <c r="W51" s="22"/>
      <c r="X51" s="22"/>
      <c r="Y51" s="22"/>
      <c r="Z51" s="22"/>
      <c r="AA51" s="22"/>
      <c r="AB51" s="22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>
      <c r="I52" s="28"/>
      <c r="J52" s="22">
        <f>IFERROR(__xludf.DUMMYFUNCTION("""COMPUTED_VALUE"""),2021.0)</f>
        <v>2021</v>
      </c>
      <c r="K52" s="22">
        <f>IFERROR(__xludf.DUMMYFUNCTION("""COMPUTED_VALUE"""),70.53625)</f>
        <v>70.53625</v>
      </c>
      <c r="L52" s="22">
        <f>IFERROR(__xludf.DUMMYFUNCTION("""COMPUTED_VALUE"""),25.7125)</f>
        <v>25.7125</v>
      </c>
      <c r="M52" s="22"/>
      <c r="N52" s="22"/>
      <c r="O52" s="22"/>
      <c r="P52" s="22"/>
      <c r="Q52" s="22"/>
      <c r="R52" s="22"/>
      <c r="S52" s="22"/>
      <c r="T52" s="21"/>
      <c r="V52" s="22"/>
      <c r="W52" s="22"/>
      <c r="X52" s="22"/>
      <c r="Y52" s="22"/>
      <c r="Z52" s="22"/>
      <c r="AA52" s="22"/>
      <c r="AB52" s="22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</row>
    <row r="53">
      <c r="I53" s="28"/>
      <c r="J53" s="22">
        <f>IFERROR(__xludf.DUMMYFUNCTION("""COMPUTED_VALUE"""),2022.0)</f>
        <v>2022</v>
      </c>
      <c r="K53" s="22">
        <f>IFERROR(__xludf.DUMMYFUNCTION("""COMPUTED_VALUE"""),71.36375000000001)</f>
        <v>71.36375</v>
      </c>
      <c r="L53" s="22">
        <f>IFERROR(__xludf.DUMMYFUNCTION("""COMPUTED_VALUE"""),24.862499999999997)</f>
        <v>24.8625</v>
      </c>
      <c r="M53" s="22"/>
      <c r="N53" s="22"/>
      <c r="O53" s="22"/>
      <c r="P53" s="22"/>
      <c r="Q53" s="22"/>
      <c r="R53" s="22"/>
      <c r="S53" s="22"/>
      <c r="T53" s="21"/>
      <c r="V53" s="22"/>
      <c r="W53" s="22"/>
      <c r="X53" s="22"/>
      <c r="Y53" s="22"/>
      <c r="Z53" s="22"/>
      <c r="AA53" s="22"/>
      <c r="AB53" s="22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</row>
    <row r="54">
      <c r="I54" s="28"/>
      <c r="J54" s="22">
        <f>IFERROR(__xludf.DUMMYFUNCTION("""COMPUTED_VALUE"""),2023.0)</f>
        <v>2023</v>
      </c>
      <c r="K54" s="22">
        <f>IFERROR(__xludf.DUMMYFUNCTION("""COMPUTED_VALUE"""),65.79124999999999)</f>
        <v>65.79125</v>
      </c>
      <c r="L54" s="22">
        <f>IFERROR(__xludf.DUMMYFUNCTION("""COMPUTED_VALUE"""),37.5)</f>
        <v>37.5</v>
      </c>
      <c r="M54" s="22"/>
      <c r="N54" s="22"/>
      <c r="O54" s="22"/>
      <c r="P54" s="22"/>
      <c r="Q54" s="22"/>
      <c r="R54" s="22"/>
      <c r="S54" s="22"/>
      <c r="T54" s="21"/>
      <c r="V54" s="22"/>
      <c r="W54" s="22"/>
      <c r="X54" s="22"/>
      <c r="Y54" s="22"/>
      <c r="Z54" s="22"/>
      <c r="AA54" s="22"/>
      <c r="AB54" s="22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</row>
    <row r="55">
      <c r="I55" s="28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1"/>
      <c r="V55" s="22"/>
      <c r="W55" s="22"/>
      <c r="X55" s="22"/>
      <c r="Y55" s="22"/>
      <c r="Z55" s="22"/>
      <c r="AA55" s="22"/>
      <c r="AB55" s="22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8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8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</row>
    <row r="58">
      <c r="A58" s="27"/>
      <c r="B58" s="27"/>
      <c r="C58" s="21"/>
      <c r="D58" s="21"/>
      <c r="E58" s="21"/>
      <c r="F58" s="21"/>
      <c r="G58" s="28"/>
      <c r="H58" s="28"/>
      <c r="I58" s="28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8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1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1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1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1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1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1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</row>
    <row r="65">
      <c r="A65" s="33"/>
      <c r="B65" s="33"/>
      <c r="C65" s="28"/>
      <c r="D65" s="28"/>
      <c r="E65" s="28"/>
      <c r="F65" s="28"/>
      <c r="G65" s="28"/>
      <c r="H65" s="28"/>
      <c r="I65" s="28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</row>
    <row r="66">
      <c r="A66" s="33"/>
      <c r="B66" s="33"/>
      <c r="C66" s="28"/>
      <c r="D66" s="28"/>
      <c r="E66" s="28"/>
      <c r="F66" s="28"/>
      <c r="G66" s="28"/>
      <c r="H66" s="28"/>
      <c r="I66" s="28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</row>
    <row r="67">
      <c r="A67" s="33"/>
      <c r="B67" s="33"/>
      <c r="C67" s="28"/>
      <c r="D67" s="28"/>
      <c r="E67" s="28"/>
      <c r="F67" s="28"/>
      <c r="G67" s="28"/>
      <c r="H67" s="28"/>
      <c r="I67" s="28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</row>
    <row r="68">
      <c r="A68" s="33"/>
      <c r="B68" s="33"/>
      <c r="C68" s="28"/>
      <c r="D68" s="28"/>
      <c r="E68" s="28"/>
      <c r="F68" s="28"/>
      <c r="G68" s="28"/>
      <c r="H68" s="28"/>
      <c r="I68" s="28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</row>
    <row r="69">
      <c r="A69" s="33"/>
      <c r="B69" s="33"/>
      <c r="C69" s="28"/>
      <c r="D69" s="28"/>
      <c r="E69" s="28"/>
      <c r="F69" s="28"/>
      <c r="G69" s="28"/>
      <c r="H69" s="28"/>
      <c r="I69" s="28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</row>
    <row r="70">
      <c r="A70" s="33"/>
      <c r="B70" s="33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>
      <c r="A71" s="33"/>
      <c r="B71" s="33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>
      <c r="A72" s="33"/>
      <c r="B72" s="33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>
      <c r="A73" s="33"/>
      <c r="B73" s="33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>
      <c r="A74" s="33"/>
      <c r="B74" s="33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>
      <c r="A75" s="33"/>
      <c r="B75" s="33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>
      <c r="A76" s="33"/>
      <c r="B76" s="33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>
      <c r="A77" s="33"/>
      <c r="B77" s="33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>
      <c r="A78" s="33"/>
      <c r="B78" s="33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>
      <c r="A79" s="33"/>
      <c r="B79" s="33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>
      <c r="A80" s="33"/>
      <c r="B80" s="33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>
      <c r="A81" s="33"/>
      <c r="B81" s="33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>
      <c r="A82" s="33"/>
      <c r="B82" s="33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>
      <c r="A83" s="33"/>
      <c r="B83" s="33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>
      <c r="A84" s="33"/>
      <c r="B84" s="33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>
      <c r="A85" s="33"/>
      <c r="B85" s="33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>
      <c r="A86" s="33"/>
      <c r="B86" s="33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>
      <c r="A87" s="33"/>
      <c r="B87" s="33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>
      <c r="A88" s="33"/>
      <c r="B88" s="33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>
      <c r="A89" s="33"/>
      <c r="B89" s="33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>
      <c r="A90" s="33"/>
      <c r="B90" s="33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>
      <c r="A91" s="33"/>
      <c r="B91" s="33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>
      <c r="A92" s="33"/>
      <c r="B92" s="33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>
      <c r="A93" s="33"/>
      <c r="B93" s="33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>
      <c r="A94" s="33"/>
      <c r="B94" s="33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>
      <c r="A95" s="33"/>
      <c r="B95" s="33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>
      <c r="A96" s="33"/>
      <c r="B96" s="33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>
      <c r="A97" s="33"/>
      <c r="B97" s="33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>
      <c r="A98" s="33"/>
      <c r="B98" s="33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>
      <c r="A99" s="33"/>
      <c r="B99" s="33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>
      <c r="A100" s="33"/>
      <c r="B100" s="33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>
      <c r="A101" s="33"/>
      <c r="B101" s="33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</row>
    <row r="102">
      <c r="A102" s="33"/>
      <c r="B102" s="33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</row>
    <row r="103">
      <c r="A103" s="33"/>
      <c r="B103" s="33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</row>
    <row r="104">
      <c r="A104" s="33"/>
      <c r="B104" s="33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</row>
    <row r="105">
      <c r="A105" s="33"/>
      <c r="B105" s="33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</row>
    <row r="106">
      <c r="A106" s="33"/>
      <c r="B106" s="33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</row>
    <row r="107">
      <c r="A107" s="33"/>
      <c r="B107" s="33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</row>
    <row r="108">
      <c r="A108" s="33"/>
      <c r="B108" s="33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</row>
    <row r="109">
      <c r="A109" s="33"/>
      <c r="B109" s="33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</row>
    <row r="110">
      <c r="A110" s="33"/>
      <c r="B110" s="33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</row>
    <row r="111">
      <c r="A111" s="33"/>
      <c r="B111" s="33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</row>
    <row r="112">
      <c r="A112" s="33"/>
      <c r="B112" s="33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</row>
    <row r="113">
      <c r="A113" s="33"/>
      <c r="B113" s="33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</row>
    <row r="114">
      <c r="A114" s="33"/>
      <c r="B114" s="33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</row>
    <row r="115">
      <c r="A115" s="33"/>
      <c r="B115" s="33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</row>
    <row r="116">
      <c r="A116" s="33"/>
      <c r="B116" s="33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</row>
    <row r="117">
      <c r="A117" s="33"/>
      <c r="B117" s="33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</row>
    <row r="118">
      <c r="A118" s="33"/>
      <c r="B118" s="33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</row>
    <row r="119">
      <c r="A119" s="33"/>
      <c r="B119" s="3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</row>
    <row r="120">
      <c r="A120" s="33"/>
      <c r="B120" s="33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</row>
    <row r="121">
      <c r="A121" s="33"/>
      <c r="B121" s="33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</row>
    <row r="122">
      <c r="A122" s="33"/>
      <c r="B122" s="33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</row>
    <row r="123">
      <c r="A123" s="33"/>
      <c r="B123" s="33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</row>
    <row r="124">
      <c r="A124" s="33"/>
      <c r="B124" s="33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</row>
    <row r="125">
      <c r="A125" s="33"/>
      <c r="B125" s="33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</row>
    <row r="126">
      <c r="A126" s="33"/>
      <c r="B126" s="33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</row>
    <row r="127">
      <c r="A127" s="33"/>
      <c r="B127" s="33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</row>
    <row r="128">
      <c r="A128" s="33"/>
      <c r="B128" s="33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</row>
    <row r="129">
      <c r="A129" s="33"/>
      <c r="B129" s="33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</row>
    <row r="130">
      <c r="A130" s="33"/>
      <c r="B130" s="33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</row>
    <row r="131">
      <c r="A131" s="33"/>
      <c r="B131" s="33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</row>
    <row r="132">
      <c r="A132" s="33"/>
      <c r="B132" s="33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</row>
    <row r="133">
      <c r="A133" s="33"/>
      <c r="B133" s="33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</row>
    <row r="134">
      <c r="A134" s="33"/>
      <c r="B134" s="33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</row>
    <row r="135">
      <c r="A135" s="33"/>
      <c r="B135" s="33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</row>
    <row r="136">
      <c r="A136" s="33"/>
      <c r="B136" s="33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</row>
    <row r="137">
      <c r="A137" s="33"/>
      <c r="B137" s="33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</row>
    <row r="138">
      <c r="A138" s="33"/>
      <c r="B138" s="33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</row>
    <row r="139">
      <c r="A139" s="33"/>
      <c r="B139" s="33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</row>
    <row r="140">
      <c r="A140" s="33"/>
      <c r="B140" s="33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</row>
    <row r="141">
      <c r="A141" s="33"/>
      <c r="B141" s="33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</row>
    <row r="142">
      <c r="A142" s="33"/>
      <c r="B142" s="33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</row>
    <row r="143">
      <c r="A143" s="33"/>
      <c r="B143" s="33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</row>
    <row r="144">
      <c r="A144" s="33"/>
      <c r="B144" s="33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</row>
    <row r="145">
      <c r="A145" s="33"/>
      <c r="B145" s="33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</row>
    <row r="146">
      <c r="A146" s="33"/>
      <c r="B146" s="33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</row>
    <row r="147">
      <c r="A147" s="33"/>
      <c r="B147" s="33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</row>
    <row r="148">
      <c r="A148" s="33"/>
      <c r="B148" s="33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</row>
    <row r="149">
      <c r="A149" s="33"/>
      <c r="B149" s="33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</row>
    <row r="150">
      <c r="A150" s="33"/>
      <c r="B150" s="33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</row>
    <row r="151">
      <c r="A151" s="33"/>
      <c r="B151" s="33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</row>
    <row r="152">
      <c r="A152" s="33"/>
      <c r="B152" s="33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</row>
    <row r="153">
      <c r="A153" s="33"/>
      <c r="B153" s="33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</row>
    <row r="154">
      <c r="A154" s="33"/>
      <c r="B154" s="33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</row>
    <row r="155">
      <c r="A155" s="33"/>
      <c r="B155" s="33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</row>
    <row r="156">
      <c r="A156" s="33"/>
      <c r="B156" s="33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</row>
    <row r="157">
      <c r="A157" s="33"/>
      <c r="B157" s="33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</row>
    <row r="158">
      <c r="A158" s="33"/>
      <c r="B158" s="33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</row>
    <row r="159">
      <c r="A159" s="33"/>
      <c r="B159" s="33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</row>
    <row r="160">
      <c r="A160" s="33"/>
      <c r="B160" s="33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</row>
    <row r="161">
      <c r="A161" s="33"/>
      <c r="B161" s="33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</row>
    <row r="162">
      <c r="A162" s="33"/>
      <c r="B162" s="33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</row>
    <row r="163">
      <c r="A163" s="33"/>
      <c r="B163" s="33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</row>
    <row r="164">
      <c r="A164" s="33"/>
      <c r="B164" s="33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</row>
    <row r="165">
      <c r="A165" s="33"/>
      <c r="B165" s="33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</row>
    <row r="166">
      <c r="A166" s="33"/>
      <c r="B166" s="33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</row>
    <row r="167">
      <c r="A167" s="33"/>
      <c r="B167" s="33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</row>
    <row r="168">
      <c r="A168" s="33"/>
      <c r="B168" s="33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</row>
    <row r="169">
      <c r="A169" s="33"/>
      <c r="B169" s="33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</row>
    <row r="170">
      <c r="A170" s="33"/>
      <c r="B170" s="33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</row>
    <row r="171">
      <c r="A171" s="33"/>
      <c r="B171" s="33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</row>
    <row r="172">
      <c r="A172" s="33"/>
      <c r="B172" s="33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</row>
    <row r="173">
      <c r="A173" s="33"/>
      <c r="B173" s="33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</row>
    <row r="174">
      <c r="A174" s="33"/>
      <c r="B174" s="33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</row>
    <row r="175">
      <c r="A175" s="33"/>
      <c r="B175" s="33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</row>
    <row r="176">
      <c r="A176" s="33"/>
      <c r="B176" s="33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</row>
    <row r="177">
      <c r="A177" s="33"/>
      <c r="B177" s="33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</row>
    <row r="178">
      <c r="A178" s="33"/>
      <c r="B178" s="33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</row>
    <row r="179">
      <c r="A179" s="33"/>
      <c r="B179" s="33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</row>
    <row r="180">
      <c r="A180" s="33"/>
      <c r="B180" s="33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</row>
    <row r="181">
      <c r="A181" s="33"/>
      <c r="B181" s="33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</row>
    <row r="182">
      <c r="A182" s="33"/>
      <c r="B182" s="33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</row>
    <row r="183">
      <c r="A183" s="33"/>
      <c r="B183" s="33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</row>
    <row r="184">
      <c r="A184" s="33"/>
      <c r="B184" s="33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</row>
    <row r="185">
      <c r="A185" s="33"/>
      <c r="B185" s="33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</row>
    <row r="186">
      <c r="A186" s="33"/>
      <c r="B186" s="33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</row>
    <row r="187">
      <c r="A187" s="33"/>
      <c r="B187" s="33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</row>
    <row r="188">
      <c r="A188" s="33"/>
      <c r="B188" s="33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</row>
    <row r="189">
      <c r="A189" s="33"/>
      <c r="B189" s="33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</row>
    <row r="190">
      <c r="A190" s="33"/>
      <c r="B190" s="33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</row>
    <row r="191">
      <c r="A191" s="33"/>
      <c r="B191" s="33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</row>
    <row r="192">
      <c r="A192" s="33"/>
      <c r="B192" s="33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</row>
    <row r="193">
      <c r="A193" s="33"/>
      <c r="B193" s="33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</row>
  </sheetData>
  <conditionalFormatting sqref="B2:B9 K2:K25 U2:U25 K31:L54">
    <cfRule type="colorScale" priority="1">
      <colorScale>
        <cfvo type="formula" val="0"/>
        <cfvo type="formula" val="65.4275"/>
        <cfvo type="formula" val="1938549529"/>
        <color rgb="FFFFFFFF"/>
        <color rgb="FF8EA2C3"/>
        <color rgb="FF1155CC"/>
      </colorScale>
    </cfRule>
  </conditionalFormatting>
  <conditionalFormatting sqref="B31:C38">
    <cfRule type="colorScale" priority="2">
      <colorScale>
        <cfvo type="formula" val="10.98333333"/>
        <cfvo type="formula" val="64.62583333"/>
        <cfvo type="formula" val="76.745"/>
        <color rgb="FFFFFFFF"/>
        <color rgb="FF8EA2C3"/>
        <color rgb="FF1C4587"/>
      </colorScale>
    </cfRule>
  </conditionalFormatting>
  <conditionalFormatting sqref="U31:V38">
    <cfRule type="colorScale" priority="3">
      <colorScale>
        <cfvo type="formula" val="-2.33625"/>
        <cfvo type="formula" val="-0.8358333333"/>
        <cfvo type="formula" val="0.7795833333"/>
        <color rgb="FFFFFFFF"/>
        <color rgb="FF85A9CA"/>
        <color rgb="FF0B5394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31.75"/>
    <col customWidth="1" min="3" max="3" width="9.75"/>
    <col customWidth="1" min="4" max="4" width="38.13"/>
    <col customWidth="1" min="5" max="5" width="42.0"/>
    <col customWidth="1" min="6" max="6" width="38.13"/>
    <col customWidth="1" min="7" max="7" width="42.0"/>
    <col customWidth="1" min="8" max="8" width="38.13"/>
    <col customWidth="1" min="9" max="9" width="42.0"/>
    <col customWidth="1" min="10" max="10" width="38.13"/>
    <col customWidth="1" min="11" max="11" width="42.0"/>
    <col customWidth="1" min="12" max="12" width="38.13"/>
    <col customWidth="1" min="13" max="13" width="42.0"/>
    <col customWidth="1" min="14" max="14" width="38.13"/>
    <col customWidth="1" min="15" max="15" width="42.0"/>
    <col customWidth="1" min="16" max="16" width="38.13"/>
    <col customWidth="1" min="17" max="17" width="42.0"/>
    <col customWidth="1" min="18" max="18" width="38.13"/>
    <col customWidth="1" min="19" max="19" width="42.0"/>
    <col customWidth="1" min="20" max="20" width="38.13"/>
    <col customWidth="1" min="21" max="21" width="42.0"/>
    <col customWidth="1" min="22" max="22" width="38.13"/>
    <col customWidth="1" min="23" max="23" width="42.0"/>
    <col customWidth="1" min="24" max="24" width="38.13"/>
    <col customWidth="1" min="25" max="25" width="42.0"/>
    <col customWidth="1" min="26" max="26" width="38.13"/>
    <col customWidth="1" min="27" max="27" width="42.0"/>
    <col customWidth="1" min="28" max="28" width="38.13"/>
    <col customWidth="1" min="29" max="29" width="42.0"/>
    <col customWidth="1" min="30" max="30" width="38.13"/>
    <col customWidth="1" min="31" max="31" width="42.0"/>
    <col customWidth="1" min="32" max="32" width="38.13"/>
    <col customWidth="1" min="33" max="33" width="42.0"/>
    <col customWidth="1" min="34" max="34" width="38.13"/>
    <col customWidth="1" min="35" max="35" width="42.0"/>
    <col customWidth="1" min="36" max="36" width="38.13"/>
    <col customWidth="1" min="37" max="37" width="42.0"/>
    <col customWidth="1" min="38" max="38" width="38.13"/>
    <col customWidth="1" min="39" max="39" width="42.0"/>
    <col customWidth="1" min="40" max="40" width="38.13"/>
    <col customWidth="1" min="41" max="41" width="42.0"/>
    <col customWidth="1" min="42" max="42" width="38.13"/>
    <col customWidth="1" min="43" max="43" width="42.0"/>
    <col customWidth="1" min="44" max="44" width="38.13"/>
    <col customWidth="1" min="45" max="45" width="42.0"/>
    <col customWidth="1" min="46" max="46" width="38.13"/>
    <col customWidth="1" min="47" max="47" width="42.0"/>
    <col customWidth="1" min="48" max="48" width="38.13"/>
    <col customWidth="1" min="49" max="49" width="42.0"/>
    <col customWidth="1" min="50" max="50" width="38.13"/>
    <col customWidth="1" min="51" max="51" width="42.0"/>
    <col customWidth="1" min="52" max="52" width="38.13"/>
    <col customWidth="1" min="53" max="53" width="42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</sheetData>
  <drawing r:id="rId3"/>
</worksheet>
</file>