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570" windowWidth="17415" windowHeight="11190"/>
  </bookViews>
  <sheets>
    <sheet name="USI_Efficiency" sheetId="1" r:id="rId1"/>
  </sheets>
  <calcPr calcId="125725"/>
</workbook>
</file>

<file path=xl/calcChain.xml><?xml version="1.0" encoding="utf-8"?>
<calcChain xmlns="http://schemas.openxmlformats.org/spreadsheetml/2006/main">
  <c r="H25" i="1"/>
  <c r="I25"/>
  <c r="H28"/>
  <c r="I28"/>
  <c r="I29" s="1"/>
  <c r="I30" s="1"/>
  <c r="H29"/>
  <c r="H30" s="1"/>
  <c r="H33"/>
  <c r="H34" s="1"/>
  <c r="I33"/>
  <c r="I34" s="1"/>
  <c r="H42"/>
  <c r="I42"/>
  <c r="I43" s="1"/>
  <c r="H43"/>
  <c r="H46"/>
  <c r="I46"/>
  <c r="Q120"/>
  <c r="Q119"/>
  <c r="Q118"/>
  <c r="Q117"/>
  <c r="Q116"/>
  <c r="Q115"/>
  <c r="Q114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4"/>
  <c r="Q35"/>
  <c r="Q19"/>
  <c r="Q10"/>
  <c r="Q11"/>
  <c r="Q6"/>
  <c r="Q2"/>
  <c r="T10"/>
  <c r="T19"/>
  <c r="T35"/>
  <c r="T44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2"/>
  <c r="H4"/>
  <c r="H5" s="1"/>
  <c r="I4"/>
  <c r="I5" s="1"/>
  <c r="CK18"/>
  <c r="CL18"/>
  <c r="CK19"/>
  <c r="CL19"/>
  <c r="CK20"/>
  <c r="CL20"/>
  <c r="CK21"/>
  <c r="CL21"/>
  <c r="CK22"/>
  <c r="CL22"/>
  <c r="CL4"/>
  <c r="CL12"/>
  <c r="CL13"/>
  <c r="CL14"/>
  <c r="CL15"/>
  <c r="CL16"/>
  <c r="CL17"/>
  <c r="CL24"/>
  <c r="CL25"/>
  <c r="CL3"/>
  <c r="U44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2"/>
  <c r="AK120" l="1"/>
  <c r="AJ120"/>
  <c r="AI120"/>
  <c r="AH120"/>
  <c r="AG120"/>
  <c r="AF120"/>
  <c r="AK119"/>
  <c r="AJ119"/>
  <c r="AI119"/>
  <c r="AH119"/>
  <c r="AG119"/>
  <c r="AF119"/>
  <c r="AK118"/>
  <c r="AJ118"/>
  <c r="AI118"/>
  <c r="AH118"/>
  <c r="AG118"/>
  <c r="AF118"/>
  <c r="AK117"/>
  <c r="AJ117"/>
  <c r="AI117"/>
  <c r="AH117"/>
  <c r="AG117"/>
  <c r="AF117"/>
  <c r="AK116"/>
  <c r="AJ116"/>
  <c r="AI116"/>
  <c r="AH116"/>
  <c r="AG116"/>
  <c r="AF116"/>
  <c r="AK115"/>
  <c r="AJ115"/>
  <c r="AI115"/>
  <c r="AH115"/>
  <c r="AG115"/>
  <c r="AF115"/>
  <c r="AK114"/>
  <c r="AJ114"/>
  <c r="AI114"/>
  <c r="AH114"/>
  <c r="AG114"/>
  <c r="AF114"/>
  <c r="AK113"/>
  <c r="AJ113"/>
  <c r="AI113"/>
  <c r="AH113"/>
  <c r="AG113"/>
  <c r="AF113"/>
  <c r="AK112"/>
  <c r="AJ112"/>
  <c r="AI112"/>
  <c r="AH112"/>
  <c r="AG112"/>
  <c r="AF112"/>
  <c r="AK111"/>
  <c r="AJ111"/>
  <c r="AI111"/>
  <c r="AH111"/>
  <c r="AG111"/>
  <c r="AF111"/>
  <c r="AK110"/>
  <c r="AJ110"/>
  <c r="AI110"/>
  <c r="AH110"/>
  <c r="AG110"/>
  <c r="AF110"/>
  <c r="AK109"/>
  <c r="AJ109"/>
  <c r="AI109"/>
  <c r="AH109"/>
  <c r="AG109"/>
  <c r="AF109"/>
  <c r="AK108"/>
  <c r="AJ108"/>
  <c r="AI108"/>
  <c r="AH108"/>
  <c r="AG108"/>
  <c r="AF108"/>
  <c r="AK107"/>
  <c r="AJ107"/>
  <c r="AI107"/>
  <c r="AH107"/>
  <c r="AG107"/>
  <c r="AF107"/>
  <c r="AK106"/>
  <c r="AJ106"/>
  <c r="AI106"/>
  <c r="AH106"/>
  <c r="AG106"/>
  <c r="AF106"/>
  <c r="AK105"/>
  <c r="AJ105"/>
  <c r="AI105"/>
  <c r="AH105"/>
  <c r="AG105"/>
  <c r="AF105"/>
  <c r="AK104"/>
  <c r="AJ104"/>
  <c r="AI104"/>
  <c r="AH104"/>
  <c r="AG104"/>
  <c r="AF104"/>
  <c r="AK103"/>
  <c r="AJ103"/>
  <c r="AI103"/>
  <c r="AH103"/>
  <c r="AG103"/>
  <c r="AF103"/>
  <c r="AK102"/>
  <c r="AJ102"/>
  <c r="AI102"/>
  <c r="AH102"/>
  <c r="AG102"/>
  <c r="AF102"/>
  <c r="AK101"/>
  <c r="AJ101"/>
  <c r="AI101"/>
  <c r="AH101"/>
  <c r="AG101"/>
  <c r="AF101"/>
  <c r="AK100"/>
  <c r="AJ100"/>
  <c r="AI100"/>
  <c r="AH100"/>
  <c r="AG100"/>
  <c r="AF100"/>
  <c r="AK99"/>
  <c r="AJ99"/>
  <c r="AI99"/>
  <c r="AH99"/>
  <c r="AG99"/>
  <c r="AF99"/>
  <c r="AK98"/>
  <c r="AJ98"/>
  <c r="AI98"/>
  <c r="AH98"/>
  <c r="AG98"/>
  <c r="AF98"/>
  <c r="AK97"/>
  <c r="AJ97"/>
  <c r="AI97"/>
  <c r="AH97"/>
  <c r="AG97"/>
  <c r="AF97"/>
  <c r="AK96"/>
  <c r="AJ96"/>
  <c r="AI96"/>
  <c r="AH96"/>
  <c r="AG96"/>
  <c r="AF96"/>
  <c r="AK95"/>
  <c r="AJ95"/>
  <c r="AI95"/>
  <c r="AH95"/>
  <c r="AG95"/>
  <c r="AF95"/>
  <c r="AK94"/>
  <c r="AJ94"/>
  <c r="AI94"/>
  <c r="AH94"/>
  <c r="AG94"/>
  <c r="AF94"/>
  <c r="AK93"/>
  <c r="AJ93"/>
  <c r="AI93"/>
  <c r="AH93"/>
  <c r="AG93"/>
  <c r="AF93"/>
  <c r="AK92"/>
  <c r="AJ92"/>
  <c r="AI92"/>
  <c r="AH92"/>
  <c r="AG92"/>
  <c r="AF92"/>
  <c r="AK91"/>
  <c r="AJ91"/>
  <c r="AI91"/>
  <c r="AH91"/>
  <c r="AG91"/>
  <c r="AF91"/>
  <c r="AK90"/>
  <c r="AJ90"/>
  <c r="AI90"/>
  <c r="AH90"/>
  <c r="AG90"/>
  <c r="AF90"/>
  <c r="AK89"/>
  <c r="AJ89"/>
  <c r="AI89"/>
  <c r="AH89"/>
  <c r="AG89"/>
  <c r="AF89"/>
  <c r="AK88"/>
  <c r="AJ88"/>
  <c r="AI88"/>
  <c r="AH88"/>
  <c r="AG88"/>
  <c r="AF88"/>
  <c r="AK87"/>
  <c r="AJ87"/>
  <c r="AI87"/>
  <c r="AH87"/>
  <c r="AG87"/>
  <c r="AF87"/>
  <c r="AK86"/>
  <c r="AJ86"/>
  <c r="AI86"/>
  <c r="AH86"/>
  <c r="AG86"/>
  <c r="AF86"/>
  <c r="AK85"/>
  <c r="AJ85"/>
  <c r="AI85"/>
  <c r="AH85"/>
  <c r="AG85"/>
  <c r="AF85"/>
  <c r="AK84"/>
  <c r="AJ84"/>
  <c r="AI84"/>
  <c r="AH84"/>
  <c r="AG84"/>
  <c r="AF84"/>
  <c r="AK83"/>
  <c r="AJ83"/>
  <c r="AI83"/>
  <c r="AH83"/>
  <c r="AG83"/>
  <c r="AF83"/>
  <c r="AK82"/>
  <c r="AJ82"/>
  <c r="AI82"/>
  <c r="AH82"/>
  <c r="AG82"/>
  <c r="AF82"/>
  <c r="AK81"/>
  <c r="AJ81"/>
  <c r="AI81"/>
  <c r="AH81"/>
  <c r="AG81"/>
  <c r="AF81"/>
  <c r="AK80"/>
  <c r="AJ80"/>
  <c r="AI80"/>
  <c r="AH80"/>
  <c r="AG80"/>
  <c r="AF80"/>
  <c r="AK79"/>
  <c r="AJ79"/>
  <c r="AI79"/>
  <c r="AH79"/>
  <c r="AG79"/>
  <c r="AF79"/>
  <c r="AK78"/>
  <c r="AJ78"/>
  <c r="AI78"/>
  <c r="AH78"/>
  <c r="AG78"/>
  <c r="AF78"/>
  <c r="AK77"/>
  <c r="AJ77"/>
  <c r="AI77"/>
  <c r="AH77"/>
  <c r="AG77"/>
  <c r="AF77"/>
  <c r="AK76"/>
  <c r="AJ76"/>
  <c r="AI76"/>
  <c r="AH76"/>
  <c r="AG76"/>
  <c r="AF76"/>
  <c r="AK75"/>
  <c r="AJ75"/>
  <c r="AI75"/>
  <c r="AH75"/>
  <c r="AG75"/>
  <c r="AF75"/>
  <c r="AK74"/>
  <c r="AJ74"/>
  <c r="AI74"/>
  <c r="AH74"/>
  <c r="AG74"/>
  <c r="AF74"/>
  <c r="AK73"/>
  <c r="AJ73"/>
  <c r="AI73"/>
  <c r="AH73"/>
  <c r="AG73"/>
  <c r="AF73"/>
  <c r="AK72"/>
  <c r="AJ72"/>
  <c r="AI72"/>
  <c r="AH72"/>
  <c r="AG72"/>
  <c r="AF72"/>
  <c r="AK71"/>
  <c r="AJ71"/>
  <c r="AI71"/>
  <c r="AH71"/>
  <c r="AG71"/>
  <c r="AF71"/>
  <c r="AK70"/>
  <c r="AJ70"/>
  <c r="AI70"/>
  <c r="AH70"/>
  <c r="AG70"/>
  <c r="AF70"/>
  <c r="AK69"/>
  <c r="AJ69"/>
  <c r="AI69"/>
  <c r="AH69"/>
  <c r="AG69"/>
  <c r="AF69"/>
  <c r="AK68"/>
  <c r="AJ68"/>
  <c r="AI68"/>
  <c r="AH68"/>
  <c r="AG68"/>
  <c r="AF68"/>
  <c r="AK67"/>
  <c r="AJ67"/>
  <c r="AI67"/>
  <c r="AH67"/>
  <c r="AG67"/>
  <c r="AF67"/>
  <c r="AK66"/>
  <c r="AJ66"/>
  <c r="AI66"/>
  <c r="AH66"/>
  <c r="AG66"/>
  <c r="AF66"/>
  <c r="AK65"/>
  <c r="AJ65"/>
  <c r="AI65"/>
  <c r="AH65"/>
  <c r="AG65"/>
  <c r="AF65"/>
  <c r="AK64"/>
  <c r="AJ64"/>
  <c r="AI64"/>
  <c r="AH64"/>
  <c r="AG64"/>
  <c r="AF64"/>
  <c r="AK63"/>
  <c r="AJ63"/>
  <c r="AI63"/>
  <c r="AH63"/>
  <c r="AG63"/>
  <c r="AF63"/>
  <c r="AK62"/>
  <c r="AJ62"/>
  <c r="AI62"/>
  <c r="AH62"/>
  <c r="AG62"/>
  <c r="AF62"/>
  <c r="AK61"/>
  <c r="AJ61"/>
  <c r="AI61"/>
  <c r="AH61"/>
  <c r="AG61"/>
  <c r="AF61"/>
  <c r="AK60"/>
  <c r="AJ60"/>
  <c r="AI60"/>
  <c r="AH60"/>
  <c r="AG60"/>
  <c r="AF60"/>
  <c r="AK59"/>
  <c r="AJ59"/>
  <c r="AI59"/>
  <c r="AH59"/>
  <c r="AG59"/>
  <c r="AF59"/>
  <c r="AK58"/>
  <c r="AJ58"/>
  <c r="AI58"/>
  <c r="AH58"/>
  <c r="AG58"/>
  <c r="AF58"/>
  <c r="AK57"/>
  <c r="AJ57"/>
  <c r="AI57"/>
  <c r="AH57"/>
  <c r="AG57"/>
  <c r="AF57"/>
  <c r="AK56"/>
  <c r="AJ56"/>
  <c r="AI56"/>
  <c r="AH56"/>
  <c r="AG56"/>
  <c r="AF56"/>
  <c r="AK55"/>
  <c r="AJ55"/>
  <c r="AI55"/>
  <c r="AH55"/>
  <c r="AG55"/>
  <c r="AF55"/>
  <c r="AK54"/>
  <c r="AJ54"/>
  <c r="AI54"/>
  <c r="AH54"/>
  <c r="AG54"/>
  <c r="AF54"/>
  <c r="AK53"/>
  <c r="AJ53"/>
  <c r="AI53"/>
  <c r="AH53"/>
  <c r="AG53"/>
  <c r="AF53"/>
  <c r="AK52"/>
  <c r="AJ52"/>
  <c r="AI52"/>
  <c r="AH52"/>
  <c r="AG52"/>
  <c r="AF52"/>
  <c r="AK51"/>
  <c r="AJ51"/>
  <c r="AI51"/>
  <c r="AH51"/>
  <c r="AG51"/>
  <c r="AF51"/>
  <c r="AK50"/>
  <c r="AJ50"/>
  <c r="AI50"/>
  <c r="AH50"/>
  <c r="AG50"/>
  <c r="AF50"/>
  <c r="AK49"/>
  <c r="AJ49"/>
  <c r="AI49"/>
  <c r="AH49"/>
  <c r="AG49"/>
  <c r="AF49"/>
  <c r="AK48"/>
  <c r="AJ48"/>
  <c r="AI48"/>
  <c r="AH48"/>
  <c r="AG48"/>
  <c r="AF48"/>
  <c r="AK47"/>
  <c r="AJ47"/>
  <c r="AI47"/>
  <c r="AH47"/>
  <c r="AG47"/>
  <c r="AF47"/>
  <c r="AK44"/>
  <c r="AJ44"/>
  <c r="AI44"/>
  <c r="AH44"/>
  <c r="AG44"/>
  <c r="AF44"/>
  <c r="AF2"/>
  <c r="AG2"/>
  <c r="AH2"/>
  <c r="AI2"/>
  <c r="AJ2"/>
  <c r="AK2"/>
  <c r="CK3"/>
  <c r="CK4"/>
  <c r="BT5"/>
  <c r="BZ5"/>
  <c r="BU6"/>
  <c r="CA6"/>
  <c r="BV7"/>
  <c r="CB7"/>
  <c r="BT8"/>
  <c r="CC8"/>
  <c r="BT9"/>
  <c r="CL9" s="1"/>
  <c r="BU10"/>
  <c r="BV11"/>
  <c r="CK12"/>
  <c r="CK13"/>
  <c r="CK14"/>
  <c r="CK15"/>
  <c r="CK16"/>
  <c r="CK17"/>
  <c r="BT22"/>
  <c r="BU23"/>
  <c r="CL23" s="1"/>
  <c r="CK23"/>
  <c r="CK24"/>
  <c r="BO25"/>
  <c r="CK25"/>
  <c r="N39"/>
  <c r="O28"/>
  <c r="N3"/>
  <c r="O3"/>
  <c r="P3"/>
  <c r="AR3"/>
  <c r="N4"/>
  <c r="O4"/>
  <c r="P4"/>
  <c r="AT4" s="1"/>
  <c r="AU4" s="1"/>
  <c r="AV4" s="1"/>
  <c r="AR4"/>
  <c r="N5"/>
  <c r="O5"/>
  <c r="P5"/>
  <c r="AT5" s="1"/>
  <c r="AU5" s="1"/>
  <c r="AV5" s="1"/>
  <c r="AR5"/>
  <c r="N6"/>
  <c r="O6"/>
  <c r="P6"/>
  <c r="AT6" s="1"/>
  <c r="AU6" s="1"/>
  <c r="AV6" s="1"/>
  <c r="AR6"/>
  <c r="N7"/>
  <c r="O7"/>
  <c r="P7"/>
  <c r="AR7"/>
  <c r="N8"/>
  <c r="O8"/>
  <c r="P8"/>
  <c r="AR8"/>
  <c r="N9"/>
  <c r="O9"/>
  <c r="P9"/>
  <c r="AR9"/>
  <c r="N10"/>
  <c r="O10"/>
  <c r="P10"/>
  <c r="AR10"/>
  <c r="N11"/>
  <c r="O11"/>
  <c r="P11"/>
  <c r="AR11"/>
  <c r="N12"/>
  <c r="O12"/>
  <c r="P12"/>
  <c r="AR12"/>
  <c r="N13"/>
  <c r="O13"/>
  <c r="P13"/>
  <c r="AT13" s="1"/>
  <c r="AU13" s="1"/>
  <c r="AV13" s="1"/>
  <c r="AR13"/>
  <c r="N14"/>
  <c r="O14"/>
  <c r="P14"/>
  <c r="AT14" s="1"/>
  <c r="AU14" s="1"/>
  <c r="AV14" s="1"/>
  <c r="AR14"/>
  <c r="N15"/>
  <c r="O15"/>
  <c r="P15"/>
  <c r="AR15"/>
  <c r="N16"/>
  <c r="O16"/>
  <c r="P16"/>
  <c r="AR16"/>
  <c r="N17"/>
  <c r="O17"/>
  <c r="P17"/>
  <c r="AT17" s="1"/>
  <c r="AU17" s="1"/>
  <c r="AV17" s="1"/>
  <c r="AR17"/>
  <c r="N18"/>
  <c r="O18"/>
  <c r="P18"/>
  <c r="AT18" s="1"/>
  <c r="AU18" s="1"/>
  <c r="AV18" s="1"/>
  <c r="AR18"/>
  <c r="P19"/>
  <c r="AR19"/>
  <c r="N20"/>
  <c r="O20"/>
  <c r="P20"/>
  <c r="AR20"/>
  <c r="N21"/>
  <c r="O21"/>
  <c r="P21"/>
  <c r="AT21" s="1"/>
  <c r="AU21" s="1"/>
  <c r="AV21" s="1"/>
  <c r="AR21"/>
  <c r="P22"/>
  <c r="AT22" s="1"/>
  <c r="AU22" s="1"/>
  <c r="AV22" s="1"/>
  <c r="AR22"/>
  <c r="P23"/>
  <c r="AR23"/>
  <c r="P24"/>
  <c r="AT24" s="1"/>
  <c r="AU24" s="1"/>
  <c r="AV24" s="1"/>
  <c r="AR24"/>
  <c r="N25"/>
  <c r="O25"/>
  <c r="P25"/>
  <c r="AR25"/>
  <c r="N26"/>
  <c r="O26"/>
  <c r="P26"/>
  <c r="AT26" s="1"/>
  <c r="AU26" s="1"/>
  <c r="AV26" s="1"/>
  <c r="AR26"/>
  <c r="P27"/>
  <c r="AR27"/>
  <c r="P28"/>
  <c r="AT28" s="1"/>
  <c r="AU28" s="1"/>
  <c r="AV28" s="1"/>
  <c r="AR28"/>
  <c r="P29"/>
  <c r="AT29" s="1"/>
  <c r="AU29" s="1"/>
  <c r="AV29" s="1"/>
  <c r="AR29"/>
  <c r="N30"/>
  <c r="O30"/>
  <c r="P30"/>
  <c r="AT30" s="1"/>
  <c r="AU30" s="1"/>
  <c r="AV30" s="1"/>
  <c r="AR30"/>
  <c r="N31"/>
  <c r="O31"/>
  <c r="P31"/>
  <c r="AR31"/>
  <c r="N32"/>
  <c r="O32"/>
  <c r="P32"/>
  <c r="AT32" s="1"/>
  <c r="AU32" s="1"/>
  <c r="AV32" s="1"/>
  <c r="AR32"/>
  <c r="N33"/>
  <c r="O33"/>
  <c r="P33"/>
  <c r="AT33" s="1"/>
  <c r="AU33" s="1"/>
  <c r="AV33" s="1"/>
  <c r="AR33"/>
  <c r="N34"/>
  <c r="O34"/>
  <c r="P34"/>
  <c r="AT34" s="1"/>
  <c r="AR34"/>
  <c r="P35"/>
  <c r="AR35"/>
  <c r="P36"/>
  <c r="AT36" s="1"/>
  <c r="AR36"/>
  <c r="N37"/>
  <c r="O37"/>
  <c r="P37"/>
  <c r="AR37"/>
  <c r="N38"/>
  <c r="O38"/>
  <c r="P38"/>
  <c r="AT38" s="1"/>
  <c r="AR38"/>
  <c r="P39"/>
  <c r="AR39"/>
  <c r="N40"/>
  <c r="O40"/>
  <c r="P40"/>
  <c r="AR40"/>
  <c r="N41"/>
  <c r="O41"/>
  <c r="P41"/>
  <c r="AT41" s="1"/>
  <c r="AR41"/>
  <c r="N42"/>
  <c r="O42"/>
  <c r="P42"/>
  <c r="AT42" s="1"/>
  <c r="AR42"/>
  <c r="P43"/>
  <c r="AR43"/>
  <c r="P44"/>
  <c r="AT44" s="1"/>
  <c r="AR44"/>
  <c r="N45"/>
  <c r="O45"/>
  <c r="P45"/>
  <c r="AR45"/>
  <c r="N46"/>
  <c r="O46"/>
  <c r="P46"/>
  <c r="AT46" s="1"/>
  <c r="AR46"/>
  <c r="P47"/>
  <c r="AR47"/>
  <c r="N48"/>
  <c r="O48"/>
  <c r="P48"/>
  <c r="R48"/>
  <c r="S48"/>
  <c r="V48"/>
  <c r="W48"/>
  <c r="X48"/>
  <c r="Y48"/>
  <c r="Z48"/>
  <c r="AA48"/>
  <c r="AB48"/>
  <c r="AC48"/>
  <c r="AD48"/>
  <c r="AE48"/>
  <c r="AR48"/>
  <c r="N49"/>
  <c r="O49"/>
  <c r="P49"/>
  <c r="AW49" s="1"/>
  <c r="R49"/>
  <c r="S49"/>
  <c r="V49"/>
  <c r="W49"/>
  <c r="X49"/>
  <c r="Y49"/>
  <c r="Z49"/>
  <c r="AA49"/>
  <c r="AB49"/>
  <c r="AC49"/>
  <c r="AD49"/>
  <c r="AE49"/>
  <c r="AR49"/>
  <c r="AT49"/>
  <c r="AU49" s="1"/>
  <c r="AV49" s="1"/>
  <c r="N50"/>
  <c r="O50"/>
  <c r="P50"/>
  <c r="E50" s="1"/>
  <c r="R50"/>
  <c r="S50"/>
  <c r="V50"/>
  <c r="W50"/>
  <c r="X50"/>
  <c r="Y50"/>
  <c r="Z50"/>
  <c r="AA50"/>
  <c r="AB50"/>
  <c r="AC50"/>
  <c r="AD50"/>
  <c r="AE50"/>
  <c r="AR50"/>
  <c r="N51"/>
  <c r="O51"/>
  <c r="P51"/>
  <c r="R51"/>
  <c r="S51"/>
  <c r="V51"/>
  <c r="W51"/>
  <c r="X51"/>
  <c r="Y51"/>
  <c r="Z51"/>
  <c r="AA51"/>
  <c r="AB51"/>
  <c r="AC51"/>
  <c r="AD51"/>
  <c r="AE51"/>
  <c r="AR51"/>
  <c r="N52"/>
  <c r="O52"/>
  <c r="P52"/>
  <c r="AL52" s="1"/>
  <c r="R52"/>
  <c r="S52"/>
  <c r="V52"/>
  <c r="W52"/>
  <c r="X52"/>
  <c r="Y52"/>
  <c r="Z52"/>
  <c r="AA52"/>
  <c r="AB52"/>
  <c r="AC52"/>
  <c r="AD52"/>
  <c r="AE52"/>
  <c r="AR52"/>
  <c r="AT52"/>
  <c r="AU52" s="1"/>
  <c r="AV52" s="1"/>
  <c r="N53"/>
  <c r="O53"/>
  <c r="P53"/>
  <c r="AW53" s="1"/>
  <c r="R53"/>
  <c r="S53"/>
  <c r="V53"/>
  <c r="W53"/>
  <c r="X53"/>
  <c r="Y53"/>
  <c r="Z53"/>
  <c r="AA53"/>
  <c r="AB53"/>
  <c r="AC53"/>
  <c r="AD53"/>
  <c r="AE53"/>
  <c r="AL53"/>
  <c r="AR53"/>
  <c r="AT53"/>
  <c r="AU53" s="1"/>
  <c r="AV53" s="1"/>
  <c r="N54"/>
  <c r="O54"/>
  <c r="P54"/>
  <c r="AL54" s="1"/>
  <c r="R54"/>
  <c r="S54"/>
  <c r="V54"/>
  <c r="W54"/>
  <c r="X54"/>
  <c r="Y54"/>
  <c r="Z54"/>
  <c r="AA54"/>
  <c r="AB54"/>
  <c r="AC54"/>
  <c r="AD54"/>
  <c r="AE54"/>
  <c r="AR54"/>
  <c r="N55"/>
  <c r="O55"/>
  <c r="P55"/>
  <c r="AW55" s="1"/>
  <c r="R55"/>
  <c r="S55"/>
  <c r="V55"/>
  <c r="W55"/>
  <c r="X55"/>
  <c r="Y55"/>
  <c r="Z55"/>
  <c r="AA55"/>
  <c r="AB55"/>
  <c r="AC55"/>
  <c r="AD55"/>
  <c r="AE55"/>
  <c r="AR55"/>
  <c r="N56"/>
  <c r="O56"/>
  <c r="P56"/>
  <c r="AM56" s="1"/>
  <c r="AN56" s="1"/>
  <c r="AO56" s="1"/>
  <c r="R56"/>
  <c r="S56"/>
  <c r="V56"/>
  <c r="W56"/>
  <c r="X56"/>
  <c r="Y56"/>
  <c r="Z56"/>
  <c r="AA56"/>
  <c r="AB56"/>
  <c r="AC56"/>
  <c r="AD56"/>
  <c r="AE56"/>
  <c r="AR56"/>
  <c r="N57"/>
  <c r="O57"/>
  <c r="P57"/>
  <c r="AW57" s="1"/>
  <c r="R57"/>
  <c r="S57"/>
  <c r="V57"/>
  <c r="W57"/>
  <c r="X57"/>
  <c r="Y57"/>
  <c r="Z57"/>
  <c r="AA57"/>
  <c r="AB57"/>
  <c r="AC57"/>
  <c r="AD57"/>
  <c r="AE57"/>
  <c r="AR57"/>
  <c r="N58"/>
  <c r="O58"/>
  <c r="P58"/>
  <c r="AT58" s="1"/>
  <c r="AU58" s="1"/>
  <c r="AV58" s="1"/>
  <c r="R58"/>
  <c r="S58"/>
  <c r="V58"/>
  <c r="W58"/>
  <c r="X58"/>
  <c r="Y58"/>
  <c r="Z58"/>
  <c r="AA58"/>
  <c r="AB58"/>
  <c r="AC58"/>
  <c r="AD58"/>
  <c r="AE58"/>
  <c r="AR58"/>
  <c r="N59"/>
  <c r="O59"/>
  <c r="P59"/>
  <c r="AW59" s="1"/>
  <c r="R59"/>
  <c r="S59"/>
  <c r="V59"/>
  <c r="W59"/>
  <c r="X59"/>
  <c r="Y59"/>
  <c r="Z59"/>
  <c r="AA59"/>
  <c r="AB59"/>
  <c r="AC59"/>
  <c r="AD59"/>
  <c r="AE59"/>
  <c r="AR59"/>
  <c r="N60"/>
  <c r="O60"/>
  <c r="P60"/>
  <c r="AT60" s="1"/>
  <c r="AU60" s="1"/>
  <c r="AV60" s="1"/>
  <c r="R60"/>
  <c r="S60"/>
  <c r="V60"/>
  <c r="W60"/>
  <c r="X60"/>
  <c r="Y60"/>
  <c r="Z60"/>
  <c r="AA60"/>
  <c r="AB60"/>
  <c r="AC60"/>
  <c r="AD60"/>
  <c r="AE60"/>
  <c r="AR60"/>
  <c r="N61"/>
  <c r="O61"/>
  <c r="P61"/>
  <c r="AW61" s="1"/>
  <c r="R61"/>
  <c r="S61"/>
  <c r="V61"/>
  <c r="W61"/>
  <c r="X61"/>
  <c r="Y61"/>
  <c r="Z61"/>
  <c r="AA61"/>
  <c r="AB61"/>
  <c r="AC61"/>
  <c r="AD61"/>
  <c r="AE61"/>
  <c r="AR61"/>
  <c r="AS61"/>
  <c r="N62"/>
  <c r="O62"/>
  <c r="P62"/>
  <c r="AL62" s="1"/>
  <c r="R62"/>
  <c r="S62"/>
  <c r="V62"/>
  <c r="W62"/>
  <c r="X62"/>
  <c r="Y62"/>
  <c r="Z62"/>
  <c r="AA62"/>
  <c r="AB62"/>
  <c r="AC62"/>
  <c r="AD62"/>
  <c r="AE62"/>
  <c r="AR62"/>
  <c r="N63"/>
  <c r="O63"/>
  <c r="P63"/>
  <c r="R63"/>
  <c r="S63"/>
  <c r="V63"/>
  <c r="W63"/>
  <c r="X63"/>
  <c r="Y63"/>
  <c r="Z63"/>
  <c r="AA63"/>
  <c r="AB63"/>
  <c r="AC63"/>
  <c r="AD63"/>
  <c r="AE63"/>
  <c r="AR63"/>
  <c r="N64"/>
  <c r="O64"/>
  <c r="P64"/>
  <c r="R64"/>
  <c r="S64"/>
  <c r="V64"/>
  <c r="W64"/>
  <c r="X64"/>
  <c r="Y64"/>
  <c r="Z64"/>
  <c r="AA64"/>
  <c r="AB64"/>
  <c r="AC64"/>
  <c r="AD64"/>
  <c r="AE64"/>
  <c r="AR64"/>
  <c r="N65"/>
  <c r="O65"/>
  <c r="P65"/>
  <c r="AM65" s="1"/>
  <c r="AN65" s="1"/>
  <c r="AO65" s="1"/>
  <c r="R65"/>
  <c r="S65"/>
  <c r="V65"/>
  <c r="W65"/>
  <c r="X65"/>
  <c r="Y65"/>
  <c r="Z65"/>
  <c r="AA65"/>
  <c r="AB65"/>
  <c r="AC65"/>
  <c r="AD65"/>
  <c r="AE65"/>
  <c r="AR65"/>
  <c r="N66"/>
  <c r="O66"/>
  <c r="P66"/>
  <c r="AL66" s="1"/>
  <c r="R66"/>
  <c r="S66"/>
  <c r="V66"/>
  <c r="W66"/>
  <c r="X66"/>
  <c r="Y66"/>
  <c r="Z66"/>
  <c r="AA66"/>
  <c r="AB66"/>
  <c r="AC66"/>
  <c r="AD66"/>
  <c r="AE66"/>
  <c r="AR66"/>
  <c r="N67"/>
  <c r="O67"/>
  <c r="P67"/>
  <c r="AS67" s="1"/>
  <c r="R67"/>
  <c r="S67"/>
  <c r="V67"/>
  <c r="W67"/>
  <c r="X67"/>
  <c r="Y67"/>
  <c r="Z67"/>
  <c r="AA67"/>
  <c r="AB67"/>
  <c r="AC67"/>
  <c r="AD67"/>
  <c r="AE67"/>
  <c r="AR67"/>
  <c r="N68"/>
  <c r="O68"/>
  <c r="P68"/>
  <c r="AT68" s="1"/>
  <c r="AU68" s="1"/>
  <c r="AV68" s="1"/>
  <c r="R68"/>
  <c r="S68"/>
  <c r="V68"/>
  <c r="W68"/>
  <c r="X68"/>
  <c r="Y68"/>
  <c r="Z68"/>
  <c r="AA68"/>
  <c r="AB68"/>
  <c r="AC68"/>
  <c r="AD68"/>
  <c r="AE68"/>
  <c r="AR68"/>
  <c r="N69"/>
  <c r="O69"/>
  <c r="P69"/>
  <c r="AM69" s="1"/>
  <c r="AN69" s="1"/>
  <c r="AO69" s="1"/>
  <c r="R69"/>
  <c r="S69"/>
  <c r="V69"/>
  <c r="W69"/>
  <c r="X69"/>
  <c r="Y69"/>
  <c r="Z69"/>
  <c r="AA69"/>
  <c r="AB69"/>
  <c r="AC69"/>
  <c r="AD69"/>
  <c r="AE69"/>
  <c r="AR69"/>
  <c r="N70"/>
  <c r="O70"/>
  <c r="P70"/>
  <c r="AT70" s="1"/>
  <c r="AU70" s="1"/>
  <c r="AV70" s="1"/>
  <c r="R70"/>
  <c r="S70"/>
  <c r="V70"/>
  <c r="W70"/>
  <c r="X70"/>
  <c r="Y70"/>
  <c r="Z70"/>
  <c r="AA70"/>
  <c r="AB70"/>
  <c r="AC70"/>
  <c r="AD70"/>
  <c r="AE70"/>
  <c r="AR70"/>
  <c r="N71"/>
  <c r="O71"/>
  <c r="P71"/>
  <c r="AT71" s="1"/>
  <c r="AU71" s="1"/>
  <c r="AV71" s="1"/>
  <c r="R71"/>
  <c r="S71"/>
  <c r="V71"/>
  <c r="W71"/>
  <c r="X71"/>
  <c r="Y71"/>
  <c r="Z71"/>
  <c r="AA71"/>
  <c r="AB71"/>
  <c r="AC71"/>
  <c r="AD71"/>
  <c r="AE71"/>
  <c r="AR71"/>
  <c r="N72"/>
  <c r="O72"/>
  <c r="P72"/>
  <c r="R72"/>
  <c r="S72"/>
  <c r="V72"/>
  <c r="W72"/>
  <c r="X72"/>
  <c r="Y72"/>
  <c r="Z72"/>
  <c r="AA72"/>
  <c r="AB72"/>
  <c r="AC72"/>
  <c r="AD72"/>
  <c r="AE72"/>
  <c r="AR72"/>
  <c r="N73"/>
  <c r="O73"/>
  <c r="P73"/>
  <c r="AM73" s="1"/>
  <c r="AN73" s="1"/>
  <c r="AO73" s="1"/>
  <c r="R73"/>
  <c r="S73"/>
  <c r="V73"/>
  <c r="W73"/>
  <c r="X73"/>
  <c r="Y73"/>
  <c r="Z73"/>
  <c r="AA73"/>
  <c r="AB73"/>
  <c r="AC73"/>
  <c r="AD73"/>
  <c r="AE73"/>
  <c r="AR73"/>
  <c r="N74"/>
  <c r="O74"/>
  <c r="P74"/>
  <c r="AL74" s="1"/>
  <c r="R74"/>
  <c r="S74"/>
  <c r="V74"/>
  <c r="W74"/>
  <c r="X74"/>
  <c r="Y74"/>
  <c r="Z74"/>
  <c r="AA74"/>
  <c r="AB74"/>
  <c r="AC74"/>
  <c r="AD74"/>
  <c r="AE74"/>
  <c r="AR74"/>
  <c r="N75"/>
  <c r="O75"/>
  <c r="P75"/>
  <c r="AS75" s="1"/>
  <c r="R75"/>
  <c r="S75"/>
  <c r="V75"/>
  <c r="W75"/>
  <c r="X75"/>
  <c r="Y75"/>
  <c r="Z75"/>
  <c r="AA75"/>
  <c r="AB75"/>
  <c r="AC75"/>
  <c r="AD75"/>
  <c r="AE75"/>
  <c r="AR75"/>
  <c r="N76"/>
  <c r="O76"/>
  <c r="P76"/>
  <c r="AM76" s="1"/>
  <c r="AN76" s="1"/>
  <c r="AO76" s="1"/>
  <c r="R76"/>
  <c r="S76"/>
  <c r="V76"/>
  <c r="W76"/>
  <c r="X76"/>
  <c r="Y76"/>
  <c r="Z76"/>
  <c r="AA76"/>
  <c r="AB76"/>
  <c r="AC76"/>
  <c r="AD76"/>
  <c r="AE76"/>
  <c r="AR76"/>
  <c r="N77"/>
  <c r="O77"/>
  <c r="P77"/>
  <c r="AM77" s="1"/>
  <c r="AN77" s="1"/>
  <c r="AO77" s="1"/>
  <c r="R77"/>
  <c r="S77"/>
  <c r="V77"/>
  <c r="W77"/>
  <c r="X77"/>
  <c r="Y77"/>
  <c r="Z77"/>
  <c r="AA77"/>
  <c r="AB77"/>
  <c r="AC77"/>
  <c r="AD77"/>
  <c r="AE77"/>
  <c r="AR77"/>
  <c r="N78"/>
  <c r="O78"/>
  <c r="P78"/>
  <c r="AT78" s="1"/>
  <c r="AU78" s="1"/>
  <c r="AV78" s="1"/>
  <c r="R78"/>
  <c r="S78"/>
  <c r="V78"/>
  <c r="W78"/>
  <c r="X78"/>
  <c r="Y78"/>
  <c r="Z78"/>
  <c r="AA78"/>
  <c r="AB78"/>
  <c r="AC78"/>
  <c r="AD78"/>
  <c r="AE78"/>
  <c r="AR78"/>
  <c r="N79"/>
  <c r="O79"/>
  <c r="P79"/>
  <c r="AT79" s="1"/>
  <c r="AU79" s="1"/>
  <c r="AV79" s="1"/>
  <c r="R79"/>
  <c r="S79"/>
  <c r="V79"/>
  <c r="W79"/>
  <c r="X79"/>
  <c r="Y79"/>
  <c r="Z79"/>
  <c r="AA79"/>
  <c r="AB79"/>
  <c r="AC79"/>
  <c r="AD79"/>
  <c r="AE79"/>
  <c r="AR79"/>
  <c r="N80"/>
  <c r="O80"/>
  <c r="P80"/>
  <c r="R80"/>
  <c r="S80"/>
  <c r="V80"/>
  <c r="W80"/>
  <c r="X80"/>
  <c r="Y80"/>
  <c r="Z80"/>
  <c r="AA80"/>
  <c r="AB80"/>
  <c r="AC80"/>
  <c r="AD80"/>
  <c r="AE80"/>
  <c r="AR80"/>
  <c r="N81"/>
  <c r="O81"/>
  <c r="P81"/>
  <c r="AM81" s="1"/>
  <c r="AN81" s="1"/>
  <c r="AO81" s="1"/>
  <c r="R81"/>
  <c r="S81"/>
  <c r="V81"/>
  <c r="W81"/>
  <c r="X81"/>
  <c r="Y81"/>
  <c r="Z81"/>
  <c r="AA81"/>
  <c r="AB81"/>
  <c r="AC81"/>
  <c r="AD81"/>
  <c r="AE81"/>
  <c r="AR81"/>
  <c r="N82"/>
  <c r="O82"/>
  <c r="P82"/>
  <c r="AL82" s="1"/>
  <c r="R82"/>
  <c r="S82"/>
  <c r="V82"/>
  <c r="W82"/>
  <c r="X82"/>
  <c r="Y82"/>
  <c r="Z82"/>
  <c r="AA82"/>
  <c r="AB82"/>
  <c r="AC82"/>
  <c r="AD82"/>
  <c r="AE82"/>
  <c r="AM82"/>
  <c r="AN82" s="1"/>
  <c r="AO82" s="1"/>
  <c r="AR82"/>
  <c r="AT82"/>
  <c r="AU82" s="1"/>
  <c r="AV82" s="1"/>
  <c r="N83"/>
  <c r="O83"/>
  <c r="P83"/>
  <c r="AS83" s="1"/>
  <c r="R83"/>
  <c r="S83"/>
  <c r="V83"/>
  <c r="W83"/>
  <c r="X83"/>
  <c r="Y83"/>
  <c r="Z83"/>
  <c r="AA83"/>
  <c r="AB83"/>
  <c r="AC83"/>
  <c r="AD83"/>
  <c r="AE83"/>
  <c r="AR83"/>
  <c r="AW83"/>
  <c r="N84"/>
  <c r="O84"/>
  <c r="P84"/>
  <c r="AM84" s="1"/>
  <c r="AN84" s="1"/>
  <c r="AO84" s="1"/>
  <c r="R84"/>
  <c r="S84"/>
  <c r="V84"/>
  <c r="W84"/>
  <c r="X84"/>
  <c r="Y84"/>
  <c r="Z84"/>
  <c r="AA84"/>
  <c r="AB84"/>
  <c r="AC84"/>
  <c r="AD84"/>
  <c r="AE84"/>
  <c r="AR84"/>
  <c r="N85"/>
  <c r="O85"/>
  <c r="P85"/>
  <c r="AM85" s="1"/>
  <c r="AN85" s="1"/>
  <c r="AO85" s="1"/>
  <c r="R85"/>
  <c r="S85"/>
  <c r="V85"/>
  <c r="W85"/>
  <c r="X85"/>
  <c r="Y85"/>
  <c r="Z85"/>
  <c r="AA85"/>
  <c r="AB85"/>
  <c r="AC85"/>
  <c r="AD85"/>
  <c r="AE85"/>
  <c r="AR85"/>
  <c r="N86"/>
  <c r="O86"/>
  <c r="P86"/>
  <c r="AT86" s="1"/>
  <c r="AU86" s="1"/>
  <c r="AV86" s="1"/>
  <c r="R86"/>
  <c r="S86"/>
  <c r="V86"/>
  <c r="W86"/>
  <c r="X86"/>
  <c r="Y86"/>
  <c r="Z86"/>
  <c r="AA86"/>
  <c r="AB86"/>
  <c r="AC86"/>
  <c r="AD86"/>
  <c r="AE86"/>
  <c r="AR86"/>
  <c r="N87"/>
  <c r="O87"/>
  <c r="P87"/>
  <c r="AT87" s="1"/>
  <c r="AU87" s="1"/>
  <c r="AV87" s="1"/>
  <c r="R87"/>
  <c r="S87"/>
  <c r="V87"/>
  <c r="W87"/>
  <c r="X87"/>
  <c r="Y87"/>
  <c r="Z87"/>
  <c r="AA87"/>
  <c r="AB87"/>
  <c r="AC87"/>
  <c r="AD87"/>
  <c r="AE87"/>
  <c r="AR87"/>
  <c r="N88"/>
  <c r="O88"/>
  <c r="P88"/>
  <c r="R88"/>
  <c r="S88"/>
  <c r="V88"/>
  <c r="W88"/>
  <c r="X88"/>
  <c r="Y88"/>
  <c r="Z88"/>
  <c r="AA88"/>
  <c r="AB88"/>
  <c r="AC88"/>
  <c r="AD88"/>
  <c r="AE88"/>
  <c r="AR88"/>
  <c r="N89"/>
  <c r="O89"/>
  <c r="P89"/>
  <c r="AM89" s="1"/>
  <c r="AN89" s="1"/>
  <c r="AO89" s="1"/>
  <c r="R89"/>
  <c r="S89"/>
  <c r="V89"/>
  <c r="W89"/>
  <c r="X89"/>
  <c r="Y89"/>
  <c r="Z89"/>
  <c r="AA89"/>
  <c r="AB89"/>
  <c r="AC89"/>
  <c r="AD89"/>
  <c r="AE89"/>
  <c r="AR89"/>
  <c r="N90"/>
  <c r="O90"/>
  <c r="P90"/>
  <c r="AL90" s="1"/>
  <c r="R90"/>
  <c r="S90"/>
  <c r="V90"/>
  <c r="W90"/>
  <c r="X90"/>
  <c r="Y90"/>
  <c r="Z90"/>
  <c r="AA90"/>
  <c r="AB90"/>
  <c r="AC90"/>
  <c r="AD90"/>
  <c r="AE90"/>
  <c r="AR90"/>
  <c r="N91"/>
  <c r="O91"/>
  <c r="P91"/>
  <c r="AS91" s="1"/>
  <c r="R91"/>
  <c r="S91"/>
  <c r="V91"/>
  <c r="W91"/>
  <c r="X91"/>
  <c r="Y91"/>
  <c r="Z91"/>
  <c r="AA91"/>
  <c r="AB91"/>
  <c r="AC91"/>
  <c r="AD91"/>
  <c r="AE91"/>
  <c r="AR91"/>
  <c r="AW91"/>
  <c r="N92"/>
  <c r="O92"/>
  <c r="P92"/>
  <c r="AM92" s="1"/>
  <c r="AN92" s="1"/>
  <c r="AO92" s="1"/>
  <c r="R92"/>
  <c r="S92"/>
  <c r="V92"/>
  <c r="W92"/>
  <c r="X92"/>
  <c r="Y92"/>
  <c r="Z92"/>
  <c r="AA92"/>
  <c r="AB92"/>
  <c r="AC92"/>
  <c r="AD92"/>
  <c r="AE92"/>
  <c r="AR92"/>
  <c r="N93"/>
  <c r="O93"/>
  <c r="P93"/>
  <c r="AM93" s="1"/>
  <c r="AN93" s="1"/>
  <c r="AO93" s="1"/>
  <c r="R93"/>
  <c r="S93"/>
  <c r="V93"/>
  <c r="W93"/>
  <c r="X93"/>
  <c r="Y93"/>
  <c r="Z93"/>
  <c r="AA93"/>
  <c r="AB93"/>
  <c r="AC93"/>
  <c r="AD93"/>
  <c r="AE93"/>
  <c r="AR93"/>
  <c r="N94"/>
  <c r="O94"/>
  <c r="P94"/>
  <c r="AT94" s="1"/>
  <c r="AU94" s="1"/>
  <c r="AV94" s="1"/>
  <c r="R94"/>
  <c r="S94"/>
  <c r="V94"/>
  <c r="W94"/>
  <c r="X94"/>
  <c r="Y94"/>
  <c r="Z94"/>
  <c r="AA94"/>
  <c r="AB94"/>
  <c r="AC94"/>
  <c r="AD94"/>
  <c r="AE94"/>
  <c r="AR94"/>
  <c r="N95"/>
  <c r="O95"/>
  <c r="P95"/>
  <c r="AT95" s="1"/>
  <c r="AU95" s="1"/>
  <c r="AV95" s="1"/>
  <c r="R95"/>
  <c r="S95"/>
  <c r="V95"/>
  <c r="W95"/>
  <c r="X95"/>
  <c r="Y95"/>
  <c r="Z95"/>
  <c r="AA95"/>
  <c r="AB95"/>
  <c r="AC95"/>
  <c r="AD95"/>
  <c r="AE95"/>
  <c r="AR95"/>
  <c r="N96"/>
  <c r="O96"/>
  <c r="P96"/>
  <c r="R96"/>
  <c r="S96"/>
  <c r="V96"/>
  <c r="W96"/>
  <c r="X96"/>
  <c r="Y96"/>
  <c r="Z96"/>
  <c r="AA96"/>
  <c r="AB96"/>
  <c r="AC96"/>
  <c r="AD96"/>
  <c r="AE96"/>
  <c r="AR96"/>
  <c r="N97"/>
  <c r="O97"/>
  <c r="P97"/>
  <c r="AM97" s="1"/>
  <c r="AN97" s="1"/>
  <c r="AO97" s="1"/>
  <c r="R97"/>
  <c r="S97"/>
  <c r="V97"/>
  <c r="W97"/>
  <c r="X97"/>
  <c r="Y97"/>
  <c r="Z97"/>
  <c r="AA97"/>
  <c r="AB97"/>
  <c r="AC97"/>
  <c r="AD97"/>
  <c r="AE97"/>
  <c r="AR97"/>
  <c r="AT97"/>
  <c r="AU97" s="1"/>
  <c r="AV97" s="1"/>
  <c r="N98"/>
  <c r="O98"/>
  <c r="P98"/>
  <c r="AL98" s="1"/>
  <c r="R98"/>
  <c r="S98"/>
  <c r="V98"/>
  <c r="W98"/>
  <c r="X98"/>
  <c r="Y98"/>
  <c r="Z98"/>
  <c r="AA98"/>
  <c r="AB98"/>
  <c r="AC98"/>
  <c r="AD98"/>
  <c r="AE98"/>
  <c r="AR98"/>
  <c r="N99"/>
  <c r="O99"/>
  <c r="P99"/>
  <c r="AS99" s="1"/>
  <c r="R99"/>
  <c r="S99"/>
  <c r="V99"/>
  <c r="W99"/>
  <c r="X99"/>
  <c r="Y99"/>
  <c r="Z99"/>
  <c r="AA99"/>
  <c r="AB99"/>
  <c r="AC99"/>
  <c r="AD99"/>
  <c r="AE99"/>
  <c r="AR99"/>
  <c r="N100"/>
  <c r="O100"/>
  <c r="P100"/>
  <c r="E100" s="1"/>
  <c r="R100"/>
  <c r="S100"/>
  <c r="V100"/>
  <c r="W100"/>
  <c r="X100"/>
  <c r="Y100"/>
  <c r="Z100"/>
  <c r="AA100"/>
  <c r="AB100"/>
  <c r="AC100"/>
  <c r="AD100"/>
  <c r="AE100"/>
  <c r="AR100"/>
  <c r="N101"/>
  <c r="O101"/>
  <c r="P101"/>
  <c r="AM101" s="1"/>
  <c r="AN101" s="1"/>
  <c r="AO101" s="1"/>
  <c r="R101"/>
  <c r="S101"/>
  <c r="V101"/>
  <c r="W101"/>
  <c r="X101"/>
  <c r="Y101"/>
  <c r="Z101"/>
  <c r="AA101"/>
  <c r="AB101"/>
  <c r="AC101"/>
  <c r="AD101"/>
  <c r="AE101"/>
  <c r="AR101"/>
  <c r="N102"/>
  <c r="O102"/>
  <c r="P102"/>
  <c r="AT102" s="1"/>
  <c r="AU102" s="1"/>
  <c r="AV102" s="1"/>
  <c r="R102"/>
  <c r="S102"/>
  <c r="V102"/>
  <c r="W102"/>
  <c r="X102"/>
  <c r="Y102"/>
  <c r="Z102"/>
  <c r="AA102"/>
  <c r="AB102"/>
  <c r="AC102"/>
  <c r="AD102"/>
  <c r="AE102"/>
  <c r="AR102"/>
  <c r="N103"/>
  <c r="O103"/>
  <c r="P103"/>
  <c r="AT103" s="1"/>
  <c r="AU103" s="1"/>
  <c r="AV103" s="1"/>
  <c r="R103"/>
  <c r="S103"/>
  <c r="V103"/>
  <c r="W103"/>
  <c r="X103"/>
  <c r="Y103"/>
  <c r="Z103"/>
  <c r="AA103"/>
  <c r="AB103"/>
  <c r="AC103"/>
  <c r="AD103"/>
  <c r="AE103"/>
  <c r="AR103"/>
  <c r="N104"/>
  <c r="O104"/>
  <c r="P104"/>
  <c r="E104" s="1"/>
  <c r="R104"/>
  <c r="S104"/>
  <c r="V104"/>
  <c r="W104"/>
  <c r="X104"/>
  <c r="Y104"/>
  <c r="Z104"/>
  <c r="AA104"/>
  <c r="AB104"/>
  <c r="AC104"/>
  <c r="AD104"/>
  <c r="AE104"/>
  <c r="AR104"/>
  <c r="N105"/>
  <c r="O105"/>
  <c r="P105"/>
  <c r="AM105" s="1"/>
  <c r="AN105" s="1"/>
  <c r="AO105" s="1"/>
  <c r="R105"/>
  <c r="S105"/>
  <c r="V105"/>
  <c r="W105"/>
  <c r="X105"/>
  <c r="Y105"/>
  <c r="Z105"/>
  <c r="AA105"/>
  <c r="AB105"/>
  <c r="AC105"/>
  <c r="AD105"/>
  <c r="AE105"/>
  <c r="AR105"/>
  <c r="AT105"/>
  <c r="AU105" s="1"/>
  <c r="AV105" s="1"/>
  <c r="N106"/>
  <c r="O106"/>
  <c r="P106"/>
  <c r="AL106" s="1"/>
  <c r="R106"/>
  <c r="S106"/>
  <c r="V106"/>
  <c r="W106"/>
  <c r="X106"/>
  <c r="Y106"/>
  <c r="Z106"/>
  <c r="AA106"/>
  <c r="AB106"/>
  <c r="AC106"/>
  <c r="AD106"/>
  <c r="AE106"/>
  <c r="AR106"/>
  <c r="N107"/>
  <c r="O107"/>
  <c r="P107"/>
  <c r="AS107" s="1"/>
  <c r="R107"/>
  <c r="S107"/>
  <c r="V107"/>
  <c r="W107"/>
  <c r="X107"/>
  <c r="Y107"/>
  <c r="Z107"/>
  <c r="AA107"/>
  <c r="AB107"/>
  <c r="AC107"/>
  <c r="AD107"/>
  <c r="AE107"/>
  <c r="AL107"/>
  <c r="AR107"/>
  <c r="N108"/>
  <c r="O108"/>
  <c r="P108"/>
  <c r="E108" s="1"/>
  <c r="R108"/>
  <c r="S108"/>
  <c r="V108"/>
  <c r="W108"/>
  <c r="X108"/>
  <c r="Y108"/>
  <c r="Z108"/>
  <c r="AA108"/>
  <c r="AB108"/>
  <c r="AC108"/>
  <c r="AD108"/>
  <c r="AE108"/>
  <c r="AR108"/>
  <c r="N109"/>
  <c r="O109"/>
  <c r="P109"/>
  <c r="AM109" s="1"/>
  <c r="AN109" s="1"/>
  <c r="AO109" s="1"/>
  <c r="R109"/>
  <c r="S109"/>
  <c r="V109"/>
  <c r="W109"/>
  <c r="X109"/>
  <c r="Y109"/>
  <c r="Z109"/>
  <c r="AA109"/>
  <c r="AB109"/>
  <c r="AC109"/>
  <c r="AD109"/>
  <c r="AE109"/>
  <c r="AR109"/>
  <c r="N110"/>
  <c r="O110"/>
  <c r="P110"/>
  <c r="AT110" s="1"/>
  <c r="AU110" s="1"/>
  <c r="AV110" s="1"/>
  <c r="R110"/>
  <c r="S110"/>
  <c r="V110"/>
  <c r="W110"/>
  <c r="X110"/>
  <c r="Y110"/>
  <c r="Z110"/>
  <c r="AA110"/>
  <c r="AB110"/>
  <c r="AC110"/>
  <c r="AD110"/>
  <c r="AE110"/>
  <c r="AR110"/>
  <c r="N111"/>
  <c r="O111"/>
  <c r="P111"/>
  <c r="AT111" s="1"/>
  <c r="AU111" s="1"/>
  <c r="AV111" s="1"/>
  <c r="R111"/>
  <c r="S111"/>
  <c r="V111"/>
  <c r="W111"/>
  <c r="X111"/>
  <c r="Y111"/>
  <c r="Z111"/>
  <c r="AA111"/>
  <c r="AB111"/>
  <c r="AC111"/>
  <c r="AD111"/>
  <c r="AE111"/>
  <c r="AR111"/>
  <c r="N112"/>
  <c r="O112"/>
  <c r="P112"/>
  <c r="R112"/>
  <c r="S112"/>
  <c r="V112"/>
  <c r="W112"/>
  <c r="X112"/>
  <c r="Y112"/>
  <c r="Z112"/>
  <c r="AA112"/>
  <c r="AB112"/>
  <c r="AC112"/>
  <c r="AD112"/>
  <c r="AE112"/>
  <c r="AR112"/>
  <c r="N113"/>
  <c r="O113"/>
  <c r="P113"/>
  <c r="AM113" s="1"/>
  <c r="AN113" s="1"/>
  <c r="AO113" s="1"/>
  <c r="R113"/>
  <c r="S113"/>
  <c r="V113"/>
  <c r="W113"/>
  <c r="X113"/>
  <c r="Y113"/>
  <c r="Z113"/>
  <c r="AA113"/>
  <c r="AB113"/>
  <c r="AC113"/>
  <c r="AD113"/>
  <c r="AE113"/>
  <c r="AR113"/>
  <c r="AW113"/>
  <c r="N114"/>
  <c r="O114"/>
  <c r="P114"/>
  <c r="AL114" s="1"/>
  <c r="R114"/>
  <c r="S114"/>
  <c r="V114"/>
  <c r="W114"/>
  <c r="X114"/>
  <c r="Y114"/>
  <c r="Z114"/>
  <c r="AA114"/>
  <c r="AB114"/>
  <c r="AC114"/>
  <c r="AD114"/>
  <c r="AE114"/>
  <c r="AR114"/>
  <c r="N115"/>
  <c r="O115"/>
  <c r="P115"/>
  <c r="AS115" s="1"/>
  <c r="R115"/>
  <c r="S115"/>
  <c r="V115"/>
  <c r="W115"/>
  <c r="X115"/>
  <c r="Y115"/>
  <c r="Z115"/>
  <c r="AA115"/>
  <c r="AB115"/>
  <c r="AC115"/>
  <c r="AD115"/>
  <c r="AE115"/>
  <c r="AR115"/>
  <c r="AW115"/>
  <c r="N116"/>
  <c r="O116"/>
  <c r="P116"/>
  <c r="AM116" s="1"/>
  <c r="AN116" s="1"/>
  <c r="AO116" s="1"/>
  <c r="R116"/>
  <c r="S116"/>
  <c r="V116"/>
  <c r="W116"/>
  <c r="X116"/>
  <c r="Y116"/>
  <c r="Z116"/>
  <c r="AA116"/>
  <c r="AB116"/>
  <c r="AC116"/>
  <c r="AD116"/>
  <c r="AE116"/>
  <c r="AR116"/>
  <c r="N117"/>
  <c r="O117"/>
  <c r="P117"/>
  <c r="AM117" s="1"/>
  <c r="AN117" s="1"/>
  <c r="AO117" s="1"/>
  <c r="R117"/>
  <c r="S117"/>
  <c r="V117"/>
  <c r="W117"/>
  <c r="X117"/>
  <c r="Y117"/>
  <c r="Z117"/>
  <c r="AA117"/>
  <c r="AB117"/>
  <c r="AC117"/>
  <c r="AD117"/>
  <c r="AE117"/>
  <c r="AR117"/>
  <c r="N118"/>
  <c r="O118"/>
  <c r="P118"/>
  <c r="AT118" s="1"/>
  <c r="AU118" s="1"/>
  <c r="AV118" s="1"/>
  <c r="R118"/>
  <c r="S118"/>
  <c r="V118"/>
  <c r="W118"/>
  <c r="X118"/>
  <c r="Y118"/>
  <c r="Z118"/>
  <c r="AA118"/>
  <c r="AB118"/>
  <c r="AC118"/>
  <c r="AD118"/>
  <c r="AE118"/>
  <c r="AR118"/>
  <c r="N119"/>
  <c r="O119"/>
  <c r="P119"/>
  <c r="AT119" s="1"/>
  <c r="AU119" s="1"/>
  <c r="AV119" s="1"/>
  <c r="R119"/>
  <c r="S119"/>
  <c r="V119"/>
  <c r="W119"/>
  <c r="X119"/>
  <c r="Y119"/>
  <c r="Z119"/>
  <c r="AA119"/>
  <c r="AB119"/>
  <c r="AC119"/>
  <c r="AD119"/>
  <c r="AE119"/>
  <c r="AR119"/>
  <c r="N120"/>
  <c r="O120"/>
  <c r="P120"/>
  <c r="R120"/>
  <c r="S120"/>
  <c r="V120"/>
  <c r="W120"/>
  <c r="X120"/>
  <c r="Y120"/>
  <c r="Z120"/>
  <c r="AA120"/>
  <c r="AB120"/>
  <c r="AC120"/>
  <c r="AD120"/>
  <c r="AE120"/>
  <c r="AR120"/>
  <c r="E53"/>
  <c r="E57"/>
  <c r="E61"/>
  <c r="E72"/>
  <c r="E82"/>
  <c r="E97"/>
  <c r="E98"/>
  <c r="BH43"/>
  <c r="AZ38" l="1"/>
  <c r="AL83"/>
  <c r="AT81"/>
  <c r="AU81" s="1"/>
  <c r="AV81" s="1"/>
  <c r="AL49"/>
  <c r="CK9"/>
  <c r="E74"/>
  <c r="AT106"/>
  <c r="AU106" s="1"/>
  <c r="AV106" s="1"/>
  <c r="AW67"/>
  <c r="CL6"/>
  <c r="E114"/>
  <c r="E94"/>
  <c r="E49"/>
  <c r="CK8"/>
  <c r="CL8"/>
  <c r="AT113"/>
  <c r="AU113" s="1"/>
  <c r="AV113" s="1"/>
  <c r="AT89"/>
  <c r="AU89" s="1"/>
  <c r="AV89" s="1"/>
  <c r="AT65"/>
  <c r="AU65" s="1"/>
  <c r="AV65" s="1"/>
  <c r="AT37"/>
  <c r="CK5"/>
  <c r="CL5"/>
  <c r="E106"/>
  <c r="E66"/>
  <c r="E113"/>
  <c r="AL91"/>
  <c r="AM74"/>
  <c r="AN74" s="1"/>
  <c r="AO74" s="1"/>
  <c r="AQ74" s="1"/>
  <c r="CK10"/>
  <c r="CL10"/>
  <c r="CK11"/>
  <c r="CL11"/>
  <c r="E90"/>
  <c r="E52"/>
  <c r="AM106"/>
  <c r="AN106" s="1"/>
  <c r="AO106" s="1"/>
  <c r="AP106" s="1"/>
  <c r="AM52"/>
  <c r="AN52" s="1"/>
  <c r="AO52" s="1"/>
  <c r="AP52" s="1"/>
  <c r="CK6"/>
  <c r="CK7"/>
  <c r="CL7"/>
  <c r="O19"/>
  <c r="AL67"/>
  <c r="AT66"/>
  <c r="AU66" s="1"/>
  <c r="AV66" s="1"/>
  <c r="AW107"/>
  <c r="AL99"/>
  <c r="AT98"/>
  <c r="AU98" s="1"/>
  <c r="AV98" s="1"/>
  <c r="AM90"/>
  <c r="AN90" s="1"/>
  <c r="AO90" s="1"/>
  <c r="AQ90" s="1"/>
  <c r="AW75"/>
  <c r="AT61"/>
  <c r="AU61" s="1"/>
  <c r="AV61" s="1"/>
  <c r="AL57"/>
  <c r="E62"/>
  <c r="AW99"/>
  <c r="AT90"/>
  <c r="AU90" s="1"/>
  <c r="AV90" s="1"/>
  <c r="AS57"/>
  <c r="AS25"/>
  <c r="AM114"/>
  <c r="AN114" s="1"/>
  <c r="AO114" s="1"/>
  <c r="AP114" s="1"/>
  <c r="AT73"/>
  <c r="AU73" s="1"/>
  <c r="AV73" s="1"/>
  <c r="N35"/>
  <c r="E110"/>
  <c r="AL115"/>
  <c r="AT114"/>
  <c r="AU114" s="1"/>
  <c r="AV114" s="1"/>
  <c r="AW73"/>
  <c r="AM66"/>
  <c r="AN66" s="1"/>
  <c r="AO66" s="1"/>
  <c r="AP66" s="1"/>
  <c r="E76"/>
  <c r="AM98"/>
  <c r="AN98" s="1"/>
  <c r="AO98" s="1"/>
  <c r="AP98" s="1"/>
  <c r="AL75"/>
  <c r="AT74"/>
  <c r="AU74" s="1"/>
  <c r="AV74" s="1"/>
  <c r="AW65"/>
  <c r="N28"/>
  <c r="AW97"/>
  <c r="AW81"/>
  <c r="O39"/>
  <c r="E81"/>
  <c r="E65"/>
  <c r="O35"/>
  <c r="O27"/>
  <c r="AW89"/>
  <c r="E118"/>
  <c r="E84"/>
  <c r="E70"/>
  <c r="AL118"/>
  <c r="AL116"/>
  <c r="AL110"/>
  <c r="AL108"/>
  <c r="AL102"/>
  <c r="AL100"/>
  <c r="AL94"/>
  <c r="AL92"/>
  <c r="AL86"/>
  <c r="AL84"/>
  <c r="AL78"/>
  <c r="AL76"/>
  <c r="AL70"/>
  <c r="AL68"/>
  <c r="AS53"/>
  <c r="AT45"/>
  <c r="AT25"/>
  <c r="AU25" s="1"/>
  <c r="AV25" s="1"/>
  <c r="O22"/>
  <c r="N27"/>
  <c r="E105"/>
  <c r="E54"/>
  <c r="AM118"/>
  <c r="AN118" s="1"/>
  <c r="AO118" s="1"/>
  <c r="AP118" s="1"/>
  <c r="AM102"/>
  <c r="AN102" s="1"/>
  <c r="AO102" s="1"/>
  <c r="AQ102" s="1"/>
  <c r="AM100"/>
  <c r="AN100" s="1"/>
  <c r="AO100" s="1"/>
  <c r="AP100" s="1"/>
  <c r="AL97"/>
  <c r="AM94"/>
  <c r="AN94" s="1"/>
  <c r="AO94" s="1"/>
  <c r="AP94" s="1"/>
  <c r="AL89"/>
  <c r="AM86"/>
  <c r="AN86" s="1"/>
  <c r="AO86" s="1"/>
  <c r="AQ86" s="1"/>
  <c r="AL81"/>
  <c r="AM78"/>
  <c r="AN78" s="1"/>
  <c r="AO78" s="1"/>
  <c r="AQ78" s="1"/>
  <c r="AL73"/>
  <c r="AM70"/>
  <c r="AN70" s="1"/>
  <c r="AO70" s="1"/>
  <c r="AQ70" s="1"/>
  <c r="AM68"/>
  <c r="AN68" s="1"/>
  <c r="AO68" s="1"/>
  <c r="AP68" s="1"/>
  <c r="AL65"/>
  <c r="AL58"/>
  <c r="AT54"/>
  <c r="AU54" s="1"/>
  <c r="AV54" s="1"/>
  <c r="N19"/>
  <c r="E116"/>
  <c r="E89"/>
  <c r="E73"/>
  <c r="AL61"/>
  <c r="AM60"/>
  <c r="AN60" s="1"/>
  <c r="AO60" s="1"/>
  <c r="AP60" s="1"/>
  <c r="AT57"/>
  <c r="AU57" s="1"/>
  <c r="AV57" s="1"/>
  <c r="E78"/>
  <c r="AW105"/>
  <c r="E102"/>
  <c r="E86"/>
  <c r="AL113"/>
  <c r="AM110"/>
  <c r="AN110" s="1"/>
  <c r="AO110" s="1"/>
  <c r="AP110" s="1"/>
  <c r="AM108"/>
  <c r="AN108" s="1"/>
  <c r="AO108" s="1"/>
  <c r="AP108" s="1"/>
  <c r="AL105"/>
  <c r="E58"/>
  <c r="AS113"/>
  <c r="AS105"/>
  <c r="AS97"/>
  <c r="AS89"/>
  <c r="AS81"/>
  <c r="AS73"/>
  <c r="AS65"/>
  <c r="AT9"/>
  <c r="AU9" s="1"/>
  <c r="AV9" s="1"/>
  <c r="AS41"/>
  <c r="AS49"/>
  <c r="AS45"/>
  <c r="O36"/>
  <c r="N36"/>
  <c r="AS37"/>
  <c r="N23"/>
  <c r="O23"/>
  <c r="N22"/>
  <c r="AT10"/>
  <c r="AU10" s="1"/>
  <c r="AV10" s="1"/>
  <c r="AS17"/>
  <c r="AS13"/>
  <c r="AS29"/>
  <c r="AS33"/>
  <c r="AQ101"/>
  <c r="AP101"/>
  <c r="AQ65"/>
  <c r="AP65"/>
  <c r="AQ92"/>
  <c r="AP92"/>
  <c r="AQ89"/>
  <c r="AP89"/>
  <c r="AQ82"/>
  <c r="AP82"/>
  <c r="AQ56"/>
  <c r="AP56"/>
  <c r="AP116"/>
  <c r="AQ116"/>
  <c r="AQ113"/>
  <c r="AP113"/>
  <c r="AQ85"/>
  <c r="AP85"/>
  <c r="AQ73"/>
  <c r="AP73"/>
  <c r="AQ117"/>
  <c r="AP117"/>
  <c r="AQ84"/>
  <c r="AP84"/>
  <c r="AQ81"/>
  <c r="AP81"/>
  <c r="AQ105"/>
  <c r="AP105"/>
  <c r="AQ77"/>
  <c r="AP77"/>
  <c r="AQ109"/>
  <c r="AP109"/>
  <c r="AP76"/>
  <c r="AQ76"/>
  <c r="AQ97"/>
  <c r="AP97"/>
  <c r="AQ69"/>
  <c r="AP69"/>
  <c r="AQ93"/>
  <c r="AP93"/>
  <c r="AS120"/>
  <c r="AW120"/>
  <c r="AS112"/>
  <c r="AW112"/>
  <c r="AS104"/>
  <c r="AW104"/>
  <c r="AS96"/>
  <c r="AW96"/>
  <c r="AS88"/>
  <c r="AW88"/>
  <c r="AS80"/>
  <c r="AW80"/>
  <c r="AS72"/>
  <c r="AW72"/>
  <c r="AM59"/>
  <c r="AN59" s="1"/>
  <c r="AO59" s="1"/>
  <c r="AL59"/>
  <c r="AT59"/>
  <c r="AU59" s="1"/>
  <c r="AV59" s="1"/>
  <c r="AS59"/>
  <c r="E59"/>
  <c r="AS30"/>
  <c r="AT27"/>
  <c r="AU27" s="1"/>
  <c r="AV27" s="1"/>
  <c r="AS8"/>
  <c r="E93"/>
  <c r="AL60"/>
  <c r="AM119"/>
  <c r="AN119" s="1"/>
  <c r="AO119" s="1"/>
  <c r="E119"/>
  <c r="AM111"/>
  <c r="AN111" s="1"/>
  <c r="AO111" s="1"/>
  <c r="E111"/>
  <c r="AM103"/>
  <c r="AN103" s="1"/>
  <c r="AO103" s="1"/>
  <c r="E103"/>
  <c r="AM95"/>
  <c r="AN95" s="1"/>
  <c r="AO95" s="1"/>
  <c r="E95"/>
  <c r="AM87"/>
  <c r="AN87" s="1"/>
  <c r="AO87" s="1"/>
  <c r="E87"/>
  <c r="AM79"/>
  <c r="AN79" s="1"/>
  <c r="AO79" s="1"/>
  <c r="E79"/>
  <c r="AM71"/>
  <c r="AN71" s="1"/>
  <c r="AO71" s="1"/>
  <c r="E71"/>
  <c r="AS64"/>
  <c r="AW64"/>
  <c r="AS48"/>
  <c r="AW48"/>
  <c r="AS20"/>
  <c r="AT15"/>
  <c r="AU15" s="1"/>
  <c r="AV15" s="1"/>
  <c r="AS15"/>
  <c r="AW118"/>
  <c r="AS118"/>
  <c r="AW110"/>
  <c r="AS110"/>
  <c r="AW102"/>
  <c r="AS102"/>
  <c r="AW94"/>
  <c r="AS94"/>
  <c r="AW86"/>
  <c r="AS86"/>
  <c r="AW78"/>
  <c r="AS78"/>
  <c r="AW70"/>
  <c r="AS70"/>
  <c r="AS52"/>
  <c r="AW52"/>
  <c r="AS42"/>
  <c r="AT11"/>
  <c r="AU11" s="1"/>
  <c r="AV11" s="1"/>
  <c r="AT3"/>
  <c r="AU3" s="1"/>
  <c r="AT40"/>
  <c r="AT16"/>
  <c r="AU16" s="1"/>
  <c r="AV16" s="1"/>
  <c r="E117"/>
  <c r="E96"/>
  <c r="E85"/>
  <c r="E64"/>
  <c r="AT120"/>
  <c r="AU120" s="1"/>
  <c r="AV120" s="1"/>
  <c r="AS119"/>
  <c r="AT112"/>
  <c r="AU112" s="1"/>
  <c r="AV112" s="1"/>
  <c r="AS111"/>
  <c r="AT104"/>
  <c r="AU104" s="1"/>
  <c r="AV104" s="1"/>
  <c r="AS103"/>
  <c r="AT96"/>
  <c r="AU96" s="1"/>
  <c r="AV96" s="1"/>
  <c r="AS95"/>
  <c r="AT88"/>
  <c r="AU88" s="1"/>
  <c r="AV88" s="1"/>
  <c r="AS87"/>
  <c r="AT80"/>
  <c r="AU80" s="1"/>
  <c r="AV80" s="1"/>
  <c r="AS79"/>
  <c r="AT72"/>
  <c r="AU72" s="1"/>
  <c r="AV72" s="1"/>
  <c r="AS71"/>
  <c r="AT64"/>
  <c r="AU64" s="1"/>
  <c r="AV64" s="1"/>
  <c r="AT48"/>
  <c r="AU48" s="1"/>
  <c r="AV48" s="1"/>
  <c r="AT20"/>
  <c r="AU20" s="1"/>
  <c r="AV20" s="1"/>
  <c r="AS56"/>
  <c r="AW56"/>
  <c r="AS116"/>
  <c r="AW116"/>
  <c r="AS84"/>
  <c r="AW84"/>
  <c r="AS76"/>
  <c r="AW76"/>
  <c r="AT43"/>
  <c r="AS43"/>
  <c r="AM115"/>
  <c r="AN115" s="1"/>
  <c r="AO115" s="1"/>
  <c r="E115"/>
  <c r="AM107"/>
  <c r="AN107" s="1"/>
  <c r="AO107" s="1"/>
  <c r="E107"/>
  <c r="AM99"/>
  <c r="AN99" s="1"/>
  <c r="AO99" s="1"/>
  <c r="E99"/>
  <c r="AM91"/>
  <c r="AN91" s="1"/>
  <c r="AO91" s="1"/>
  <c r="E91"/>
  <c r="AM83"/>
  <c r="AN83" s="1"/>
  <c r="AO83" s="1"/>
  <c r="E83"/>
  <c r="AM75"/>
  <c r="AN75" s="1"/>
  <c r="AO75" s="1"/>
  <c r="E75"/>
  <c r="AM67"/>
  <c r="AN67" s="1"/>
  <c r="AO67" s="1"/>
  <c r="E67"/>
  <c r="AW58"/>
  <c r="AM58"/>
  <c r="AN58" s="1"/>
  <c r="AO58" s="1"/>
  <c r="AS58"/>
  <c r="AS46"/>
  <c r="AT23"/>
  <c r="AU23" s="1"/>
  <c r="AV23" s="1"/>
  <c r="AT19"/>
  <c r="AU19" s="1"/>
  <c r="AV19" s="1"/>
  <c r="E120"/>
  <c r="E77"/>
  <c r="AS117"/>
  <c r="AL112"/>
  <c r="AL88"/>
  <c r="AL72"/>
  <c r="E68"/>
  <c r="AM120"/>
  <c r="AN120" s="1"/>
  <c r="AO120" s="1"/>
  <c r="AW119"/>
  <c r="AL119"/>
  <c r="AT117"/>
  <c r="AU117" s="1"/>
  <c r="AV117" s="1"/>
  <c r="AM112"/>
  <c r="AN112" s="1"/>
  <c r="AO112" s="1"/>
  <c r="AW111"/>
  <c r="AL111"/>
  <c r="AT109"/>
  <c r="AU109" s="1"/>
  <c r="AV109" s="1"/>
  <c r="AM104"/>
  <c r="AN104" s="1"/>
  <c r="AO104" s="1"/>
  <c r="AW103"/>
  <c r="AL103"/>
  <c r="AT101"/>
  <c r="AU101" s="1"/>
  <c r="AV101" s="1"/>
  <c r="AM96"/>
  <c r="AN96" s="1"/>
  <c r="AO96" s="1"/>
  <c r="AW95"/>
  <c r="AL95"/>
  <c r="AT93"/>
  <c r="AU93" s="1"/>
  <c r="AV93" s="1"/>
  <c r="AM88"/>
  <c r="AN88" s="1"/>
  <c r="AO88" s="1"/>
  <c r="AW87"/>
  <c r="AL87"/>
  <c r="AT85"/>
  <c r="AU85" s="1"/>
  <c r="AV85" s="1"/>
  <c r="AM80"/>
  <c r="AN80" s="1"/>
  <c r="AO80" s="1"/>
  <c r="AW79"/>
  <c r="AL79"/>
  <c r="AT77"/>
  <c r="AU77" s="1"/>
  <c r="AV77" s="1"/>
  <c r="AM72"/>
  <c r="AN72" s="1"/>
  <c r="AO72" s="1"/>
  <c r="AW71"/>
  <c r="AL71"/>
  <c r="AT69"/>
  <c r="AU69" s="1"/>
  <c r="AV69" s="1"/>
  <c r="AL64"/>
  <c r="AL48"/>
  <c r="AM63"/>
  <c r="AN63" s="1"/>
  <c r="AO63" s="1"/>
  <c r="E63"/>
  <c r="AS63"/>
  <c r="AW50"/>
  <c r="AM50"/>
  <c r="AN50" s="1"/>
  <c r="AO50" s="1"/>
  <c r="AS50"/>
  <c r="AS40"/>
  <c r="AT31"/>
  <c r="AU31" s="1"/>
  <c r="AV31" s="1"/>
  <c r="AS31"/>
  <c r="AS60"/>
  <c r="AW60"/>
  <c r="AW54"/>
  <c r="AM54"/>
  <c r="AN54" s="1"/>
  <c r="AO54" s="1"/>
  <c r="AS54"/>
  <c r="AW114"/>
  <c r="AS114"/>
  <c r="AW98"/>
  <c r="AS98"/>
  <c r="AW90"/>
  <c r="AS90"/>
  <c r="AW82"/>
  <c r="AS82"/>
  <c r="AW74"/>
  <c r="AS74"/>
  <c r="AW66"/>
  <c r="AS66"/>
  <c r="AW62"/>
  <c r="AM62"/>
  <c r="AN62" s="1"/>
  <c r="AO62" s="1"/>
  <c r="AS62"/>
  <c r="AM51"/>
  <c r="AN51" s="1"/>
  <c r="AO51" s="1"/>
  <c r="AL51"/>
  <c r="AT51"/>
  <c r="AU51" s="1"/>
  <c r="AV51" s="1"/>
  <c r="AS51"/>
  <c r="E51"/>
  <c r="AS44"/>
  <c r="AT35"/>
  <c r="AT7"/>
  <c r="AU7" s="1"/>
  <c r="AV7" s="1"/>
  <c r="AS7"/>
  <c r="E109"/>
  <c r="E88"/>
  <c r="E56"/>
  <c r="AS109"/>
  <c r="AL104"/>
  <c r="AL80"/>
  <c r="AS77"/>
  <c r="AT63"/>
  <c r="AU63" s="1"/>
  <c r="AV63" s="1"/>
  <c r="AT56"/>
  <c r="AU56" s="1"/>
  <c r="AV56" s="1"/>
  <c r="E101"/>
  <c r="E69"/>
  <c r="AT84"/>
  <c r="AU84" s="1"/>
  <c r="AV84" s="1"/>
  <c r="AT76"/>
  <c r="AU76" s="1"/>
  <c r="AV76" s="1"/>
  <c r="AM64"/>
  <c r="AN64" s="1"/>
  <c r="AO64" s="1"/>
  <c r="AW63"/>
  <c r="AM48"/>
  <c r="AN48" s="1"/>
  <c r="AO48" s="1"/>
  <c r="AT8"/>
  <c r="AU8" s="1"/>
  <c r="AV8" s="1"/>
  <c r="AS108"/>
  <c r="AW108"/>
  <c r="AS100"/>
  <c r="AW100"/>
  <c r="AS92"/>
  <c r="AW92"/>
  <c r="AS68"/>
  <c r="AW68"/>
  <c r="AW106"/>
  <c r="AS106"/>
  <c r="AM55"/>
  <c r="AN55" s="1"/>
  <c r="AO55" s="1"/>
  <c r="E55"/>
  <c r="AL55"/>
  <c r="AT55"/>
  <c r="AU55" s="1"/>
  <c r="AV55" s="1"/>
  <c r="AS55"/>
  <c r="AT47"/>
  <c r="AS47"/>
  <c r="AT39"/>
  <c r="AS14"/>
  <c r="AT50"/>
  <c r="AU50" s="1"/>
  <c r="AV50" s="1"/>
  <c r="AL120"/>
  <c r="AS101"/>
  <c r="AL96"/>
  <c r="AS93"/>
  <c r="AS85"/>
  <c r="AS69"/>
  <c r="E112"/>
  <c r="E80"/>
  <c r="E48"/>
  <c r="AT116"/>
  <c r="AU116" s="1"/>
  <c r="AV116" s="1"/>
  <c r="AT108"/>
  <c r="AU108" s="1"/>
  <c r="AV108" s="1"/>
  <c r="AT100"/>
  <c r="AU100" s="1"/>
  <c r="AV100" s="1"/>
  <c r="AT92"/>
  <c r="AU92" s="1"/>
  <c r="AV92" s="1"/>
  <c r="E92"/>
  <c r="E60"/>
  <c r="AW117"/>
  <c r="AL117"/>
  <c r="AT115"/>
  <c r="AU115" s="1"/>
  <c r="AV115" s="1"/>
  <c r="AW109"/>
  <c r="AL109"/>
  <c r="AT107"/>
  <c r="AU107" s="1"/>
  <c r="AV107" s="1"/>
  <c r="AW101"/>
  <c r="AL101"/>
  <c r="AT99"/>
  <c r="AU99" s="1"/>
  <c r="AV99" s="1"/>
  <c r="AW93"/>
  <c r="AL93"/>
  <c r="AT91"/>
  <c r="AU91" s="1"/>
  <c r="AV91" s="1"/>
  <c r="AW85"/>
  <c r="AL85"/>
  <c r="AT83"/>
  <c r="AU83" s="1"/>
  <c r="AV83" s="1"/>
  <c r="AW77"/>
  <c r="AL77"/>
  <c r="AT75"/>
  <c r="AU75" s="1"/>
  <c r="AV75" s="1"/>
  <c r="AW69"/>
  <c r="AL69"/>
  <c r="AT67"/>
  <c r="AU67" s="1"/>
  <c r="AV67" s="1"/>
  <c r="AL63"/>
  <c r="AT62"/>
  <c r="AU62" s="1"/>
  <c r="AV62" s="1"/>
  <c r="AL56"/>
  <c r="AW51"/>
  <c r="AL50"/>
  <c r="AT12"/>
  <c r="AU12" s="1"/>
  <c r="AV12" s="1"/>
  <c r="AM61"/>
  <c r="AN61" s="1"/>
  <c r="AO61" s="1"/>
  <c r="AM57"/>
  <c r="AN57" s="1"/>
  <c r="AO57" s="1"/>
  <c r="AM53"/>
  <c r="AN53" s="1"/>
  <c r="AO53" s="1"/>
  <c r="AM49"/>
  <c r="AN49" s="1"/>
  <c r="AO49" s="1"/>
  <c r="AQ106" l="1"/>
  <c r="AP74"/>
  <c r="AQ52"/>
  <c r="AQ66"/>
  <c r="AP90"/>
  <c r="AQ114"/>
  <c r="AQ98"/>
  <c r="AQ100"/>
  <c r="AQ60"/>
  <c r="AQ108"/>
  <c r="AP86"/>
  <c r="AP70"/>
  <c r="AQ94"/>
  <c r="AQ68"/>
  <c r="AQ110"/>
  <c r="AP78"/>
  <c r="AQ118"/>
  <c r="AP102"/>
  <c r="AQ61"/>
  <c r="AP61"/>
  <c r="AQ58"/>
  <c r="AP58"/>
  <c r="AQ63"/>
  <c r="AP63"/>
  <c r="AP88"/>
  <c r="AQ88"/>
  <c r="AP120"/>
  <c r="AQ120"/>
  <c r="AQ83"/>
  <c r="AP83"/>
  <c r="AQ115"/>
  <c r="AP115"/>
  <c r="AQ71"/>
  <c r="AP71"/>
  <c r="AQ103"/>
  <c r="AP103"/>
  <c r="AQ53"/>
  <c r="AP53"/>
  <c r="AQ54"/>
  <c r="AP54"/>
  <c r="AQ59"/>
  <c r="AP59"/>
  <c r="AQ57"/>
  <c r="AP57"/>
  <c r="AQ48"/>
  <c r="AP48"/>
  <c r="AP104"/>
  <c r="AQ104"/>
  <c r="AQ49"/>
  <c r="AP49"/>
  <c r="AQ75"/>
  <c r="AP75"/>
  <c r="AP72"/>
  <c r="AQ72"/>
  <c r="AQ95"/>
  <c r="AP95"/>
  <c r="AQ50"/>
  <c r="AP50"/>
  <c r="AP80"/>
  <c r="AQ80"/>
  <c r="AP96"/>
  <c r="AQ96"/>
  <c r="AP112"/>
  <c r="AQ112"/>
  <c r="AQ67"/>
  <c r="AP67"/>
  <c r="AQ99"/>
  <c r="AP99"/>
  <c r="AQ87"/>
  <c r="AP87"/>
  <c r="AQ119"/>
  <c r="AP119"/>
  <c r="AP62"/>
  <c r="AQ62"/>
  <c r="AQ51"/>
  <c r="AP51"/>
  <c r="AQ107"/>
  <c r="AP107"/>
  <c r="AQ55"/>
  <c r="AP55"/>
  <c r="AQ64"/>
  <c r="AP64"/>
  <c r="AQ91"/>
  <c r="AP91"/>
  <c r="AQ79"/>
  <c r="AP79"/>
  <c r="AQ111"/>
  <c r="AP111"/>
  <c r="BA43" l="1"/>
  <c r="BB43"/>
  <c r="BC43"/>
  <c r="BD43"/>
  <c r="BE43"/>
  <c r="BF43"/>
  <c r="BG43"/>
  <c r="BI43"/>
  <c r="AZ43"/>
  <c r="BA1"/>
  <c r="AE2"/>
  <c r="O2"/>
  <c r="AR2"/>
  <c r="AS9" s="1"/>
  <c r="AD2"/>
  <c r="AZ42"/>
  <c r="AZ36"/>
  <c r="AA2"/>
  <c r="AB2"/>
  <c r="AC2"/>
  <c r="Y2"/>
  <c r="Z2"/>
  <c r="R2"/>
  <c r="S2"/>
  <c r="V2"/>
  <c r="W2"/>
  <c r="X2"/>
  <c r="CK2"/>
  <c r="P2"/>
  <c r="AM2" s="1"/>
  <c r="AN2" s="1"/>
  <c r="AO2" s="1"/>
  <c r="AQ2" s="1"/>
  <c r="N124"/>
  <c r="N123"/>
  <c r="N122"/>
  <c r="N121"/>
  <c r="N2"/>
  <c r="AS36" l="1"/>
  <c r="AS4"/>
  <c r="AS39"/>
  <c r="AS35"/>
  <c r="AS10"/>
  <c r="AS24"/>
  <c r="AS3"/>
  <c r="AV3" s="1"/>
  <c r="AS19"/>
  <c r="AS16"/>
  <c r="AS5"/>
  <c r="AS27"/>
  <c r="AS11"/>
  <c r="AS28"/>
  <c r="AS21"/>
  <c r="AS23"/>
  <c r="AS12"/>
  <c r="AS6"/>
  <c r="AS22"/>
  <c r="AS26"/>
  <c r="AS38"/>
  <c r="AS18"/>
  <c r="AS32"/>
  <c r="AS34"/>
  <c r="O24"/>
  <c r="N24"/>
  <c r="O43"/>
  <c r="N43"/>
  <c r="O47"/>
  <c r="N47"/>
  <c r="BB1"/>
  <c r="BC1" s="1"/>
  <c r="BD1" s="1"/>
  <c r="AZ46"/>
  <c r="E2"/>
  <c r="AZ44"/>
  <c r="BA44"/>
  <c r="AS2"/>
  <c r="AT2"/>
  <c r="AU2" s="1"/>
  <c r="AV2" s="1"/>
  <c r="AW2"/>
  <c r="AZ45"/>
  <c r="BA46"/>
  <c r="BA45"/>
  <c r="AZ39"/>
  <c r="AZ40" s="1"/>
  <c r="AP2"/>
  <c r="AL2"/>
  <c r="AU45" l="1"/>
  <c r="AV45" s="1"/>
  <c r="AU37"/>
  <c r="AV37" s="1"/>
  <c r="AU40"/>
  <c r="AV40" s="1"/>
  <c r="AU41"/>
  <c r="AV41" s="1"/>
  <c r="AU36"/>
  <c r="AV36" s="1"/>
  <c r="AU38"/>
  <c r="AV38" s="1"/>
  <c r="AU34"/>
  <c r="AV34" s="1"/>
  <c r="AU39"/>
  <c r="AV39" s="1"/>
  <c r="AU35"/>
  <c r="AV35" s="1"/>
  <c r="BE1"/>
  <c r="BE44" s="1"/>
  <c r="N29"/>
  <c r="O29"/>
  <c r="N44"/>
  <c r="O44"/>
  <c r="AU46"/>
  <c r="AV46" s="1"/>
  <c r="BB46"/>
  <c r="BC46"/>
  <c r="AU44"/>
  <c r="AV44" s="1"/>
  <c r="BD44"/>
  <c r="AU43"/>
  <c r="AV43" s="1"/>
  <c r="BC44"/>
  <c r="BD45"/>
  <c r="BD46"/>
  <c r="AU42"/>
  <c r="AV42" s="1"/>
  <c r="BB44"/>
  <c r="AU47"/>
  <c r="AV47" s="1"/>
  <c r="BB45"/>
  <c r="BC45"/>
  <c r="AZ37"/>
  <c r="AL8" s="1"/>
  <c r="AM8" s="1"/>
  <c r="AZ41"/>
  <c r="AL3" l="1"/>
  <c r="AM3" s="1"/>
  <c r="BF1"/>
  <c r="BF44" s="1"/>
  <c r="BE46"/>
  <c r="BE45"/>
  <c r="AL6"/>
  <c r="AM6" s="1"/>
  <c r="AL5"/>
  <c r="AM5" s="1"/>
  <c r="AL4"/>
  <c r="AM4" s="1"/>
  <c r="AL7"/>
  <c r="AM7" s="1"/>
  <c r="AZ7"/>
  <c r="AN8" s="1"/>
  <c r="AZ8"/>
  <c r="AN3" l="1"/>
  <c r="AO3" s="1"/>
  <c r="AP3" s="1"/>
  <c r="BF45"/>
  <c r="BF46"/>
  <c r="BG1"/>
  <c r="BG45" s="1"/>
  <c r="AO8"/>
  <c r="AP8" s="1"/>
  <c r="AQ8" s="1"/>
  <c r="AW8" s="1"/>
  <c r="AN5"/>
  <c r="AO5" s="1"/>
  <c r="AN4"/>
  <c r="AO4" s="1"/>
  <c r="AN7"/>
  <c r="AO7" s="1"/>
  <c r="AN6"/>
  <c r="AO6" s="1"/>
  <c r="AQ3" l="1"/>
  <c r="AW3" s="1"/>
  <c r="E3" s="1"/>
  <c r="Q3" s="1"/>
  <c r="BG44"/>
  <c r="BH1"/>
  <c r="BH39" s="1"/>
  <c r="BH40" s="1"/>
  <c r="BG46"/>
  <c r="AP5"/>
  <c r="AQ5" s="1"/>
  <c r="AW5" s="1"/>
  <c r="AP4"/>
  <c r="AQ4" s="1"/>
  <c r="AW4" s="1"/>
  <c r="AP7"/>
  <c r="AQ7" s="1"/>
  <c r="AW7" s="1"/>
  <c r="AP6"/>
  <c r="AQ6" s="1"/>
  <c r="AW6" s="1"/>
  <c r="T3" l="1"/>
  <c r="U3"/>
  <c r="AG3"/>
  <c r="AK3"/>
  <c r="AI3"/>
  <c r="AH3"/>
  <c r="AF3"/>
  <c r="AJ3"/>
  <c r="V3"/>
  <c r="AA3"/>
  <c r="Y3"/>
  <c r="Z3"/>
  <c r="X3"/>
  <c r="W3"/>
  <c r="AD3"/>
  <c r="S3"/>
  <c r="AC3"/>
  <c r="R3"/>
  <c r="AB3"/>
  <c r="AE3"/>
  <c r="BH46"/>
  <c r="BH38"/>
  <c r="BH41" s="1"/>
  <c r="BH45"/>
  <c r="BI1"/>
  <c r="BI44" s="1"/>
  <c r="BH42"/>
  <c r="BH37"/>
  <c r="BH36"/>
  <c r="BH44"/>
  <c r="BH14" l="1"/>
  <c r="BH13"/>
  <c r="BH7"/>
  <c r="BI45"/>
  <c r="BH8"/>
  <c r="BI46"/>
  <c r="BA37"/>
  <c r="AL9" s="1"/>
  <c r="AM9" s="1"/>
  <c r="BA42"/>
  <c r="BA36"/>
  <c r="BA38"/>
  <c r="BA39"/>
  <c r="BA40" s="1"/>
  <c r="AL17" l="1"/>
  <c r="AM17" s="1"/>
  <c r="AL10"/>
  <c r="AM10" s="1"/>
  <c r="AL11"/>
  <c r="AM11" s="1"/>
  <c r="AL12"/>
  <c r="AM12" s="1"/>
  <c r="AL13"/>
  <c r="AM13" s="1"/>
  <c r="AL14"/>
  <c r="AM14" s="1"/>
  <c r="BA7"/>
  <c r="AN9" s="1"/>
  <c r="BA41"/>
  <c r="BA8" s="1"/>
  <c r="BB36"/>
  <c r="BB39"/>
  <c r="BB40" s="1"/>
  <c r="BB38"/>
  <c r="BB42"/>
  <c r="BB37"/>
  <c r="AN14" l="1"/>
  <c r="AO14" s="1"/>
  <c r="AP14" s="1"/>
  <c r="AQ14" s="1"/>
  <c r="AW14" s="1"/>
  <c r="E14" s="1"/>
  <c r="Q14" s="1"/>
  <c r="AN13"/>
  <c r="AO13" s="1"/>
  <c r="AP13" s="1"/>
  <c r="AQ13" s="1"/>
  <c r="AW13" s="1"/>
  <c r="AL15"/>
  <c r="AM15" s="1"/>
  <c r="AN15" s="1"/>
  <c r="AO15" s="1"/>
  <c r="AL25"/>
  <c r="AM25" s="1"/>
  <c r="AL30"/>
  <c r="AM30" s="1"/>
  <c r="AL20"/>
  <c r="AM20" s="1"/>
  <c r="AO9"/>
  <c r="AP9" s="1"/>
  <c r="AQ9" s="1"/>
  <c r="AW9" s="1"/>
  <c r="E9" s="1"/>
  <c r="AL18"/>
  <c r="AM18" s="1"/>
  <c r="AL19"/>
  <c r="AM19" s="1"/>
  <c r="AL22"/>
  <c r="AM22" s="1"/>
  <c r="AL16"/>
  <c r="AM16" s="1"/>
  <c r="AN11"/>
  <c r="AO11" s="1"/>
  <c r="AN17"/>
  <c r="AO17" s="1"/>
  <c r="AP17" s="1"/>
  <c r="AQ17" s="1"/>
  <c r="AW17" s="1"/>
  <c r="E17" s="1"/>
  <c r="AN10"/>
  <c r="AO10" s="1"/>
  <c r="AP10" s="1"/>
  <c r="AQ10" s="1"/>
  <c r="AW10" s="1"/>
  <c r="E10" s="1"/>
  <c r="U10" s="1"/>
  <c r="AN12"/>
  <c r="AO12" s="1"/>
  <c r="AL23"/>
  <c r="AM23" s="1"/>
  <c r="AL31"/>
  <c r="AM31" s="1"/>
  <c r="AL33"/>
  <c r="AM33" s="1"/>
  <c r="AL29"/>
  <c r="AM29" s="1"/>
  <c r="AL28"/>
  <c r="AM28" s="1"/>
  <c r="AL24"/>
  <c r="AM24" s="1"/>
  <c r="AL27"/>
  <c r="AM27" s="1"/>
  <c r="AL26"/>
  <c r="AM26" s="1"/>
  <c r="AL21"/>
  <c r="AM21" s="1"/>
  <c r="BB41"/>
  <c r="BB8" s="1"/>
  <c r="BC36"/>
  <c r="BC39"/>
  <c r="BC40" s="1"/>
  <c r="BC42"/>
  <c r="BC38"/>
  <c r="BC37"/>
  <c r="AL45" s="1"/>
  <c r="AM45" s="1"/>
  <c r="BB7"/>
  <c r="T17" l="1"/>
  <c r="U17"/>
  <c r="Q17"/>
  <c r="AH17"/>
  <c r="AK17"/>
  <c r="AI17"/>
  <c r="AF17"/>
  <c r="AG17"/>
  <c r="AJ17"/>
  <c r="AN45"/>
  <c r="T14"/>
  <c r="T9"/>
  <c r="Q9"/>
  <c r="AN20"/>
  <c r="AO20" s="1"/>
  <c r="AN25"/>
  <c r="AO25" s="1"/>
  <c r="AN30"/>
  <c r="AO30" s="1"/>
  <c r="U14"/>
  <c r="AK14"/>
  <c r="AF14"/>
  <c r="AG14"/>
  <c r="AH14"/>
  <c r="AI14"/>
  <c r="AJ14"/>
  <c r="AL37"/>
  <c r="AM37" s="1"/>
  <c r="AL41"/>
  <c r="AM41" s="1"/>
  <c r="U9"/>
  <c r="AH9"/>
  <c r="X9"/>
  <c r="AI9"/>
  <c r="W9"/>
  <c r="AE9"/>
  <c r="AJ9"/>
  <c r="V9"/>
  <c r="AD9"/>
  <c r="AG9"/>
  <c r="AK9"/>
  <c r="S9"/>
  <c r="AC9"/>
  <c r="R9"/>
  <c r="AB9"/>
  <c r="Y9"/>
  <c r="AA9"/>
  <c r="AF9"/>
  <c r="Z9"/>
  <c r="AH10"/>
  <c r="AJ10"/>
  <c r="AF10"/>
  <c r="AI10"/>
  <c r="AK10"/>
  <c r="AG10"/>
  <c r="AN16"/>
  <c r="AO16" s="1"/>
  <c r="AP16" s="1"/>
  <c r="AQ16" s="1"/>
  <c r="AW16" s="1"/>
  <c r="AN19"/>
  <c r="AO19" s="1"/>
  <c r="AP19" s="1"/>
  <c r="AQ19" s="1"/>
  <c r="AW19" s="1"/>
  <c r="E19" s="1"/>
  <c r="U19" s="1"/>
  <c r="AN18"/>
  <c r="AO18" s="1"/>
  <c r="AP18" s="1"/>
  <c r="AL35"/>
  <c r="AM35" s="1"/>
  <c r="AL39"/>
  <c r="AM39" s="1"/>
  <c r="AL38"/>
  <c r="AM38" s="1"/>
  <c r="AL34"/>
  <c r="AM34" s="1"/>
  <c r="AL36"/>
  <c r="AM36" s="1"/>
  <c r="AL32"/>
  <c r="AM32" s="1"/>
  <c r="AN22"/>
  <c r="AO22" s="1"/>
  <c r="W10"/>
  <c r="AE10"/>
  <c r="AA10"/>
  <c r="V10"/>
  <c r="AD10"/>
  <c r="R10"/>
  <c r="Z10"/>
  <c r="Y10"/>
  <c r="S10"/>
  <c r="AC10"/>
  <c r="AB10"/>
  <c r="X10"/>
  <c r="AP12"/>
  <c r="AQ12" s="1"/>
  <c r="AW12" s="1"/>
  <c r="E12" s="1"/>
  <c r="Q12" s="1"/>
  <c r="AP11"/>
  <c r="AQ11" s="1"/>
  <c r="AW11" s="1"/>
  <c r="E11" s="1"/>
  <c r="Z17"/>
  <c r="Y17"/>
  <c r="X17"/>
  <c r="W17"/>
  <c r="AE17"/>
  <c r="V17"/>
  <c r="AD17"/>
  <c r="AA17"/>
  <c r="S17"/>
  <c r="AC17"/>
  <c r="R17"/>
  <c r="AB17"/>
  <c r="AP15"/>
  <c r="AQ15" s="1"/>
  <c r="AW15" s="1"/>
  <c r="AN29"/>
  <c r="AO29" s="1"/>
  <c r="AN28"/>
  <c r="AO28" s="1"/>
  <c r="AN24"/>
  <c r="AO24" s="1"/>
  <c r="AN27"/>
  <c r="AO27" s="1"/>
  <c r="AN26"/>
  <c r="AO26" s="1"/>
  <c r="AN21"/>
  <c r="AO21" s="1"/>
  <c r="AN23"/>
  <c r="AO23" s="1"/>
  <c r="AN31"/>
  <c r="AO31" s="1"/>
  <c r="AL46"/>
  <c r="AM46" s="1"/>
  <c r="AL42"/>
  <c r="AM42" s="1"/>
  <c r="AL44"/>
  <c r="AM44" s="1"/>
  <c r="AL47"/>
  <c r="AM47" s="1"/>
  <c r="AL40"/>
  <c r="AM40" s="1"/>
  <c r="AL43"/>
  <c r="AM43" s="1"/>
  <c r="AN33"/>
  <c r="AO33" s="1"/>
  <c r="BD42"/>
  <c r="BD37"/>
  <c r="BD36"/>
  <c r="BD39"/>
  <c r="BD40" s="1"/>
  <c r="BD38"/>
  <c r="BC7"/>
  <c r="BC41"/>
  <c r="BC8" s="1"/>
  <c r="AO45" l="1"/>
  <c r="AP45" s="1"/>
  <c r="AQ45" s="1"/>
  <c r="AW45" s="1"/>
  <c r="E45" s="1"/>
  <c r="BD14"/>
  <c r="BD13"/>
  <c r="U12"/>
  <c r="T12"/>
  <c r="U11"/>
  <c r="T11"/>
  <c r="AP30"/>
  <c r="AQ30" s="1"/>
  <c r="AW30" s="1"/>
  <c r="E30" s="1"/>
  <c r="Q30" s="1"/>
  <c r="AP20"/>
  <c r="AQ20" s="1"/>
  <c r="AW20" s="1"/>
  <c r="E20" s="1"/>
  <c r="Q20" s="1"/>
  <c r="AN37"/>
  <c r="AO37" s="1"/>
  <c r="AN41"/>
  <c r="AO41" s="1"/>
  <c r="AP25"/>
  <c r="AQ25" s="1"/>
  <c r="AW25" s="1"/>
  <c r="E25" s="1"/>
  <c r="Q25" s="1"/>
  <c r="BD9"/>
  <c r="AG12"/>
  <c r="AI12"/>
  <c r="AF12"/>
  <c r="AH12"/>
  <c r="AJ12"/>
  <c r="AK12"/>
  <c r="AJ11"/>
  <c r="AF11"/>
  <c r="AI11"/>
  <c r="AK11"/>
  <c r="AG11"/>
  <c r="AH11"/>
  <c r="AJ19"/>
  <c r="AF19"/>
  <c r="AK19"/>
  <c r="AG19"/>
  <c r="AH19"/>
  <c r="AI19"/>
  <c r="AN32"/>
  <c r="AO32" s="1"/>
  <c r="AP32" s="1"/>
  <c r="AQ32" s="1"/>
  <c r="AW32" s="1"/>
  <c r="E32" s="1"/>
  <c r="AQ18"/>
  <c r="AW18" s="1"/>
  <c r="E18" s="1"/>
  <c r="Q18" s="1"/>
  <c r="AN39"/>
  <c r="AO39" s="1"/>
  <c r="AN38"/>
  <c r="AO38" s="1"/>
  <c r="AN36"/>
  <c r="AO36" s="1"/>
  <c r="AN35"/>
  <c r="AO35" s="1"/>
  <c r="AN34"/>
  <c r="AO34" s="1"/>
  <c r="AP22"/>
  <c r="AQ22" s="1"/>
  <c r="AW22" s="1"/>
  <c r="E22" s="1"/>
  <c r="R19"/>
  <c r="AB19"/>
  <c r="Z19"/>
  <c r="Y19"/>
  <c r="AA19"/>
  <c r="X19"/>
  <c r="S19"/>
  <c r="W19"/>
  <c r="AE19"/>
  <c r="V19"/>
  <c r="AD19"/>
  <c r="AC19"/>
  <c r="V11"/>
  <c r="AD11"/>
  <c r="Y11"/>
  <c r="S11"/>
  <c r="AC11"/>
  <c r="Z11"/>
  <c r="R11"/>
  <c r="AB11"/>
  <c r="AA11"/>
  <c r="X11"/>
  <c r="W11"/>
  <c r="AE11"/>
  <c r="V12"/>
  <c r="AD12"/>
  <c r="Y12"/>
  <c r="S12"/>
  <c r="AC12"/>
  <c r="X12"/>
  <c r="R12"/>
  <c r="AB12"/>
  <c r="AA12"/>
  <c r="Z12"/>
  <c r="W12"/>
  <c r="AE12"/>
  <c r="AN42"/>
  <c r="AO42" s="1"/>
  <c r="AP42" s="1"/>
  <c r="AQ42" s="1"/>
  <c r="AW42" s="1"/>
  <c r="AN44"/>
  <c r="AO44" s="1"/>
  <c r="AP44" s="1"/>
  <c r="AQ44" s="1"/>
  <c r="AW44" s="1"/>
  <c r="AN47"/>
  <c r="AO47" s="1"/>
  <c r="AN46"/>
  <c r="AO46" s="1"/>
  <c r="AP46" s="1"/>
  <c r="AQ46" s="1"/>
  <c r="AW46" s="1"/>
  <c r="AN43"/>
  <c r="AO43" s="1"/>
  <c r="AP43" s="1"/>
  <c r="AN40"/>
  <c r="AO40" s="1"/>
  <c r="AP40" s="1"/>
  <c r="AQ40" s="1"/>
  <c r="AW40" s="1"/>
  <c r="AP28"/>
  <c r="AQ28" s="1"/>
  <c r="AW28" s="1"/>
  <c r="E28" s="1"/>
  <c r="Q28" s="1"/>
  <c r="AP24"/>
  <c r="AQ24" s="1"/>
  <c r="AW24" s="1"/>
  <c r="AP26"/>
  <c r="AQ26" s="1"/>
  <c r="AW26" s="1"/>
  <c r="AP27"/>
  <c r="AQ27" s="1"/>
  <c r="AW27" s="1"/>
  <c r="AP31"/>
  <c r="AQ31" s="1"/>
  <c r="AW31" s="1"/>
  <c r="E31" s="1"/>
  <c r="AP29"/>
  <c r="AQ29" s="1"/>
  <c r="AW29" s="1"/>
  <c r="E29" s="1"/>
  <c r="Q29" s="1"/>
  <c r="AP21"/>
  <c r="AQ21" s="1"/>
  <c r="AW21" s="1"/>
  <c r="AP33"/>
  <c r="AQ33" s="1"/>
  <c r="AW33" s="1"/>
  <c r="E33" s="1"/>
  <c r="AP23"/>
  <c r="AQ23" s="1"/>
  <c r="AW23" s="1"/>
  <c r="BD19"/>
  <c r="BD20"/>
  <c r="BD18"/>
  <c r="BD22"/>
  <c r="BD24"/>
  <c r="BD21"/>
  <c r="BD26"/>
  <c r="BD23"/>
  <c r="BD25"/>
  <c r="BD41"/>
  <c r="BD16"/>
  <c r="BD12"/>
  <c r="BD17"/>
  <c r="BD8"/>
  <c r="BD7"/>
  <c r="BD15"/>
  <c r="BD11"/>
  <c r="BE38"/>
  <c r="BE39"/>
  <c r="BE40" s="1"/>
  <c r="BE42"/>
  <c r="BE36"/>
  <c r="BE37"/>
  <c r="U22" l="1"/>
  <c r="Q22"/>
  <c r="T22"/>
  <c r="U33"/>
  <c r="Q33"/>
  <c r="T33"/>
  <c r="AH33"/>
  <c r="AI33"/>
  <c r="AJ33"/>
  <c r="AF33"/>
  <c r="AG33"/>
  <c r="AK33"/>
  <c r="Q31"/>
  <c r="T31"/>
  <c r="U31"/>
  <c r="AF31"/>
  <c r="AG31"/>
  <c r="AH31"/>
  <c r="AI31"/>
  <c r="AJ31"/>
  <c r="AK31"/>
  <c r="U32"/>
  <c r="Q32"/>
  <c r="T32"/>
  <c r="Q45"/>
  <c r="U45"/>
  <c r="T45"/>
  <c r="AH45"/>
  <c r="Y45"/>
  <c r="AJ45"/>
  <c r="AE45"/>
  <c r="AI45"/>
  <c r="X45"/>
  <c r="W45"/>
  <c r="AK45"/>
  <c r="V45"/>
  <c r="AD45"/>
  <c r="S45"/>
  <c r="AC45"/>
  <c r="R45"/>
  <c r="AB45"/>
  <c r="AF45"/>
  <c r="AA45"/>
  <c r="AG45"/>
  <c r="Z45"/>
  <c r="T25"/>
  <c r="T29"/>
  <c r="T30"/>
  <c r="T20"/>
  <c r="BE14"/>
  <c r="BE13"/>
  <c r="U28"/>
  <c r="T28"/>
  <c r="U18"/>
  <c r="T18"/>
  <c r="AP37"/>
  <c r="AQ37" s="1"/>
  <c r="AW37" s="1"/>
  <c r="E37" s="1"/>
  <c r="Q37" s="1"/>
  <c r="U30"/>
  <c r="AF30"/>
  <c r="V30"/>
  <c r="AD30"/>
  <c r="AG30"/>
  <c r="S30"/>
  <c r="AC30"/>
  <c r="AH30"/>
  <c r="R30"/>
  <c r="AB30"/>
  <c r="AJ30"/>
  <c r="Z30"/>
  <c r="AI30"/>
  <c r="AA30"/>
  <c r="W30"/>
  <c r="AK30"/>
  <c r="Y30"/>
  <c r="X30"/>
  <c r="AE30"/>
  <c r="U20"/>
  <c r="AH20"/>
  <c r="R20"/>
  <c r="AB20"/>
  <c r="AC20"/>
  <c r="AI20"/>
  <c r="AA20"/>
  <c r="AJ20"/>
  <c r="Z20"/>
  <c r="AG20"/>
  <c r="AK20"/>
  <c r="Y20"/>
  <c r="X20"/>
  <c r="W20"/>
  <c r="AE20"/>
  <c r="AF20"/>
  <c r="V20"/>
  <c r="AD20"/>
  <c r="S20"/>
  <c r="AP41"/>
  <c r="AQ41" s="1"/>
  <c r="AW41" s="1"/>
  <c r="E41" s="1"/>
  <c r="Q41" s="1"/>
  <c r="U29"/>
  <c r="AF29"/>
  <c r="AG29"/>
  <c r="AH29"/>
  <c r="AI29"/>
  <c r="AJ29"/>
  <c r="AK29"/>
  <c r="U25"/>
  <c r="AJ25"/>
  <c r="Y25"/>
  <c r="AK25"/>
  <c r="X25"/>
  <c r="AI25"/>
  <c r="Z25"/>
  <c r="W25"/>
  <c r="AE25"/>
  <c r="AF25"/>
  <c r="AC25"/>
  <c r="V25"/>
  <c r="AD25"/>
  <c r="S25"/>
  <c r="AG25"/>
  <c r="R25"/>
  <c r="AB25"/>
  <c r="AH25"/>
  <c r="AA25"/>
  <c r="BE9"/>
  <c r="AH18"/>
  <c r="AK18"/>
  <c r="AF18"/>
  <c r="AG18"/>
  <c r="AI18"/>
  <c r="AJ18"/>
  <c r="AF32"/>
  <c r="AK32"/>
  <c r="AG32"/>
  <c r="AH32"/>
  <c r="AI32"/>
  <c r="AJ32"/>
  <c r="AH22"/>
  <c r="AK22"/>
  <c r="AF22"/>
  <c r="AI22"/>
  <c r="AJ22"/>
  <c r="AG22"/>
  <c r="AF28"/>
  <c r="AG28"/>
  <c r="AH28"/>
  <c r="AI28"/>
  <c r="AK28"/>
  <c r="AJ28"/>
  <c r="AB18"/>
  <c r="S18"/>
  <c r="V18"/>
  <c r="W18"/>
  <c r="R18"/>
  <c r="AA18"/>
  <c r="Y18"/>
  <c r="AE18"/>
  <c r="AC18"/>
  <c r="AD18"/>
  <c r="Z18"/>
  <c r="X18"/>
  <c r="AP35"/>
  <c r="AQ35" s="1"/>
  <c r="AW35" s="1"/>
  <c r="E35" s="1"/>
  <c r="U35" s="1"/>
  <c r="AP38"/>
  <c r="AQ38" s="1"/>
  <c r="AW38" s="1"/>
  <c r="E38" s="1"/>
  <c r="Q38" s="1"/>
  <c r="AP39"/>
  <c r="AQ39" s="1"/>
  <c r="AW39" s="1"/>
  <c r="E39" s="1"/>
  <c r="AP36"/>
  <c r="AQ36" s="1"/>
  <c r="AW36" s="1"/>
  <c r="E36" s="1"/>
  <c r="Q36" s="1"/>
  <c r="AP34"/>
  <c r="AQ34" s="1"/>
  <c r="AW34" s="1"/>
  <c r="E34" s="1"/>
  <c r="Q34" s="1"/>
  <c r="X22"/>
  <c r="V22"/>
  <c r="S22"/>
  <c r="W22"/>
  <c r="AE22"/>
  <c r="AD22"/>
  <c r="AC22"/>
  <c r="R22"/>
  <c r="AB22"/>
  <c r="Z22"/>
  <c r="Y22"/>
  <c r="AA22"/>
  <c r="AP47"/>
  <c r="AQ47" s="1"/>
  <c r="AW47" s="1"/>
  <c r="E47" s="1"/>
  <c r="AQ43"/>
  <c r="AW43" s="1"/>
  <c r="E43" s="1"/>
  <c r="S28"/>
  <c r="AC28"/>
  <c r="R28"/>
  <c r="AB28"/>
  <c r="AA28"/>
  <c r="Y28"/>
  <c r="AD28"/>
  <c r="Z28"/>
  <c r="V28"/>
  <c r="X28"/>
  <c r="W28"/>
  <c r="AE28"/>
  <c r="W31"/>
  <c r="AE31"/>
  <c r="V31"/>
  <c r="AD31"/>
  <c r="S31"/>
  <c r="AC31"/>
  <c r="AA31"/>
  <c r="Z31"/>
  <c r="Y31"/>
  <c r="X31"/>
  <c r="R31"/>
  <c r="AB31"/>
  <c r="S32"/>
  <c r="AC32"/>
  <c r="R32"/>
  <c r="AB32"/>
  <c r="AA32"/>
  <c r="Y32"/>
  <c r="W32"/>
  <c r="AE32"/>
  <c r="V32"/>
  <c r="AD32"/>
  <c r="Z32"/>
  <c r="X32"/>
  <c r="AA33"/>
  <c r="Z33"/>
  <c r="Y33"/>
  <c r="W33"/>
  <c r="AE33"/>
  <c r="AD33"/>
  <c r="AC33"/>
  <c r="V33"/>
  <c r="AB33"/>
  <c r="X33"/>
  <c r="S33"/>
  <c r="R33"/>
  <c r="AA29"/>
  <c r="Z29"/>
  <c r="Y29"/>
  <c r="W29"/>
  <c r="AE29"/>
  <c r="S29"/>
  <c r="AD29"/>
  <c r="AC29"/>
  <c r="R29"/>
  <c r="AB29"/>
  <c r="X29"/>
  <c r="V29"/>
  <c r="BE19"/>
  <c r="BE20"/>
  <c r="BE18"/>
  <c r="E46"/>
  <c r="BE21"/>
  <c r="BE26"/>
  <c r="BE23"/>
  <c r="BE25"/>
  <c r="BE22"/>
  <c r="BE24"/>
  <c r="E44"/>
  <c r="E42"/>
  <c r="E40"/>
  <c r="Q40" s="1"/>
  <c r="E21"/>
  <c r="Q21" s="1"/>
  <c r="E5"/>
  <c r="Q5" s="1"/>
  <c r="E26"/>
  <c r="Q26" s="1"/>
  <c r="E27"/>
  <c r="E24"/>
  <c r="Q24" s="1"/>
  <c r="E23"/>
  <c r="Q23" s="1"/>
  <c r="E8"/>
  <c r="E7"/>
  <c r="E15"/>
  <c r="Q15" s="1"/>
  <c r="E6"/>
  <c r="E4"/>
  <c r="Q4" s="1"/>
  <c r="E16"/>
  <c r="E13"/>
  <c r="Q13" s="1"/>
  <c r="BE41"/>
  <c r="BE8"/>
  <c r="BE16"/>
  <c r="BE11"/>
  <c r="BE12"/>
  <c r="BE17"/>
  <c r="BE7"/>
  <c r="BE15"/>
  <c r="BF38"/>
  <c r="BF36"/>
  <c r="BF42"/>
  <c r="BF39"/>
  <c r="BF40" s="1"/>
  <c r="BF37"/>
  <c r="U16" l="1"/>
  <c r="Q16"/>
  <c r="T16"/>
  <c r="U27"/>
  <c r="T27"/>
  <c r="Q27"/>
  <c r="T42"/>
  <c r="Q42"/>
  <c r="U42"/>
  <c r="AJ42"/>
  <c r="AI42"/>
  <c r="AK42"/>
  <c r="AF42"/>
  <c r="AG42"/>
  <c r="AH42"/>
  <c r="T43"/>
  <c r="U43"/>
  <c r="Q43"/>
  <c r="AF43"/>
  <c r="AG43"/>
  <c r="AH43"/>
  <c r="AK43"/>
  <c r="AI43"/>
  <c r="AJ43"/>
  <c r="U46"/>
  <c r="T46"/>
  <c r="Q46"/>
  <c r="AJ46"/>
  <c r="AK46"/>
  <c r="AI46"/>
  <c r="AF46"/>
  <c r="AG46"/>
  <c r="AH46"/>
  <c r="U39"/>
  <c r="T39"/>
  <c r="Q39"/>
  <c r="T40"/>
  <c r="T15"/>
  <c r="T13"/>
  <c r="T41"/>
  <c r="T37"/>
  <c r="T8"/>
  <c r="Q8"/>
  <c r="T7"/>
  <c r="Q7"/>
  <c r="BF14"/>
  <c r="BF13"/>
  <c r="U38"/>
  <c r="T38"/>
  <c r="U21"/>
  <c r="T21"/>
  <c r="U6"/>
  <c r="T6"/>
  <c r="U5"/>
  <c r="T5"/>
  <c r="U36"/>
  <c r="T36"/>
  <c r="U4"/>
  <c r="T4"/>
  <c r="U26"/>
  <c r="T26"/>
  <c r="U34"/>
  <c r="T34"/>
  <c r="U24"/>
  <c r="T24"/>
  <c r="U23"/>
  <c r="T23"/>
  <c r="U7"/>
  <c r="AH7"/>
  <c r="AJ7"/>
  <c r="AK7"/>
  <c r="AF7"/>
  <c r="AG7"/>
  <c r="AI7"/>
  <c r="U8"/>
  <c r="AJ8"/>
  <c r="AK8"/>
  <c r="AF8"/>
  <c r="AG8"/>
  <c r="AH8"/>
  <c r="AI8"/>
  <c r="U37"/>
  <c r="Y37"/>
  <c r="X37"/>
  <c r="AF37"/>
  <c r="W37"/>
  <c r="AE37"/>
  <c r="AH37"/>
  <c r="AC37"/>
  <c r="AG37"/>
  <c r="V37"/>
  <c r="AD37"/>
  <c r="S37"/>
  <c r="AK37"/>
  <c r="AI37"/>
  <c r="R37"/>
  <c r="AB37"/>
  <c r="AJ37"/>
  <c r="AA37"/>
  <c r="Z37"/>
  <c r="U41"/>
  <c r="AH41"/>
  <c r="V41"/>
  <c r="AD41"/>
  <c r="AI41"/>
  <c r="S41"/>
  <c r="AC41"/>
  <c r="W41"/>
  <c r="AJ41"/>
  <c r="R41"/>
  <c r="AB41"/>
  <c r="AK41"/>
  <c r="AA41"/>
  <c r="Z41"/>
  <c r="AE41"/>
  <c r="Y41"/>
  <c r="AF41"/>
  <c r="X41"/>
  <c r="AG41"/>
  <c r="U13"/>
  <c r="AJ13"/>
  <c r="AK13"/>
  <c r="AF13"/>
  <c r="AG13"/>
  <c r="AH13"/>
  <c r="AI13"/>
  <c r="U40"/>
  <c r="AF40"/>
  <c r="AG40"/>
  <c r="AH40"/>
  <c r="AI40"/>
  <c r="AJ40"/>
  <c r="AK40"/>
  <c r="U15"/>
  <c r="AF15"/>
  <c r="AK15"/>
  <c r="AG15"/>
  <c r="AH15"/>
  <c r="AI15"/>
  <c r="AJ15"/>
  <c r="BF9"/>
  <c r="AH6"/>
  <c r="AJ6"/>
  <c r="AI6"/>
  <c r="AF6"/>
  <c r="AG6"/>
  <c r="AK6"/>
  <c r="AH26"/>
  <c r="AF26"/>
  <c r="AI26"/>
  <c r="AJ26"/>
  <c r="AK26"/>
  <c r="AG26"/>
  <c r="AH34"/>
  <c r="AK34"/>
  <c r="AF34"/>
  <c r="AI34"/>
  <c r="AJ34"/>
  <c r="AG34"/>
  <c r="AF16"/>
  <c r="AG16"/>
  <c r="AH16"/>
  <c r="AI16"/>
  <c r="AJ16"/>
  <c r="AK16"/>
  <c r="AJ27"/>
  <c r="AK27"/>
  <c r="AF27"/>
  <c r="AG27"/>
  <c r="AH27"/>
  <c r="AI27"/>
  <c r="AF24"/>
  <c r="AK24"/>
  <c r="AG24"/>
  <c r="AH24"/>
  <c r="AI24"/>
  <c r="AJ24"/>
  <c r="AJ23"/>
  <c r="AF23"/>
  <c r="AG23"/>
  <c r="AK23"/>
  <c r="AH23"/>
  <c r="AI23"/>
  <c r="AF36"/>
  <c r="AJ36"/>
  <c r="AG36"/>
  <c r="AH36"/>
  <c r="AI36"/>
  <c r="AK36"/>
  <c r="AH38"/>
  <c r="AG38"/>
  <c r="AI38"/>
  <c r="AJ38"/>
  <c r="AK38"/>
  <c r="AF38"/>
  <c r="AF5"/>
  <c r="AI5"/>
  <c r="AK5"/>
  <c r="AG5"/>
  <c r="AH5"/>
  <c r="AJ5"/>
  <c r="AJ35"/>
  <c r="AG35"/>
  <c r="AK35"/>
  <c r="AF35"/>
  <c r="AH35"/>
  <c r="AI35"/>
  <c r="AF21"/>
  <c r="AH21"/>
  <c r="AG21"/>
  <c r="AJ21"/>
  <c r="AK21"/>
  <c r="AI21"/>
  <c r="AJ39"/>
  <c r="AF39"/>
  <c r="AK39"/>
  <c r="AG39"/>
  <c r="AH39"/>
  <c r="AI39"/>
  <c r="AF4"/>
  <c r="AI4"/>
  <c r="AK4"/>
  <c r="AJ4"/>
  <c r="AH4"/>
  <c r="AG4"/>
  <c r="W4"/>
  <c r="Y35"/>
  <c r="AC35"/>
  <c r="X35"/>
  <c r="S35"/>
  <c r="W35"/>
  <c r="AE35"/>
  <c r="V35"/>
  <c r="AD35"/>
  <c r="Z35"/>
  <c r="R35"/>
  <c r="AB35"/>
  <c r="AA35"/>
  <c r="V39"/>
  <c r="AD39"/>
  <c r="AE39"/>
  <c r="S39"/>
  <c r="AC39"/>
  <c r="X39"/>
  <c r="W39"/>
  <c r="R39"/>
  <c r="AB39"/>
  <c r="Z39"/>
  <c r="AA39"/>
  <c r="Y39"/>
  <c r="Z36"/>
  <c r="AA36"/>
  <c r="Y36"/>
  <c r="X36"/>
  <c r="V36"/>
  <c r="W36"/>
  <c r="AE36"/>
  <c r="AD36"/>
  <c r="S36"/>
  <c r="AC36"/>
  <c r="R36"/>
  <c r="AB36"/>
  <c r="Y34"/>
  <c r="AC34"/>
  <c r="X34"/>
  <c r="W34"/>
  <c r="AE34"/>
  <c r="S34"/>
  <c r="Z34"/>
  <c r="V34"/>
  <c r="AD34"/>
  <c r="R34"/>
  <c r="AB34"/>
  <c r="AA34"/>
  <c r="V38"/>
  <c r="AD38"/>
  <c r="AE38"/>
  <c r="S38"/>
  <c r="AC38"/>
  <c r="Z38"/>
  <c r="R38"/>
  <c r="AB38"/>
  <c r="AA38"/>
  <c r="Y38"/>
  <c r="X38"/>
  <c r="W38"/>
  <c r="Y14"/>
  <c r="X14"/>
  <c r="W14"/>
  <c r="AE14"/>
  <c r="S14"/>
  <c r="AC14"/>
  <c r="AD14"/>
  <c r="Z14"/>
  <c r="AB14"/>
  <c r="AA14"/>
  <c r="V14"/>
  <c r="R14"/>
  <c r="Y26"/>
  <c r="X26"/>
  <c r="W26"/>
  <c r="AE26"/>
  <c r="S26"/>
  <c r="AC26"/>
  <c r="AA26"/>
  <c r="AB26"/>
  <c r="AD26"/>
  <c r="Z26"/>
  <c r="V26"/>
  <c r="R26"/>
  <c r="S4"/>
  <c r="AC4"/>
  <c r="R4"/>
  <c r="AB4"/>
  <c r="AA4"/>
  <c r="Y4"/>
  <c r="V4"/>
  <c r="AD4"/>
  <c r="AE4"/>
  <c r="Z4"/>
  <c r="X4"/>
  <c r="W27"/>
  <c r="AE27"/>
  <c r="V27"/>
  <c r="AD27"/>
  <c r="S27"/>
  <c r="AC27"/>
  <c r="AA27"/>
  <c r="Z27"/>
  <c r="AB27"/>
  <c r="Y27"/>
  <c r="X27"/>
  <c r="R27"/>
  <c r="S16"/>
  <c r="AC16"/>
  <c r="R16"/>
  <c r="AB16"/>
  <c r="AA16"/>
  <c r="Y16"/>
  <c r="Z16"/>
  <c r="V16"/>
  <c r="X16"/>
  <c r="W16"/>
  <c r="AE16"/>
  <c r="AD16"/>
  <c r="S24"/>
  <c r="AC24"/>
  <c r="R24"/>
  <c r="AB24"/>
  <c r="AA24"/>
  <c r="Y24"/>
  <c r="AD24"/>
  <c r="Z24"/>
  <c r="AE24"/>
  <c r="X24"/>
  <c r="W24"/>
  <c r="V24"/>
  <c r="S44"/>
  <c r="AC44"/>
  <c r="R44"/>
  <c r="AB44"/>
  <c r="AA44"/>
  <c r="Y44"/>
  <c r="V44"/>
  <c r="AE44"/>
  <c r="AD44"/>
  <c r="Z44"/>
  <c r="X44"/>
  <c r="W44"/>
  <c r="W47"/>
  <c r="AE47"/>
  <c r="V47"/>
  <c r="AD47"/>
  <c r="S47"/>
  <c r="AC47"/>
  <c r="AA47"/>
  <c r="AB47"/>
  <c r="Z47"/>
  <c r="Y47"/>
  <c r="X47"/>
  <c r="R47"/>
  <c r="AA13"/>
  <c r="Z13"/>
  <c r="Y13"/>
  <c r="W13"/>
  <c r="AE13"/>
  <c r="V13"/>
  <c r="S13"/>
  <c r="R13"/>
  <c r="AD13"/>
  <c r="AC13"/>
  <c r="AB13"/>
  <c r="X13"/>
  <c r="Y42"/>
  <c r="X42"/>
  <c r="W42"/>
  <c r="AE42"/>
  <c r="S42"/>
  <c r="AC42"/>
  <c r="AA42"/>
  <c r="R42"/>
  <c r="Z42"/>
  <c r="V42"/>
  <c r="AD42"/>
  <c r="AB42"/>
  <c r="S8"/>
  <c r="AC8"/>
  <c r="R8"/>
  <c r="AB8"/>
  <c r="AA8"/>
  <c r="Y8"/>
  <c r="X8"/>
  <c r="AE8"/>
  <c r="Z8"/>
  <c r="AD8"/>
  <c r="W8"/>
  <c r="V8"/>
  <c r="S40"/>
  <c r="AC40"/>
  <c r="R40"/>
  <c r="AB40"/>
  <c r="AA40"/>
  <c r="Y40"/>
  <c r="Z40"/>
  <c r="V40"/>
  <c r="X40"/>
  <c r="W40"/>
  <c r="AE40"/>
  <c r="AD40"/>
  <c r="W23"/>
  <c r="AE23"/>
  <c r="V23"/>
  <c r="AD23"/>
  <c r="S23"/>
  <c r="AC23"/>
  <c r="AA23"/>
  <c r="X23"/>
  <c r="R23"/>
  <c r="AB23"/>
  <c r="Z23"/>
  <c r="Y23"/>
  <c r="Y46"/>
  <c r="X46"/>
  <c r="W46"/>
  <c r="AE46"/>
  <c r="S46"/>
  <c r="AC46"/>
  <c r="R46"/>
  <c r="AD46"/>
  <c r="AB46"/>
  <c r="AA46"/>
  <c r="Z46"/>
  <c r="V46"/>
  <c r="W7"/>
  <c r="AE7"/>
  <c r="V7"/>
  <c r="AD7"/>
  <c r="S7"/>
  <c r="AC7"/>
  <c r="AA7"/>
  <c r="R7"/>
  <c r="AB7"/>
  <c r="Z7"/>
  <c r="Y7"/>
  <c r="X7"/>
  <c r="W43"/>
  <c r="AE43"/>
  <c r="V43"/>
  <c r="AD43"/>
  <c r="S43"/>
  <c r="AC43"/>
  <c r="AA43"/>
  <c r="Y43"/>
  <c r="X43"/>
  <c r="R43"/>
  <c r="AB43"/>
  <c r="Z43"/>
  <c r="AA21"/>
  <c r="Z21"/>
  <c r="Y21"/>
  <c r="W21"/>
  <c r="AE21"/>
  <c r="AD21"/>
  <c r="AB21"/>
  <c r="AC21"/>
  <c r="X21"/>
  <c r="V21"/>
  <c r="S21"/>
  <c r="R21"/>
  <c r="W15"/>
  <c r="AE15"/>
  <c r="V15"/>
  <c r="AD15"/>
  <c r="S15"/>
  <c r="AC15"/>
  <c r="AA15"/>
  <c r="X15"/>
  <c r="AB15"/>
  <c r="Y15"/>
  <c r="Z15"/>
  <c r="R15"/>
  <c r="Y6"/>
  <c r="X6"/>
  <c r="W6"/>
  <c r="AE6"/>
  <c r="S6"/>
  <c r="AC6"/>
  <c r="V6"/>
  <c r="AD6"/>
  <c r="R6"/>
  <c r="AB6"/>
  <c r="AA6"/>
  <c r="Z6"/>
  <c r="AA5"/>
  <c r="Z5"/>
  <c r="Y5"/>
  <c r="W5"/>
  <c r="AE5"/>
  <c r="AC5"/>
  <c r="S5"/>
  <c r="AB5"/>
  <c r="V5"/>
  <c r="X5"/>
  <c r="R5"/>
  <c r="AD5"/>
  <c r="BF19"/>
  <c r="BF20"/>
  <c r="BF18"/>
  <c r="BF24"/>
  <c r="BF21"/>
  <c r="BF26"/>
  <c r="BF23"/>
  <c r="BF25"/>
  <c r="BF22"/>
  <c r="BF41"/>
  <c r="BF17"/>
  <c r="BF7"/>
  <c r="BF15"/>
  <c r="BF12"/>
  <c r="BF16"/>
  <c r="BF11"/>
  <c r="BF8"/>
  <c r="BG37"/>
  <c r="BG38"/>
  <c r="BG39"/>
  <c r="BG40" s="1"/>
  <c r="BG42"/>
  <c r="BG36"/>
  <c r="BA13" l="1"/>
  <c r="BA14"/>
  <c r="C10"/>
  <c r="BC13"/>
  <c r="BB13"/>
  <c r="BG14"/>
  <c r="BG13"/>
  <c r="AZ13"/>
  <c r="BB14"/>
  <c r="AZ14"/>
  <c r="BC14"/>
  <c r="C11"/>
  <c r="BG9"/>
  <c r="C60"/>
  <c r="C63"/>
  <c r="C53" s="1"/>
  <c r="C62"/>
  <c r="C52" s="1"/>
  <c r="C61"/>
  <c r="C51" s="1"/>
  <c r="BC11"/>
  <c r="BG19"/>
  <c r="BG20"/>
  <c r="BG18"/>
  <c r="BG21"/>
  <c r="BG23"/>
  <c r="BG25"/>
  <c r="BG22"/>
  <c r="BG24"/>
  <c r="BG26"/>
  <c r="BH16"/>
  <c r="BH11"/>
  <c r="BH22"/>
  <c r="BH18"/>
  <c r="BH9"/>
  <c r="BG41"/>
  <c r="BG17"/>
  <c r="BG12"/>
  <c r="BG15"/>
  <c r="BG7"/>
  <c r="BG16"/>
  <c r="BG11"/>
  <c r="BG8"/>
  <c r="C50" l="1"/>
  <c r="BH23"/>
  <c r="BH26"/>
  <c r="BH25"/>
  <c r="BH20"/>
  <c r="BH19"/>
  <c r="BH24"/>
  <c r="BH12"/>
  <c r="BH21"/>
  <c r="BH15"/>
  <c r="BH17"/>
  <c r="AZ20"/>
  <c r="BA9"/>
  <c r="AZ9"/>
  <c r="AZ19"/>
  <c r="BA19"/>
  <c r="BA18"/>
  <c r="AZ18"/>
  <c r="BA20"/>
  <c r="AZ21"/>
  <c r="AZ26"/>
  <c r="BA22"/>
  <c r="BA26"/>
  <c r="BA21"/>
  <c r="AZ24"/>
  <c r="BA24"/>
  <c r="AZ23"/>
  <c r="AZ25"/>
  <c r="BA25"/>
  <c r="BA23"/>
  <c r="AZ22"/>
  <c r="BA11"/>
  <c r="BA12"/>
  <c r="AZ16"/>
  <c r="BA15"/>
  <c r="BA17"/>
  <c r="AZ17"/>
  <c r="AZ15"/>
  <c r="AZ12"/>
  <c r="BA16"/>
  <c r="AZ11"/>
  <c r="C5"/>
  <c r="BI36"/>
  <c r="BI13" s="1"/>
  <c r="BJ13" s="1"/>
  <c r="BI38"/>
  <c r="BI42"/>
  <c r="BI39"/>
  <c r="BI40" s="1"/>
  <c r="BI37"/>
  <c r="C6" s="1"/>
  <c r="BI14" l="1"/>
  <c r="BJ14" s="1"/>
  <c r="BI9"/>
  <c r="BC17"/>
  <c r="BC25"/>
  <c r="BI19"/>
  <c r="BI20"/>
  <c r="BI18"/>
  <c r="BI23"/>
  <c r="BI25"/>
  <c r="BI22"/>
  <c r="BI24"/>
  <c r="BI21"/>
  <c r="BI26"/>
  <c r="BI41"/>
  <c r="BI8" s="1"/>
  <c r="BI12"/>
  <c r="BI17"/>
  <c r="BI11"/>
  <c r="BI16"/>
  <c r="BI15"/>
  <c r="BI7"/>
  <c r="BC9" l="1"/>
  <c r="BC18"/>
  <c r="BC22"/>
  <c r="BC16"/>
  <c r="BC21"/>
  <c r="BC23"/>
  <c r="BC26"/>
  <c r="BC15"/>
  <c r="BC20"/>
  <c r="BC19"/>
  <c r="BC12"/>
  <c r="BC24"/>
  <c r="BB25"/>
  <c r="BJ25" s="1"/>
  <c r="BB24"/>
  <c r="BB19"/>
  <c r="BB18"/>
  <c r="BB22"/>
  <c r="BB26"/>
  <c r="BB21"/>
  <c r="BJ26" l="1"/>
  <c r="BJ21"/>
  <c r="BJ22"/>
  <c r="BJ24"/>
  <c r="BJ19"/>
  <c r="BJ18"/>
  <c r="BB23"/>
  <c r="BJ23" s="1"/>
  <c r="C21"/>
  <c r="C31"/>
  <c r="C28"/>
  <c r="C29"/>
  <c r="C27"/>
  <c r="BB9"/>
  <c r="C7" s="1"/>
  <c r="C17"/>
  <c r="BB20"/>
  <c r="BJ20" s="1"/>
  <c r="C24"/>
  <c r="C25"/>
  <c r="C23"/>
  <c r="C19"/>
  <c r="C20"/>
  <c r="BB16"/>
  <c r="BJ16" s="1"/>
  <c r="C13"/>
  <c r="C56" s="1"/>
  <c r="C44" s="1"/>
  <c r="BB11"/>
  <c r="BJ11" s="1"/>
  <c r="C8"/>
  <c r="BB17"/>
  <c r="BJ17" s="1"/>
  <c r="C14"/>
  <c r="C57" s="1"/>
  <c r="C45" s="1"/>
  <c r="C15"/>
  <c r="C58" s="1"/>
  <c r="C46" s="1"/>
  <c r="C16"/>
  <c r="BB15"/>
  <c r="BJ15" s="1"/>
  <c r="C12"/>
  <c r="C55" s="1"/>
  <c r="C43" s="1"/>
  <c r="BB12"/>
  <c r="BJ12" s="1"/>
  <c r="C9"/>
  <c r="C40" l="1"/>
  <c r="C41"/>
  <c r="C38" l="1"/>
  <c r="C39"/>
</calcChain>
</file>

<file path=xl/comments1.xml><?xml version="1.0" encoding="utf-8"?>
<comments xmlns="http://schemas.openxmlformats.org/spreadsheetml/2006/main">
  <authors>
    <author>Mhoram</author>
  </authors>
  <commentList>
    <comment ref="BO25" authorId="0">
      <text>
        <r>
          <rPr>
            <b/>
            <sz val="9"/>
            <color indexed="81"/>
            <rFont val="Tahoma"/>
            <charset val="1"/>
          </rPr>
          <t>Did not look into TAC to verify this</t>
        </r>
      </text>
    </comment>
  </commentList>
</comments>
</file>

<file path=xl/sharedStrings.xml><?xml version="1.0" encoding="utf-8"?>
<sst xmlns="http://schemas.openxmlformats.org/spreadsheetml/2006/main" count="223" uniqueCount="158">
  <si>
    <t>Efficiency of this module</t>
  </si>
  <si>
    <t>Kerbal 1 Stupidity (0-1)</t>
  </si>
  <si>
    <t>Kerbal 2 Stupidity (0-1)</t>
  </si>
  <si>
    <t>Mod Kerbal Factor</t>
  </si>
  <si>
    <t>Number of Kerbals</t>
  </si>
  <si>
    <t>Is Module</t>
  </si>
  <si>
    <t>Number of Kerbals not in this module</t>
  </si>
  <si>
    <t>Weighted Kerbals</t>
  </si>
  <si>
    <t>… including happieness</t>
  </si>
  <si>
    <t>Work Units</t>
  </si>
  <si>
    <t>Non-MKS Parts Crew Capacity</t>
  </si>
  <si>
    <t>Partcount</t>
  </si>
  <si>
    <t>Total Workspaces</t>
  </si>
  <si>
    <t>MKS Crew Capacity</t>
  </si>
  <si>
    <t>Total Crew Capacity</t>
  </si>
  <si>
    <t>Number of Kerbals in the Ship</t>
  </si>
  <si>
    <t>Efficient Workspaces</t>
  </si>
  <si>
    <t>Number of living spaces</t>
  </si>
  <si>
    <t>Number of Active Modules</t>
  </si>
  <si>
    <t>Active</t>
  </si>
  <si>
    <t>Exact Efficiency</t>
  </si>
  <si>
    <t>Base Number</t>
  </si>
  <si>
    <t>Results</t>
  </si>
  <si>
    <t>Additional Calculations</t>
  </si>
  <si>
    <t>Module</t>
  </si>
  <si>
    <t>Energy per module</t>
  </si>
  <si>
    <t>Special Products</t>
  </si>
  <si>
    <t>Punchcards per Module</t>
  </si>
  <si>
    <t>BioMass</t>
  </si>
  <si>
    <t>Refinery Products per Module</t>
  </si>
  <si>
    <t>PatchKits per Module</t>
  </si>
  <si>
    <t>RepairKits per Module</t>
  </si>
  <si>
    <t>Colony Control Center</t>
  </si>
  <si>
    <t>Module ID</t>
  </si>
  <si>
    <t>Punch Card Bilance</t>
  </si>
  <si>
    <t>Fabrication</t>
  </si>
  <si>
    <t>Modular Factory</t>
  </si>
  <si>
    <t>PDU</t>
  </si>
  <si>
    <t>Assembly</t>
  </si>
  <si>
    <t>Energy Bilance</t>
  </si>
  <si>
    <t>PunchCards Bilance</t>
  </si>
  <si>
    <t>Refinery Products Bilance</t>
  </si>
  <si>
    <t>SUM</t>
  </si>
  <si>
    <t>Recyclables per module</t>
  </si>
  <si>
    <t>Replacement Parts Per Module</t>
  </si>
  <si>
    <t>Fabrication Products Bilance</t>
  </si>
  <si>
    <t>Modular Parts Bilance</t>
  </si>
  <si>
    <t>Modular Parts per Module</t>
  </si>
  <si>
    <t>Fabrication Products per Module</t>
  </si>
  <si>
    <t>Assembly Products per Module</t>
  </si>
  <si>
    <t>Assembly Products Bilance</t>
  </si>
  <si>
    <t>Energy Bilance Minimum</t>
  </si>
  <si>
    <t>BioMass Bilance</t>
  </si>
  <si>
    <t>PatchKits Bilance</t>
  </si>
  <si>
    <t>RepairKits Bilance</t>
  </si>
  <si>
    <t>ReplacementParts Bilance</t>
  </si>
  <si>
    <t>Repair Shop RepairKits</t>
  </si>
  <si>
    <t>Repair Shop Recycle</t>
  </si>
  <si>
    <t>Repair Shop ReplacementParts</t>
  </si>
  <si>
    <t>Repair Shop PatchKits</t>
  </si>
  <si>
    <t>Efficiency Cap</t>
  </si>
  <si>
    <t>Recyclables Bilance</t>
  </si>
  <si>
    <t>Machinery Plant Basic</t>
  </si>
  <si>
    <t>Machinery Plant Adv</t>
  </si>
  <si>
    <t>Machinery Plant Spec</t>
  </si>
  <si>
    <t>Tanksize</t>
  </si>
  <si>
    <t>BioLab Compost</t>
  </si>
  <si>
    <t>BioLab BioMass</t>
  </si>
  <si>
    <t>Bio Lab BioMass</t>
  </si>
  <si>
    <t>WasteWater</t>
  </si>
  <si>
    <t>CO2</t>
  </si>
  <si>
    <t>Compost</t>
  </si>
  <si>
    <t>Need more room for basedescriptions? Extend Columns E-AI further down.</t>
  </si>
  <si>
    <t>Comment (e.g. Name of MKS Module)</t>
  </si>
  <si>
    <t>51 Life Support ILM</t>
  </si>
  <si>
    <t>52 Mining/Agriculture ILM</t>
  </si>
  <si>
    <t>53 MEP ILM</t>
  </si>
  <si>
    <t>54 Refining ILM</t>
  </si>
  <si>
    <t>55 Equipment ILM</t>
  </si>
  <si>
    <t>56 Manufacturing ILM</t>
  </si>
  <si>
    <t>Punch Card Antenna</t>
  </si>
  <si>
    <t>Efficiency Part</t>
  </si>
  <si>
    <t>Kerbitat Komposter</t>
  </si>
  <si>
    <t>Kerbitat Habitat</t>
  </si>
  <si>
    <t>Aeroponics Purify</t>
  </si>
  <si>
    <t>Aeroponics Greenhouse</t>
  </si>
  <si>
    <t>Aeroponics Air Filter</t>
  </si>
  <si>
    <t>Agriculture Module</t>
  </si>
  <si>
    <t>Number of Kerbitats</t>
  </si>
  <si>
    <t>Habitation Dome</t>
  </si>
  <si>
    <t>Oxygen</t>
  </si>
  <si>
    <t>Kerbal</t>
  </si>
  <si>
    <t>Food</t>
  </si>
  <si>
    <t>Kerbitat Composter</t>
  </si>
  <si>
    <t>Waste</t>
  </si>
  <si>
    <t>Oxygen Bilance</t>
  </si>
  <si>
    <t>Food Bilance</t>
  </si>
  <si>
    <t>CO2 Bilance</t>
  </si>
  <si>
    <t>Compost Bilance</t>
  </si>
  <si>
    <t>Waste Bilance</t>
  </si>
  <si>
    <t>Waste Water Bilance</t>
  </si>
  <si>
    <t>WasteWater Bilance</t>
  </si>
  <si>
    <t>Water Bilance</t>
  </si>
  <si>
    <t>Water</t>
  </si>
  <si>
    <t>Number of Aeroponics</t>
  </si>
  <si>
    <t>Generator Parts</t>
  </si>
  <si>
    <t>Number of Efficiency Parts</t>
  </si>
  <si>
    <t>Eff Parts</t>
  </si>
  <si>
    <t>eff 0,5&lt;=x&lt;=2,5</t>
  </si>
  <si>
    <t>Kerbals</t>
  </si>
  <si>
    <t>After Efficiency Parts Efficiency Bonus Applied</t>
  </si>
  <si>
    <t>Bio Lab Compost</t>
  </si>
  <si>
    <t>Need room for more bases? Insert further columns: mark whole 9-th column -&gt; Ctrl-C -&gt; Ctrl-+.</t>
  </si>
  <si>
    <t>Module ID (see Column "Module AI" in the rightmost Table)</t>
  </si>
  <si>
    <r>
      <t xml:space="preserve">USI Kolonization System V0.20.6
Planning Spreadsheet for MKS Bases
</t>
    </r>
    <r>
      <rPr>
        <sz val="16"/>
        <rFont val="Calibri"/>
        <family val="2"/>
      </rPr>
      <t xml:space="preserve">Not Supported: OKS &amp; Drills &amp; Karbonite Energy Generators
</t>
    </r>
    <r>
      <rPr>
        <sz val="16"/>
        <color rgb="FFFF0000"/>
        <rFont val="Calibri"/>
        <family val="2"/>
      </rPr>
      <t>ONLY CHANGE THE BLUE CELLS</t>
    </r>
  </si>
  <si>
    <t>Workspace Kerbal Ratio</t>
  </si>
  <si>
    <t>Workspace Modules</t>
  </si>
  <si>
    <t>Energy from other Parts in units per sec</t>
  </si>
  <si>
    <t>Refinery Production</t>
  </si>
  <si>
    <t>Fabrication Production</t>
  </si>
  <si>
    <t>Modular Parts Production</t>
  </si>
  <si>
    <t>Assembly Production</t>
  </si>
  <si>
    <t>Tank Filling Durations</t>
  </si>
  <si>
    <t>Refinery Tank Base Time</t>
  </si>
  <si>
    <t>Fabrication Tank Base Time</t>
  </si>
  <si>
    <t>Modular Parts Tank Base Time</t>
  </si>
  <si>
    <t>Assembly Tank Base Time</t>
  </si>
  <si>
    <t>Refinery Tank Real Time</t>
  </si>
  <si>
    <t>Fabrication Tank Real Time</t>
  </si>
  <si>
    <t>Modular Parts Tank Real Time</t>
  </si>
  <si>
    <t>Assembly Tank Real Time</t>
  </si>
  <si>
    <t>these values only fit roughly with alternate resource panel predictions</t>
  </si>
  <si>
    <t>Density</t>
  </si>
  <si>
    <t>Substrate</t>
  </si>
  <si>
    <t>Substrate Bilance</t>
  </si>
  <si>
    <t>Masssumm</t>
  </si>
  <si>
    <t>Other</t>
  </si>
  <si>
    <t>Happieness</t>
  </si>
  <si>
    <t>Number of active covnerters</t>
  </si>
  <si>
    <t>Base Number (References Row 1 above the blue field to the right)</t>
  </si>
  <si>
    <t>Is virtual (use this for Modules that contain non-uniform Converters, e.g. with IDs containing a "," so that only a single one of them is marked non-virtual)</t>
  </si>
  <si>
    <t>Base Time Seconds Ref</t>
  </si>
  <si>
    <t>Base Time Seconds Fab</t>
  </si>
  <si>
    <t>Base Time Seconds Mod</t>
  </si>
  <si>
    <t>Base Time Seconds Ass</t>
  </si>
  <si>
    <t>Real Time Seconds Ref</t>
  </si>
  <si>
    <t>Real Time Seconds Fab</t>
  </si>
  <si>
    <t>Real Time Seconds Mod</t>
  </si>
  <si>
    <t>Real Time Seconds Ass</t>
  </si>
  <si>
    <t>Ore</t>
  </si>
  <si>
    <t>Minerals</t>
  </si>
  <si>
    <t>Refinery Ore</t>
  </si>
  <si>
    <t>Refinery Metals</t>
  </si>
  <si>
    <t>Refinery Chemicals</t>
  </si>
  <si>
    <t>Refinery Polymers</t>
  </si>
  <si>
    <t>Ore Bilance</t>
  </si>
  <si>
    <t>Minerals Bilance</t>
  </si>
  <si>
    <t>Mineral Bilance</t>
  </si>
</sst>
</file>

<file path=xl/styles.xml><?xml version="1.0" encoding="utf-8"?>
<styleSheet xmlns="http://schemas.openxmlformats.org/spreadsheetml/2006/main">
  <numFmts count="7">
    <numFmt numFmtId="164" formatCode="0.0%"/>
    <numFmt numFmtId="165" formatCode="0.0000"/>
    <numFmt numFmtId="166" formatCode="0.00000"/>
    <numFmt numFmtId="167" formatCode="0.000"/>
    <numFmt numFmtId="168" formatCode="0.000000"/>
    <numFmt numFmtId="169" formatCode="0.000000000"/>
    <numFmt numFmtId="170" formatCode="0.000000%"/>
  </numFmts>
  <fonts count="8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6"/>
      <color rgb="FF000000"/>
      <name val="Calibri"/>
      <family val="2"/>
    </font>
    <font>
      <sz val="16"/>
      <name val="Calibri"/>
      <family val="2"/>
    </font>
    <font>
      <b/>
      <sz val="9"/>
      <color indexed="81"/>
      <name val="Tahoma"/>
      <charset val="1"/>
    </font>
    <font>
      <sz val="16"/>
      <color rgb="FFFF0000"/>
      <name val="Calibri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C5D9F1"/>
        <bgColor rgb="FFC5D9F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textRotation="90" wrapText="1"/>
    </xf>
    <xf numFmtId="0" fontId="0" fillId="0" borderId="0" xfId="0" applyFill="1" applyAlignment="1">
      <alignment textRotation="90" wrapText="1"/>
    </xf>
    <xf numFmtId="0" fontId="0" fillId="0" borderId="0" xfId="0" applyAlignment="1">
      <alignment wrapText="1"/>
    </xf>
    <xf numFmtId="164" fontId="1" fillId="0" borderId="0" xfId="1" applyNumberFormat="1"/>
    <xf numFmtId="0" fontId="0" fillId="3" borderId="0" xfId="0" applyFill="1"/>
    <xf numFmtId="165" fontId="0" fillId="0" borderId="0" xfId="0" applyNumberFormat="1"/>
    <xf numFmtId="0" fontId="0" fillId="0" borderId="0" xfId="0" applyFill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0" fontId="0" fillId="4" borderId="0" xfId="0" applyFill="1"/>
    <xf numFmtId="0" fontId="0" fillId="0" borderId="0" xfId="0" applyAlignment="1">
      <alignment textRotation="90"/>
    </xf>
    <xf numFmtId="168" fontId="0" fillId="0" borderId="0" xfId="0" applyNumberFormat="1"/>
    <xf numFmtId="169" fontId="0" fillId="0" borderId="0" xfId="0" applyNumberFormat="1"/>
    <xf numFmtId="11" fontId="0" fillId="0" borderId="0" xfId="0" applyNumberFormat="1"/>
    <xf numFmtId="0" fontId="0" fillId="0" borderId="0" xfId="0" applyFill="1" applyBorder="1" applyAlignment="1">
      <alignment textRotation="90" wrapText="1"/>
    </xf>
    <xf numFmtId="2" fontId="0" fillId="3" borderId="0" xfId="0" applyNumberFormat="1" applyFill="1" applyBorder="1"/>
    <xf numFmtId="0" fontId="0" fillId="3" borderId="0" xfId="0" applyFill="1" applyBorder="1"/>
    <xf numFmtId="0" fontId="0" fillId="3" borderId="1" xfId="0" applyFill="1" applyBorder="1"/>
    <xf numFmtId="0" fontId="0" fillId="0" borderId="2" xfId="0" applyFill="1" applyBorder="1" applyAlignment="1">
      <alignment textRotation="90" wrapText="1"/>
    </xf>
    <xf numFmtId="0" fontId="0" fillId="3" borderId="2" xfId="0" applyFill="1" applyBorder="1"/>
    <xf numFmtId="0" fontId="0" fillId="4" borderId="0" xfId="0" applyFill="1" applyAlignment="1">
      <alignment horizontal="right"/>
    </xf>
    <xf numFmtId="164" fontId="0" fillId="3" borderId="0" xfId="1" applyNumberFormat="1" applyFont="1" applyFill="1"/>
    <xf numFmtId="170" fontId="0" fillId="3" borderId="0" xfId="1" applyNumberFormat="1" applyFont="1" applyFill="1"/>
    <xf numFmtId="0" fontId="0" fillId="5" borderId="0" xfId="0" applyFill="1"/>
    <xf numFmtId="0" fontId="0" fillId="0" borderId="1" xfId="0" applyFill="1" applyBorder="1" applyAlignment="1">
      <alignment horizontal="left" textRotation="90" wrapText="1"/>
    </xf>
    <xf numFmtId="0" fontId="0" fillId="0" borderId="0" xfId="0" applyFill="1" applyAlignment="1">
      <alignment horizontal="left" textRotation="90" wrapText="1"/>
    </xf>
    <xf numFmtId="168" fontId="0" fillId="0" borderId="0" xfId="0" applyNumberFormat="1" applyFill="1"/>
    <xf numFmtId="11" fontId="0" fillId="0" borderId="0" xfId="0" applyNumberFormat="1" applyFill="1"/>
    <xf numFmtId="0" fontId="0" fillId="0" borderId="0" xfId="0" applyAlignment="1">
      <alignment vertical="top" wrapText="1"/>
    </xf>
    <xf numFmtId="0" fontId="7" fillId="0" borderId="0" xfId="0" applyFont="1"/>
    <xf numFmtId="0" fontId="0" fillId="4" borderId="0" xfId="0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168" fontId="0" fillId="6" borderId="0" xfId="0" applyNumberFormat="1" applyFill="1"/>
    <xf numFmtId="0" fontId="0" fillId="7" borderId="0" xfId="0" applyFill="1"/>
    <xf numFmtId="2" fontId="0" fillId="0" borderId="0" xfId="0" applyNumberFormat="1" applyFill="1"/>
  </cellXfs>
  <cellStyles count="3">
    <cellStyle name="cf1" xfId="2"/>
    <cellStyle name="Prozent" xfId="1" builtinId="5" customBuiltin="1"/>
    <cellStyle name="Standard" xfId="0" builtinId="0" customBuiltin="1"/>
  </cellStyles>
  <dxfs count="4"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theme="2" tint="-0.749961851863155"/>
      </font>
      <fill>
        <patternFill patternType="solid">
          <fgColor theme="2" tint="-0.24994659260841701"/>
          <bgColor theme="2" tint="-0.24994659260841701"/>
        </patternFill>
      </fill>
    </dxf>
    <dxf>
      <font>
        <color rgb="FFFF0000"/>
      </font>
      <fill>
        <patternFill>
          <bgColor theme="5" tint="0.39994506668294322"/>
        </patternFill>
      </fill>
    </dxf>
  </dxfs>
  <tableStyles count="0" defaultTableStyle="TableStyleMedium9" defaultPivotStyle="PivotStyleLight16"/>
  <colors>
    <mruColors>
      <color rgb="FF63BE7B"/>
      <color rgb="FFFFEB84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N124"/>
  <sheetViews>
    <sheetView tabSelected="1" zoomScaleNormal="100" workbookViewId="0">
      <pane ySplit="1" topLeftCell="A2" activePane="bottomLeft" state="frozen"/>
      <selection activeCell="K1" sqref="K1"/>
      <selection pane="bottomLeft" activeCell="K12" sqref="K12"/>
    </sheetView>
  </sheetViews>
  <sheetFormatPr baseColWidth="10" defaultRowHeight="15"/>
  <cols>
    <col min="1" max="1" width="3.28515625" customWidth="1"/>
    <col min="2" max="2" width="34.7109375" customWidth="1"/>
    <col min="3" max="3" width="21.28515625" bestFit="1" customWidth="1"/>
    <col min="4" max="4" width="3.42578125" customWidth="1"/>
    <col min="5" max="5" width="8.140625" bestFit="1" customWidth="1"/>
    <col min="6" max="6" width="29.85546875" style="5" bestFit="1" customWidth="1"/>
    <col min="7" max="7" width="4.140625" style="19" bestFit="1" customWidth="1"/>
    <col min="8" max="9" width="4.7109375" style="18" bestFit="1" customWidth="1"/>
    <col min="10" max="10" width="3.7109375" style="21" customWidth="1"/>
    <col min="11" max="11" width="3.7109375" style="5" bestFit="1" customWidth="1"/>
    <col min="12" max="12" width="11.28515625" style="5" bestFit="1" customWidth="1"/>
    <col min="13" max="13" width="3.7109375" style="5" customWidth="1"/>
    <col min="14" max="14" width="4" hidden="1" customWidth="1"/>
    <col min="15" max="16" width="3.7109375" hidden="1" customWidth="1"/>
    <col min="17" max="17" width="9" hidden="1" customWidth="1"/>
    <col min="18" max="23" width="5.28515625" hidden="1" customWidth="1"/>
    <col min="24" max="24" width="7.28515625" hidden="1" customWidth="1"/>
    <col min="25" max="25" width="5.28515625" hidden="1" customWidth="1"/>
    <col min="26" max="26" width="8.42578125" hidden="1" customWidth="1"/>
    <col min="27" max="37" width="9" hidden="1" customWidth="1"/>
    <col min="38" max="38" width="3.7109375" hidden="1" customWidth="1"/>
    <col min="39" max="39" width="4.5703125" hidden="1" customWidth="1"/>
    <col min="40" max="40" width="5.7109375" hidden="1" customWidth="1"/>
    <col min="41" max="41" width="6" hidden="1" customWidth="1"/>
    <col min="42" max="43" width="12.28515625" hidden="1" customWidth="1"/>
    <col min="44" max="44" width="3.140625" hidden="1" customWidth="1"/>
    <col min="45" max="45" width="7.85546875" hidden="1" customWidth="1"/>
    <col min="46" max="46" width="18.85546875" hidden="1" customWidth="1"/>
    <col min="47" max="48" width="6" hidden="1" customWidth="1"/>
    <col min="49" max="49" width="12.28515625" hidden="1" customWidth="1"/>
    <col min="50" max="50" width="2.85546875" customWidth="1"/>
    <col min="51" max="51" width="27.85546875" customWidth="1"/>
    <col min="52" max="52" width="9.42578125" bestFit="1" customWidth="1"/>
    <col min="53" max="54" width="9" bestFit="1" customWidth="1"/>
    <col min="55" max="55" width="9.140625" bestFit="1" customWidth="1"/>
    <col min="56" max="61" width="7.42578125" customWidth="1"/>
    <col min="62" max="62" width="9.42578125" bestFit="1" customWidth="1"/>
    <col min="63" max="63" width="2.85546875" customWidth="1"/>
    <col min="64" max="64" width="29.85546875" bestFit="1" customWidth="1"/>
    <col min="65" max="65" width="4.28515625" bestFit="1" customWidth="1"/>
    <col min="66" max="66" width="18.85546875" bestFit="1" customWidth="1"/>
    <col min="67" max="67" width="5.85546875" bestFit="1" customWidth="1"/>
    <col min="68" max="68" width="9.42578125" bestFit="1" customWidth="1"/>
    <col min="69" max="71" width="9.42578125" customWidth="1"/>
    <col min="72" max="75" width="9.42578125" bestFit="1" customWidth="1"/>
    <col min="76" max="76" width="10.42578125" bestFit="1" customWidth="1"/>
    <col min="77" max="77" width="12.85546875" bestFit="1" customWidth="1"/>
    <col min="80" max="82" width="12.85546875" bestFit="1" customWidth="1"/>
    <col min="83" max="85" width="12.85546875" customWidth="1"/>
    <col min="86" max="86" width="12.85546875" bestFit="1" customWidth="1"/>
    <col min="87" max="87" width="12.85546875" customWidth="1"/>
    <col min="88" max="88" width="12.85546875" bestFit="1" customWidth="1"/>
    <col min="89" max="89" width="15.7109375" bestFit="1" customWidth="1"/>
  </cols>
  <sheetData>
    <row r="1" spans="2:92" ht="153" customHeight="1">
      <c r="B1" s="33" t="s">
        <v>114</v>
      </c>
      <c r="C1" s="33"/>
      <c r="E1" s="1" t="s">
        <v>0</v>
      </c>
      <c r="F1" s="2" t="s">
        <v>73</v>
      </c>
      <c r="G1" s="26" t="s">
        <v>113</v>
      </c>
      <c r="H1" s="16" t="s">
        <v>1</v>
      </c>
      <c r="I1" s="16" t="s">
        <v>2</v>
      </c>
      <c r="J1" s="20" t="s">
        <v>138</v>
      </c>
      <c r="K1" s="27" t="s">
        <v>139</v>
      </c>
      <c r="L1" s="2" t="s">
        <v>60</v>
      </c>
      <c r="M1" s="27" t="s">
        <v>140</v>
      </c>
      <c r="N1" s="1" t="s">
        <v>3</v>
      </c>
      <c r="O1" s="2" t="s">
        <v>4</v>
      </c>
      <c r="P1" s="2" t="s">
        <v>5</v>
      </c>
      <c r="Q1" s="2" t="s">
        <v>39</v>
      </c>
      <c r="R1" s="2" t="s">
        <v>40</v>
      </c>
      <c r="S1" s="27" t="s">
        <v>155</v>
      </c>
      <c r="T1" s="27" t="s">
        <v>156</v>
      </c>
      <c r="U1" s="2" t="s">
        <v>134</v>
      </c>
      <c r="V1" s="2" t="s">
        <v>41</v>
      </c>
      <c r="W1" s="2" t="s">
        <v>45</v>
      </c>
      <c r="X1" s="2" t="s">
        <v>46</v>
      </c>
      <c r="Y1" s="2" t="s">
        <v>50</v>
      </c>
      <c r="Z1" s="2" t="s">
        <v>52</v>
      </c>
      <c r="AA1" s="12" t="s">
        <v>53</v>
      </c>
      <c r="AB1" s="12" t="s">
        <v>54</v>
      </c>
      <c r="AC1" s="12" t="s">
        <v>55</v>
      </c>
      <c r="AD1" s="12" t="s">
        <v>61</v>
      </c>
      <c r="AE1" s="12" t="s">
        <v>98</v>
      </c>
      <c r="AF1" s="12" t="s">
        <v>96</v>
      </c>
      <c r="AG1" s="12" t="s">
        <v>95</v>
      </c>
      <c r="AH1" s="12" t="s">
        <v>102</v>
      </c>
      <c r="AI1" s="1" t="s">
        <v>97</v>
      </c>
      <c r="AJ1" s="1" t="s">
        <v>99</v>
      </c>
      <c r="AK1" s="1" t="s">
        <v>101</v>
      </c>
      <c r="AL1" s="2" t="s">
        <v>6</v>
      </c>
      <c r="AM1" s="2" t="s">
        <v>7</v>
      </c>
      <c r="AN1" s="2" t="s">
        <v>8</v>
      </c>
      <c r="AO1" s="2" t="s">
        <v>9</v>
      </c>
      <c r="AP1" s="2" t="s">
        <v>20</v>
      </c>
      <c r="AQ1" s="2" t="s">
        <v>108</v>
      </c>
      <c r="AR1" s="2" t="s">
        <v>24</v>
      </c>
      <c r="AS1" s="2" t="s">
        <v>105</v>
      </c>
      <c r="AT1" s="2" t="s">
        <v>81</v>
      </c>
      <c r="AU1" s="2" t="s">
        <v>106</v>
      </c>
      <c r="AV1" s="2" t="s">
        <v>107</v>
      </c>
      <c r="AW1" s="2" t="s">
        <v>110</v>
      </c>
      <c r="AX1" s="3"/>
      <c r="AY1" t="s">
        <v>21</v>
      </c>
      <c r="AZ1">
        <v>1</v>
      </c>
      <c r="BA1">
        <f ca="1">OFFSET(BA1,0,-1)+1</f>
        <v>2</v>
      </c>
      <c r="BB1">
        <f t="shared" ref="BB1:BI1" ca="1" si="0">OFFSET(BB1,0,-1)+1</f>
        <v>3</v>
      </c>
      <c r="BC1">
        <f t="shared" ca="1" si="0"/>
        <v>4</v>
      </c>
      <c r="BD1">
        <f t="shared" ca="1" si="0"/>
        <v>5</v>
      </c>
      <c r="BE1">
        <f t="shared" ca="1" si="0"/>
        <v>6</v>
      </c>
      <c r="BF1">
        <f t="shared" ca="1" si="0"/>
        <v>7</v>
      </c>
      <c r="BG1">
        <f t="shared" ca="1" si="0"/>
        <v>8</v>
      </c>
      <c r="BH1">
        <f t="shared" ca="1" si="0"/>
        <v>9</v>
      </c>
      <c r="BI1">
        <f t="shared" ca="1" si="0"/>
        <v>10</v>
      </c>
      <c r="BJ1" s="30" t="s">
        <v>112</v>
      </c>
      <c r="BK1" s="3"/>
      <c r="BL1" s="12" t="s">
        <v>24</v>
      </c>
      <c r="BM1" s="1" t="s">
        <v>33</v>
      </c>
      <c r="BN1" s="1" t="s">
        <v>81</v>
      </c>
      <c r="BO1" s="1" t="s">
        <v>25</v>
      </c>
      <c r="BP1" s="1" t="s">
        <v>27</v>
      </c>
      <c r="BQ1" s="1" t="s">
        <v>149</v>
      </c>
      <c r="BR1" s="1" t="s">
        <v>150</v>
      </c>
      <c r="BS1" s="1" t="s">
        <v>133</v>
      </c>
      <c r="BT1" s="1" t="s">
        <v>29</v>
      </c>
      <c r="BU1" s="1" t="s">
        <v>48</v>
      </c>
      <c r="BV1" s="1" t="s">
        <v>47</v>
      </c>
      <c r="BW1" s="1" t="s">
        <v>49</v>
      </c>
      <c r="BX1" s="1" t="s">
        <v>26</v>
      </c>
      <c r="BY1" s="1" t="s">
        <v>28</v>
      </c>
      <c r="BZ1" s="1" t="s">
        <v>30</v>
      </c>
      <c r="CA1" s="1" t="s">
        <v>31</v>
      </c>
      <c r="CB1" s="1" t="s">
        <v>44</v>
      </c>
      <c r="CC1" s="1" t="s">
        <v>43</v>
      </c>
      <c r="CD1" s="1" t="s">
        <v>71</v>
      </c>
      <c r="CE1" s="1" t="s">
        <v>92</v>
      </c>
      <c r="CF1" s="1" t="s">
        <v>90</v>
      </c>
      <c r="CG1" s="1" t="s">
        <v>103</v>
      </c>
      <c r="CH1" s="1" t="s">
        <v>70</v>
      </c>
      <c r="CI1" s="1" t="s">
        <v>94</v>
      </c>
      <c r="CJ1" s="1" t="s">
        <v>69</v>
      </c>
      <c r="CK1" s="1" t="s">
        <v>42</v>
      </c>
      <c r="CL1" s="12" t="s">
        <v>135</v>
      </c>
      <c r="CM1" s="12"/>
      <c r="CN1" s="12"/>
    </row>
    <row r="2" spans="2:92">
      <c r="E2" s="4" t="str">
        <f t="shared" ref="E2:E65" si="1">IF(P2="","",MIN(L2,AW2))</f>
        <v/>
      </c>
      <c r="H2" s="17"/>
      <c r="I2" s="17"/>
      <c r="L2" s="23"/>
      <c r="N2" t="str">
        <f t="shared" ref="N2" si="2">IF(AND(H2="",I2=""),"",IF(H2="",0,2-H2)+IF(I2="",0,2-I2))</f>
        <v/>
      </c>
      <c r="O2" t="str">
        <f t="shared" ref="O2" si="3">IF(COUNT(H2:I2)=0,"",COUNT(H2:I2))</f>
        <v/>
      </c>
      <c r="P2" t="str">
        <f>IF(G2="","",1)</f>
        <v/>
      </c>
      <c r="Q2" s="10" t="str">
        <f>IF($G2="","",$J2*LOOKUP($G2,$BM:$BM,BO:BO)*$E2+IF(M2="",IF(O2="",0,O2*LOOKUP(100,BM:BM,BO:BO)),0))</f>
        <v/>
      </c>
      <c r="R2" s="10" t="str">
        <f>IF($G2="","",$J2*LOOKUP($G2,$BM:$BM,BP:BP)*$E2)</f>
        <v/>
      </c>
      <c r="S2" s="10" t="str">
        <f>IF($G2="","",$J2*LOOKUP($G2,$BM:$BM,BQ:BQ)*$E2)</f>
        <v/>
      </c>
      <c r="T2" s="10" t="str">
        <f>IF($G2="","",$J2*LOOKUP($G2,$BM:$BM,BR:BR)*$E2)</f>
        <v/>
      </c>
      <c r="U2" s="10" t="str">
        <f>IF($G2="","",$J2*LOOKUP($G2,$BM:$BM,BS:BS)*$E2)</f>
        <v/>
      </c>
      <c r="V2" s="10" t="str">
        <f>IF($G2="","",$J2*LOOKUP($G2,$BM:$BM,BT:BT)*$E2)</f>
        <v/>
      </c>
      <c r="W2" s="10" t="str">
        <f>IF($G2="","",$J2*LOOKUP($G2,$BM:$BM,BU:BU)*$E2)</f>
        <v/>
      </c>
      <c r="X2" s="10" t="str">
        <f>IF($G2="","",$J2*LOOKUP($G2,$BM:$BM,BV:BV)*$E2)</f>
        <v/>
      </c>
      <c r="Y2" s="10" t="str">
        <f>IF($G2="","",$J2*LOOKUP($G2,$BM:$BM,BW:BW)*$E2)</f>
        <v/>
      </c>
      <c r="Z2" s="8" t="str">
        <f>IF($G2="","",$J2*LOOKUP($G2,$BM:$BM,BY:BY)*$E2)</f>
        <v/>
      </c>
      <c r="AA2" s="15" t="str">
        <f>IF($G2="","",$J2*LOOKUP($G2,$BM:$BM,BZ:BZ)*$E2)</f>
        <v/>
      </c>
      <c r="AB2" s="15" t="str">
        <f>IF($G2="","",$J2*LOOKUP($G2,$BM:$BM,CA:CA)*$E2)</f>
        <v/>
      </c>
      <c r="AC2" s="15" t="str">
        <f>IF($G2="","",$J2*LOOKUP($G2,$BM:$BM,CB:CB)*$E2)</f>
        <v/>
      </c>
      <c r="AD2" s="15" t="str">
        <f>IF($G2="","",$J2*LOOKUP($G2,$BM:$BM,CC:CC)*$E2)</f>
        <v/>
      </c>
      <c r="AE2" s="15" t="str">
        <f>IF($G2="","",$J2*LOOKUP($G2,$BM:$BM,CD:CD)*$E2)</f>
        <v/>
      </c>
      <c r="AF2" s="15" t="str">
        <f t="shared" ref="AF2:AF3" si="4">IF($G2="","",$J2*LOOKUP($G2,$BM:$BM,CE:CE)*$E2+IF($M2=1,0,IF($O2="",0,$O2*LOOKUP(100,$BM:$BM,CE:CE))))</f>
        <v/>
      </c>
      <c r="AG2" s="15" t="str">
        <f t="shared" ref="AG2:AG3" si="5">IF($G2="","",$J2*LOOKUP($G2,$BM:$BM,CF:CF)*$E2+IF($M2=1,0,IF($O2="",0,$O2*LOOKUP(100,$BM:$BM,CF:CF))))</f>
        <v/>
      </c>
      <c r="AH2" s="15" t="str">
        <f t="shared" ref="AH2:AH3" si="6">IF($G2="","",$J2*LOOKUP($G2,$BM:$BM,CG:CG)*$E2+IF($M2=1,0,IF($O2="",0,$O2*LOOKUP(100,$BM:$BM,CG:CG))))</f>
        <v/>
      </c>
      <c r="AI2" s="15" t="str">
        <f t="shared" ref="AI2:AI3" si="7">IF($G2="","",$J2*LOOKUP($G2,$BM:$BM,CH:CH)*$E2+IF($M2=1,0,IF($O2="",0,$O2*LOOKUP(100,$BM:$BM,CH:CH))))</f>
        <v/>
      </c>
      <c r="AJ2" s="15" t="str">
        <f t="shared" ref="AJ2:AJ3" si="8">IF($G2="","",$J2*LOOKUP($G2,$BM:$BM,CI:CI)*$E2+IF($M2=1,0,IF($O2="",0,$O2*LOOKUP(100,$BM:$BM,CI:CI))))</f>
        <v/>
      </c>
      <c r="AK2" s="15" t="str">
        <f t="shared" ref="AK2:AK3" si="9">IF($G2="","",$J2*LOOKUP($G2,$BM:$BM,CJ:CJ)*$E2+IF($M2=1,0,IF($O2="",0,$O2*LOOKUP(100,$BM:$BM,CJ:CJ))))</f>
        <v/>
      </c>
      <c r="AL2" t="str">
        <f>IF(P2=1,LOOKUP(K2,$AZ$1:$BI$1,$AZ$37:$BI$37)-IF(O2="",0,O2),"")</f>
        <v/>
      </c>
      <c r="AM2" s="10" t="str">
        <f t="shared" ref="AM2" si="10">IF(P2="","",AL2/2+IF(N2="",0,N2))</f>
        <v/>
      </c>
      <c r="AN2" s="10" t="str">
        <f>IF(AM2="","",AM2*LOOKUP(K2,$AZ$1:$BI$1,$AZ$7:$BI$7))</f>
        <v/>
      </c>
      <c r="AO2" t="str">
        <f>IF(AN2="","",AN2*LOOKUP(K2,$AZ$1:$BI$1,$AZ$8:$BI$8))</f>
        <v/>
      </c>
      <c r="AP2" t="str">
        <f>IF(AO2="","",AO2/LOOKUP(K2,$AZ$1:$BI$1,$AZ$42:$BI$42))</f>
        <v/>
      </c>
      <c r="AQ2" t="str">
        <f>IF(AO2="","",IF(LOOKUP(K2,$AZ$1:$BI$1,$AZ$37:$BI$37)=0,0.25,MAX(MIN(AP2,2.5),0.5)))</f>
        <v/>
      </c>
      <c r="AR2" t="str">
        <f>IF(G2="","",ROUNDDOWN(G2,0))</f>
        <v/>
      </c>
      <c r="AS2" t="str">
        <f>IF(P2="","",SUMIFS(P:P,M:M,"",AR:AR,AR2,K:K,K2))</f>
        <v/>
      </c>
      <c r="AT2" t="str">
        <f>IF(P2="","",LOOKUP(G2,BM:BM,BN:BN))</f>
        <v/>
      </c>
      <c r="AU2" t="str">
        <f>IF(OR(AT2="",AT2=0),"",INDEX($AY$1:$BI$5,MATCH(AT2,$AY$1:$AY$5,0),MATCH(K2,$AY$1:$BI$1,0)))</f>
        <v/>
      </c>
      <c r="AV2" t="str">
        <f t="shared" ref="AV2" si="11">IF(AU2="","",(AU2-AS2)/AS2)</f>
        <v/>
      </c>
      <c r="AW2" t="str">
        <f t="shared" ref="AW2" si="12">IF(P2="","",MAX(0.25,AQ2+IF(AV2="",0,AV2)))</f>
        <v/>
      </c>
      <c r="AY2" t="s">
        <v>10</v>
      </c>
      <c r="AZ2" s="5">
        <v>0</v>
      </c>
      <c r="BA2" s="5">
        <v>0</v>
      </c>
      <c r="BB2" s="5">
        <v>0</v>
      </c>
      <c r="BC2" s="5">
        <v>0</v>
      </c>
      <c r="BD2" s="5"/>
      <c r="BE2" s="5"/>
      <c r="BF2" s="5"/>
      <c r="BG2" s="5"/>
      <c r="BH2" s="5"/>
      <c r="BI2" s="5"/>
      <c r="BL2" s="7" t="s">
        <v>132</v>
      </c>
      <c r="BM2" s="7"/>
      <c r="BN2" s="7"/>
      <c r="BP2" s="28">
        <v>5.0000000000000001E-3</v>
      </c>
      <c r="BQ2" s="28">
        <v>2.75E-2</v>
      </c>
      <c r="BR2" s="28">
        <v>1.78E-2</v>
      </c>
      <c r="BS2" s="28">
        <v>8.0000000000000002E-3</v>
      </c>
      <c r="BT2" s="34">
        <v>-99999</v>
      </c>
      <c r="BU2" s="34">
        <v>-99999</v>
      </c>
      <c r="BV2" s="34">
        <v>-99999</v>
      </c>
      <c r="BW2" s="34">
        <v>-99999</v>
      </c>
      <c r="BX2" s="34">
        <v>-99999</v>
      </c>
      <c r="BY2" s="7">
        <v>1.7999999999999999E-2</v>
      </c>
      <c r="BZ2" s="7">
        <v>1.89E-2</v>
      </c>
      <c r="CA2" s="7">
        <v>1.89E-2</v>
      </c>
      <c r="CB2" s="7">
        <v>1.89E-2</v>
      </c>
      <c r="CC2" s="7">
        <v>1.89E-2</v>
      </c>
      <c r="CD2" s="7">
        <v>1.7999999999999999E-2</v>
      </c>
      <c r="CE2" s="7">
        <v>1E-3</v>
      </c>
      <c r="CF2" s="7">
        <v>1.4100000000000001E-6</v>
      </c>
      <c r="CG2" s="7">
        <v>1E-3</v>
      </c>
      <c r="CH2" s="7">
        <v>1.951E-6</v>
      </c>
      <c r="CI2" s="7">
        <v>1E-3</v>
      </c>
      <c r="CJ2" s="7">
        <v>1E-3</v>
      </c>
      <c r="CK2" s="15">
        <f>SUM(BQ2:CJ2)</f>
        <v>-499994.83109663893</v>
      </c>
    </row>
    <row r="3" spans="2:92" ht="15" customHeight="1">
      <c r="B3" s="32" t="s">
        <v>22</v>
      </c>
      <c r="C3" s="32"/>
      <c r="E3" s="4">
        <f t="shared" ca="1" si="1"/>
        <v>1.125</v>
      </c>
      <c r="F3" s="5" t="s">
        <v>151</v>
      </c>
      <c r="G3" s="19">
        <v>9.1</v>
      </c>
      <c r="H3" s="17"/>
      <c r="I3" s="17"/>
      <c r="J3" s="21">
        <v>1</v>
      </c>
      <c r="K3" s="5">
        <v>1</v>
      </c>
      <c r="L3" s="23"/>
      <c r="N3" t="str">
        <f t="shared" ref="N3:N66" si="13">IF(AND(H3="",I3=""),"",IF(H3="",0,2-H3)+IF(I3="",0,2-I3))</f>
        <v/>
      </c>
      <c r="O3" t="str">
        <f t="shared" ref="O3:O66" si="14">IF(COUNT(H3:I3)=0,"",COUNT(H3:I3))</f>
        <v/>
      </c>
      <c r="P3">
        <f t="shared" ref="P3:P66" si="15">IF(G3="","",1)</f>
        <v>1</v>
      </c>
      <c r="Q3" s="10">
        <f ca="1">IF($G3="","",$J3*LOOKUP($G3,$BM:$BM,BO:BO)*$E3+IF(M3="",IF(O3="",0,O3*LOOKUP(100,BM:BM,BO:BO)),0))</f>
        <v>-2.8125</v>
      </c>
      <c r="R3" s="10">
        <f t="shared" ref="R3:R66" ca="1" si="16">IF($G3="","",$J3*LOOKUP($G3,$BM:$BM,BP:BP)*$E3)</f>
        <v>-9.5624999999999996E-4</v>
      </c>
      <c r="S3" s="10">
        <f t="shared" ref="S3:T66" ca="1" si="17">IF($G3="","",$J3*LOOKUP($G3,$BM:$BM,BQ:BQ)*$E3)</f>
        <v>-0.57374999999999998</v>
      </c>
      <c r="T3" s="10">
        <f ca="1">IF($G3="","",$J3*LOOKUP($G3,$BM:$BM,BR:BR)*$E3)</f>
        <v>0</v>
      </c>
      <c r="U3" s="10">
        <f ca="1">IF($G3="","",$J3*LOOKUP($G3,$BM:$BM,BS:BS)*$E3)</f>
        <v>0</v>
      </c>
      <c r="V3" s="10">
        <f ca="1">IF($G3="","",$J3*LOOKUP($G3,$BM:$BM,BT:BT)*$E3)</f>
        <v>5.7374999999999995E-2</v>
      </c>
      <c r="W3" s="10">
        <f t="shared" ref="W3:W66" ca="1" si="18">IF($G3="","",$J3*LOOKUP($G3,$BM:$BM,BU:BU)*$E3)</f>
        <v>0</v>
      </c>
      <c r="X3" s="10">
        <f t="shared" ref="X3:X66" ca="1" si="19">IF($G3="","",$J3*LOOKUP($G3,$BM:$BM,BV:BV)*$E3)</f>
        <v>0</v>
      </c>
      <c r="Y3" s="10">
        <f t="shared" ref="Y3:Y66" ca="1" si="20">IF($G3="","",$J3*LOOKUP($G3,$BM:$BM,BW:BW)*$E3)</f>
        <v>0</v>
      </c>
      <c r="Z3" s="8">
        <f t="shared" ref="Z3:Z66" ca="1" si="21">IF($G3="","",$J3*LOOKUP($G3,$BM:$BM,BY:BY)*$E3)</f>
        <v>0</v>
      </c>
      <c r="AA3" s="15">
        <f t="shared" ref="AA3:AA66" ca="1" si="22">IF($G3="","",$J3*LOOKUP($G3,$BM:$BM,BZ:BZ)*$E3)</f>
        <v>-2.3906249999999999E-7</v>
      </c>
      <c r="AB3" s="15">
        <f t="shared" ref="AB3:AB66" ca="1" si="23">IF($G3="","",$J3*LOOKUP($G3,$BM:$BM,CA:CA)*$E3)</f>
        <v>-2.3906249999999999E-7</v>
      </c>
      <c r="AC3" s="15">
        <f t="shared" ref="AC3:AC66" ca="1" si="24">IF($G3="","",$J3*LOOKUP($G3,$BM:$BM,CB:CB)*$E3)</f>
        <v>0</v>
      </c>
      <c r="AD3" s="15">
        <f t="shared" ref="AD3:AD66" ca="1" si="25">IF($G3="","",$J3*LOOKUP($G3,$BM:$BM,CC:CC)*$E3)</f>
        <v>4.7812499999999998E-7</v>
      </c>
      <c r="AE3" s="15">
        <f t="shared" ref="AE3:AE66" ca="1" si="26">IF($G3="","",$J3*LOOKUP($G3,$BM:$BM,CD:CD)*$E3)</f>
        <v>0</v>
      </c>
      <c r="AF3" s="15">
        <f t="shared" ca="1" si="4"/>
        <v>0</v>
      </c>
      <c r="AG3" s="15">
        <f t="shared" ca="1" si="5"/>
        <v>0</v>
      </c>
      <c r="AH3" s="15">
        <f t="shared" ca="1" si="6"/>
        <v>0</v>
      </c>
      <c r="AI3" s="15">
        <f t="shared" ca="1" si="7"/>
        <v>0</v>
      </c>
      <c r="AJ3" s="15">
        <f t="shared" ca="1" si="8"/>
        <v>0</v>
      </c>
      <c r="AK3" s="15">
        <f t="shared" ca="1" si="9"/>
        <v>0</v>
      </c>
      <c r="AL3">
        <f ca="1">IF(P3=1,LOOKUP(K3,$AZ$1:$BI$1,$AZ$37:$BI$37)-IF(O3="",0,O3),"")</f>
        <v>5</v>
      </c>
      <c r="AM3" s="10">
        <f t="shared" ref="AM3:AM66" ca="1" si="27">IF(P3="","",AL3/2+IF(N3="",0,N3))</f>
        <v>2.5</v>
      </c>
      <c r="AN3" s="10">
        <f ca="1">IF(AM3="","",AM3*LOOKUP(K3,$AZ$1:$BI$1,$AZ$7:$BI$7))</f>
        <v>3.75</v>
      </c>
      <c r="AO3">
        <f ca="1">IF(AN3="","",AN3*LOOKUP(K3,$AZ$1:$BI$1,$AZ$8:$BI$8))</f>
        <v>11.25</v>
      </c>
      <c r="AP3">
        <f ca="1">IF(AO3="","",AO3/LOOKUP(K3,$AZ$1:$BI$1,$AZ$42:$BI$42))</f>
        <v>1.125</v>
      </c>
      <c r="AQ3">
        <f ca="1">IF(AO3="","",IF(LOOKUP(K3,$AZ$1:$BI$1,$AZ$37:$BI$37)=0,0.25,MAX(MIN(AP3,2.5),0.5)))</f>
        <v>1.125</v>
      </c>
      <c r="AR3">
        <f t="shared" ref="AR3:AR66" si="28">IF(G3="","",ROUNDDOWN(G3,0))</f>
        <v>9</v>
      </c>
      <c r="AS3">
        <f t="shared" ref="AS3:AS66" si="29">IF(P3="","",SUMIFS(P:P,M:M,"",AR:AR,AR3,K:K,K3))</f>
        <v>1</v>
      </c>
      <c r="AT3">
        <f t="shared" ref="AT3:AT66" si="30">IF(P3="","",LOOKUP(G3,BM:BM,BN:BN))</f>
        <v>0</v>
      </c>
      <c r="AU3" t="str">
        <f>IF(OR(AT3="",AT3=0),"",INDEX($AY$1:$BI$5,MATCH(AT3,$AY$1:$AY$5,0),MATCH(K3,$AY$1:$BI$1,0)))</f>
        <v/>
      </c>
      <c r="AV3" t="str">
        <f t="shared" ref="AV3:AV66" si="31">IF(AU3="","",(AU3-AS3)/AS3)</f>
        <v/>
      </c>
      <c r="AW3">
        <f t="shared" ref="AW3:AW66" ca="1" si="32">IF(P3="","",MAX(0.25,AQ3+IF(AV3="",0,AV3)))</f>
        <v>1.125</v>
      </c>
      <c r="AY3" t="s">
        <v>87</v>
      </c>
      <c r="AZ3" s="5">
        <v>0</v>
      </c>
      <c r="BA3" s="5">
        <v>0</v>
      </c>
      <c r="BB3" s="5">
        <v>0</v>
      </c>
      <c r="BC3" s="5">
        <v>10</v>
      </c>
      <c r="BD3" s="5"/>
      <c r="BE3" s="5"/>
      <c r="BF3" s="5"/>
      <c r="BG3" s="5"/>
      <c r="BH3" s="5"/>
      <c r="BI3" s="5"/>
      <c r="BL3" s="7" t="s">
        <v>32</v>
      </c>
      <c r="BM3" s="7">
        <v>0</v>
      </c>
      <c r="BN3" s="7"/>
      <c r="BO3">
        <v>-1.25</v>
      </c>
      <c r="BP3" s="13">
        <v>2.1250000000000002E-2</v>
      </c>
      <c r="BQ3" s="13"/>
      <c r="BR3" s="13"/>
      <c r="BS3" s="13"/>
      <c r="CB3">
        <v>-4.2500000000000001E-7</v>
      </c>
      <c r="CC3">
        <v>4.2500000000000001E-7</v>
      </c>
      <c r="CK3" s="15">
        <f>SUM(BQ3:CJ3)</f>
        <v>0</v>
      </c>
      <c r="CL3">
        <f>SUMPRODUCT($BP$2:$CJ$2,BP3:CJ3)</f>
        <v>1.0625000000000001E-4</v>
      </c>
    </row>
    <row r="4" spans="2:92" ht="15" customHeight="1">
      <c r="E4" s="4">
        <f t="shared" ca="1" si="1"/>
        <v>1.125</v>
      </c>
      <c r="F4" s="5" t="s">
        <v>153</v>
      </c>
      <c r="G4" s="19">
        <v>9.1999999999999993</v>
      </c>
      <c r="H4" s="17" t="str">
        <f>IF(H3="","",H3)</f>
        <v/>
      </c>
      <c r="I4" s="17" t="str">
        <f>IF(I3="","",I3)</f>
        <v/>
      </c>
      <c r="J4" s="21">
        <v>1</v>
      </c>
      <c r="K4" s="5">
        <v>1</v>
      </c>
      <c r="L4" s="23"/>
      <c r="M4" s="5">
        <v>1</v>
      </c>
      <c r="N4" t="str">
        <f t="shared" si="13"/>
        <v/>
      </c>
      <c r="O4" t="str">
        <f t="shared" si="14"/>
        <v/>
      </c>
      <c r="P4">
        <f t="shared" si="15"/>
        <v>1</v>
      </c>
      <c r="Q4" s="10">
        <f t="shared" ref="Q4:Q7" ca="1" si="33">IF($G4="","",$J4*LOOKUP($G4,$BM:$BM,BO:BO)*$E4+IF(M4="",IF(O4="",0,O4*LOOKUP(100,BM:BM,BO:BO)),0))</f>
        <v>-2.8125</v>
      </c>
      <c r="R4" s="10">
        <f t="shared" ca="1" si="16"/>
        <v>-9.5624999999999996E-4</v>
      </c>
      <c r="S4" s="10">
        <f t="shared" ca="1" si="17"/>
        <v>0</v>
      </c>
      <c r="T4" s="10">
        <f t="shared" ref="T4:T67" ca="1" si="34">IF($G4="","",$J4*LOOKUP($G4,$BM:$BM,BR:BR)*$E4)</f>
        <v>-0.57374999999999998</v>
      </c>
      <c r="U4" s="10">
        <f t="shared" ref="U4:U67" ca="1" si="35">IF($G4="","",$J4*LOOKUP($G4,$BM:$BM,BS:BS)*$E4)</f>
        <v>0</v>
      </c>
      <c r="V4" s="10">
        <f t="shared" ref="V4:V66" ca="1" si="36">IF($G4="","",$J4*LOOKUP($G4,$BM:$BM,BT:BT)*$E4)</f>
        <v>5.7374999999999995E-2</v>
      </c>
      <c r="W4" s="10">
        <f ca="1">IF($G4="","",$J4*LOOKUP($G4,$BM:$BM,BU:BU)*$E4)</f>
        <v>0</v>
      </c>
      <c r="X4" s="10">
        <f t="shared" ca="1" si="19"/>
        <v>0</v>
      </c>
      <c r="Y4" s="10">
        <f t="shared" ca="1" si="20"/>
        <v>0</v>
      </c>
      <c r="Z4" s="8">
        <f t="shared" ca="1" si="21"/>
        <v>0</v>
      </c>
      <c r="AA4" s="15">
        <f t="shared" ca="1" si="22"/>
        <v>-2.3906249999999999E-7</v>
      </c>
      <c r="AB4" s="15">
        <f t="shared" ca="1" si="23"/>
        <v>-2.3906249999999999E-7</v>
      </c>
      <c r="AC4" s="15">
        <f t="shared" ca="1" si="24"/>
        <v>0</v>
      </c>
      <c r="AD4" s="15">
        <f t="shared" ca="1" si="25"/>
        <v>4.7812499999999998E-7</v>
      </c>
      <c r="AE4" s="15">
        <f t="shared" ca="1" si="26"/>
        <v>0</v>
      </c>
      <c r="AF4" s="15">
        <f ca="1">IF($G4="","",$J4*LOOKUP($G4,$BM:$BM,CE:CE)*$E4+IF($M4=1,0,IF($O4="",0,$O4*LOOKUP(100,$BM:$BM,CE:CE))))</f>
        <v>0</v>
      </c>
      <c r="AG4" s="15">
        <f ca="1">IF($G4="","",$J4*LOOKUP($G4,$BM:$BM,CF:CF)*$E4+IF($M4=1,0,IF($O4="",0,$O4*LOOKUP(100,$BM:$BM,CF:CF))))</f>
        <v>0</v>
      </c>
      <c r="AH4" s="15">
        <f ca="1">IF($G4="","",$J4*LOOKUP($G4,$BM:$BM,CG:CG)*$E4+IF($M4=1,0,IF($O4="",0,$O4*LOOKUP(100,$BM:$BM,CG:CG))))</f>
        <v>0</v>
      </c>
      <c r="AI4" s="15">
        <f ca="1">IF($G4="","",$J4*LOOKUP($G4,$BM:$BM,CH:CH)*$E4+IF($M4=1,0,IF($O4="",0,$O4*LOOKUP(100,$BM:$BM,CH:CH))))</f>
        <v>0</v>
      </c>
      <c r="AJ4" s="15">
        <f ca="1">IF($G4="","",$J4*LOOKUP($G4,$BM:$BM,CI:CI)*$E4+IF($M4=1,0,IF($O4="",0,$O4*LOOKUP(100,$BM:$BM,CI:CI))))</f>
        <v>0</v>
      </c>
      <c r="AK4" s="15">
        <f ca="1">IF($G4="","",$J4*LOOKUP($G4,$BM:$BM,CJ:CJ)*$E4+IF($M4=1,0,IF($O4="",0,$O4*LOOKUP(100,$BM:$BM,CJ:CJ))))</f>
        <v>0</v>
      </c>
      <c r="AL4">
        <f ca="1">IF(P4=1,LOOKUP(K4,$AZ$1:$BI$1,$AZ$37:$BI$37)-IF(O4="",0,O4),"")</f>
        <v>5</v>
      </c>
      <c r="AM4" s="10">
        <f t="shared" ca="1" si="27"/>
        <v>2.5</v>
      </c>
      <c r="AN4" s="10">
        <f ca="1">IF(AM4="","",AM4*LOOKUP(K4,$AZ$1:$BI$1,$AZ$7:$BI$7))</f>
        <v>3.75</v>
      </c>
      <c r="AO4">
        <f ca="1">IF(AN4="","",AN4*LOOKUP(K4,$AZ$1:$BI$1,$AZ$8:$BI$8))</f>
        <v>11.25</v>
      </c>
      <c r="AP4">
        <f ca="1">IF(AO4="","",AO4/LOOKUP(K4,$AZ$1:$BI$1,$AZ$42:$BI$42))</f>
        <v>1.125</v>
      </c>
      <c r="AQ4">
        <f ca="1">IF(AO4="","",IF(LOOKUP(K4,$AZ$1:$BI$1,$AZ$37:$BI$37)=0,0.25,MAX(MIN(AP4,2.5),0.5)))</f>
        <v>1.125</v>
      </c>
      <c r="AR4">
        <f t="shared" si="28"/>
        <v>9</v>
      </c>
      <c r="AS4">
        <f t="shared" si="29"/>
        <v>1</v>
      </c>
      <c r="AT4">
        <f t="shared" si="30"/>
        <v>0</v>
      </c>
      <c r="AU4" t="str">
        <f>IF(OR(AT4="",AT4=0),"",INDEX($AY$1:$BI$5,MATCH(AT4,$AY$1:$AY$5,0),MATCH(K4,$AY$1:$BI$1,0)))</f>
        <v/>
      </c>
      <c r="AV4" t="str">
        <f t="shared" si="31"/>
        <v/>
      </c>
      <c r="AW4">
        <f t="shared" ca="1" si="32"/>
        <v>1.125</v>
      </c>
      <c r="AY4" t="s">
        <v>89</v>
      </c>
      <c r="AZ4" s="5">
        <v>4</v>
      </c>
      <c r="BA4" s="5">
        <v>6</v>
      </c>
      <c r="BB4" s="5">
        <v>2</v>
      </c>
      <c r="BC4" s="5">
        <v>10</v>
      </c>
      <c r="BD4" s="5"/>
      <c r="BE4" s="5"/>
      <c r="BF4" s="5"/>
      <c r="BG4" s="5"/>
      <c r="BH4" s="5"/>
      <c r="BI4" s="5"/>
      <c r="BL4" s="7" t="s">
        <v>37</v>
      </c>
      <c r="BM4" s="7">
        <v>2</v>
      </c>
      <c r="BN4" s="7"/>
      <c r="BO4">
        <v>15</v>
      </c>
      <c r="BP4" s="13"/>
      <c r="BQ4" s="13"/>
      <c r="BR4" s="13"/>
      <c r="BS4" s="13"/>
      <c r="CK4" s="15">
        <f t="shared" ref="CK4:CK12" si="37">SUM(BQ4:CJ4)</f>
        <v>0</v>
      </c>
      <c r="CL4">
        <f>SUMPRODUCT($BP$2:$CJ$2,BP4:CJ4)</f>
        <v>0</v>
      </c>
    </row>
    <row r="5" spans="2:92" ht="15" customHeight="1">
      <c r="B5" t="s">
        <v>11</v>
      </c>
      <c r="C5" s="11">
        <f ca="1">SUM(AZ44:BI44)</f>
        <v>85</v>
      </c>
      <c r="E5" s="4">
        <f t="shared" ca="1" si="1"/>
        <v>1.125</v>
      </c>
      <c r="F5" s="5" t="s">
        <v>154</v>
      </c>
      <c r="G5" s="19">
        <v>9.3000000000000007</v>
      </c>
      <c r="H5" s="17" t="str">
        <f>IF(H4="","",H4)</f>
        <v/>
      </c>
      <c r="I5" s="17" t="str">
        <f>IF(I4="","",I4)</f>
        <v/>
      </c>
      <c r="J5" s="21">
        <v>1</v>
      </c>
      <c r="K5" s="5">
        <v>1</v>
      </c>
      <c r="L5" s="23"/>
      <c r="M5" s="5">
        <v>1</v>
      </c>
      <c r="N5" t="str">
        <f t="shared" si="13"/>
        <v/>
      </c>
      <c r="O5" t="str">
        <f t="shared" si="14"/>
        <v/>
      </c>
      <c r="P5">
        <f t="shared" si="15"/>
        <v>1</v>
      </c>
      <c r="Q5" s="10">
        <f t="shared" ca="1" si="33"/>
        <v>-2.8125</v>
      </c>
      <c r="R5" s="10">
        <f t="shared" ca="1" si="16"/>
        <v>-9.5624999999999996E-4</v>
      </c>
      <c r="S5" s="10">
        <f t="shared" ca="1" si="17"/>
        <v>0</v>
      </c>
      <c r="T5" s="10">
        <f t="shared" ca="1" si="34"/>
        <v>0</v>
      </c>
      <c r="U5" s="10">
        <f t="shared" ca="1" si="35"/>
        <v>-0.57374999999999998</v>
      </c>
      <c r="V5" s="10">
        <f t="shared" ca="1" si="36"/>
        <v>5.7374999999999995E-2</v>
      </c>
      <c r="W5" s="10">
        <f t="shared" ca="1" si="18"/>
        <v>0</v>
      </c>
      <c r="X5" s="10">
        <f t="shared" ca="1" si="19"/>
        <v>0</v>
      </c>
      <c r="Y5" s="10">
        <f t="shared" ca="1" si="20"/>
        <v>0</v>
      </c>
      <c r="Z5" s="8">
        <f t="shared" ca="1" si="21"/>
        <v>-3.6509317396874998E-4</v>
      </c>
      <c r="AA5" s="15">
        <f t="shared" ca="1" si="22"/>
        <v>-2.3906249999999999E-7</v>
      </c>
      <c r="AB5" s="15">
        <f t="shared" ca="1" si="23"/>
        <v>-2.3906249999999999E-7</v>
      </c>
      <c r="AC5" s="15">
        <f t="shared" ca="1" si="24"/>
        <v>0</v>
      </c>
      <c r="AD5" s="15">
        <f t="shared" ca="1" si="25"/>
        <v>4.7812499999999998E-7</v>
      </c>
      <c r="AE5" s="15">
        <f t="shared" ca="1" si="26"/>
        <v>0</v>
      </c>
      <c r="AF5" s="15">
        <f t="shared" ref="AF5:AF68" ca="1" si="38">IF($G5="","",$J5*LOOKUP($G5,$BM:$BM,CE:CE)*$E5+IF($M5=1,0,IF($O5="",0,$O5*LOOKUP(100,$BM:$BM,CE:CE))))</f>
        <v>0</v>
      </c>
      <c r="AG5" s="15">
        <f ca="1">IF($G5="","",$J5*LOOKUP($G5,$BM:$BM,CF:CF)*$E5+IF($M5=1,0,IF($O5="",0,$O5*LOOKUP(100,$BM:$BM,CF:CF))))</f>
        <v>0</v>
      </c>
      <c r="AH5" s="15">
        <f ca="1">IF($G5="","",$J5*LOOKUP($G5,$BM:$BM,CG:CG)*$E5+IF($M5=1,0,IF($O5="",0,$O5*LOOKUP(100,$BM:$BM,CG:CG))))</f>
        <v>0</v>
      </c>
      <c r="AI5" s="15">
        <f ca="1">IF($G5="","",$J5*LOOKUP($G5,$BM:$BM,CH:CH)*$E5+IF($M5=1,0,IF($O5="",0,$O5*LOOKUP(100,$BM:$BM,CH:CH))))</f>
        <v>0</v>
      </c>
      <c r="AJ5" s="15">
        <f ca="1">IF($G5="","",$J5*LOOKUP($G5,$BM:$BM,CI:CI)*$E5+IF($M5=1,0,IF($O5="",0,$O5*LOOKUP(100,$BM:$BM,CI:CI))))</f>
        <v>0</v>
      </c>
      <c r="AK5" s="15">
        <f ca="1">IF($G5="","",$J5*LOOKUP($G5,$BM:$BM,CJ:CJ)*$E5+IF($M5=1,0,IF($O5="",0,$O5*LOOKUP(100,$BM:$BM,CJ:CJ))))</f>
        <v>0</v>
      </c>
      <c r="AL5">
        <f ca="1">IF(P5=1,LOOKUP(K5,$AZ$1:$BI$1,$AZ$37:$BI$37)-IF(O5="",0,O5),"")</f>
        <v>5</v>
      </c>
      <c r="AM5" s="10">
        <f t="shared" ca="1" si="27"/>
        <v>2.5</v>
      </c>
      <c r="AN5" s="10">
        <f ca="1">IF(AM5="","",AM5*LOOKUP(K5,$AZ$1:$BI$1,$AZ$7:$BI$7))</f>
        <v>3.75</v>
      </c>
      <c r="AO5">
        <f ca="1">IF(AN5="","",AN5*LOOKUP(K5,$AZ$1:$BI$1,$AZ$8:$BI$8))</f>
        <v>11.25</v>
      </c>
      <c r="AP5">
        <f ca="1">IF(AO5="","",AO5/LOOKUP(K5,$AZ$1:$BI$1,$AZ$42:$BI$42))</f>
        <v>1.125</v>
      </c>
      <c r="AQ5">
        <f ca="1">IF(AO5="","",IF(LOOKUP(K5,$AZ$1:$BI$1,$AZ$37:$BI$37)=0,0.25,MAX(MIN(AP5,2.5),0.5)))</f>
        <v>1.125</v>
      </c>
      <c r="AR5">
        <f t="shared" si="28"/>
        <v>9</v>
      </c>
      <c r="AS5">
        <f t="shared" si="29"/>
        <v>1</v>
      </c>
      <c r="AT5">
        <f t="shared" si="30"/>
        <v>0</v>
      </c>
      <c r="AU5" t="str">
        <f>IF(OR(AT5="",AT5=0),"",INDEX($AY$1:$BI$5,MATCH(AT5,$AY$1:$AY$5,0),MATCH(K5,$AY$1:$BI$1,0)))</f>
        <v/>
      </c>
      <c r="AV5" t="str">
        <f t="shared" si="31"/>
        <v/>
      </c>
      <c r="AW5">
        <f t="shared" ca="1" si="32"/>
        <v>1.125</v>
      </c>
      <c r="AY5" t="s">
        <v>116</v>
      </c>
      <c r="AZ5" s="5">
        <v>6</v>
      </c>
      <c r="BA5" s="5">
        <v>8</v>
      </c>
      <c r="BB5" s="5">
        <v>3</v>
      </c>
      <c r="BC5" s="5">
        <v>0</v>
      </c>
      <c r="BD5" s="5"/>
      <c r="BE5" s="5"/>
      <c r="BF5" s="5"/>
      <c r="BG5" s="5"/>
      <c r="BH5" s="5"/>
      <c r="BI5" s="5"/>
      <c r="BL5" t="s">
        <v>59</v>
      </c>
      <c r="BM5">
        <v>3.1</v>
      </c>
      <c r="BO5">
        <v>-1.25</v>
      </c>
      <c r="BP5" s="13">
        <v>-8.4999999999999995E-4</v>
      </c>
      <c r="BT5">
        <f>-3*0.051</f>
        <v>-0.153</v>
      </c>
      <c r="BZ5">
        <f>0.153-0.0000002125</f>
        <v>0.15299978749999998</v>
      </c>
      <c r="CA5">
        <v>-2.125E-7</v>
      </c>
      <c r="CC5">
        <v>4.2500000000000001E-7</v>
      </c>
      <c r="CK5" s="15">
        <f t="shared" si="37"/>
        <v>-1.3049442524958954E-17</v>
      </c>
      <c r="CL5" s="35">
        <f>SUMPRODUCT($BP$2:$CJ$2,BP5:CJ5)</f>
        <v>15299.84988745</v>
      </c>
    </row>
    <row r="6" spans="2:92" ht="15" customHeight="1">
      <c r="B6" t="s">
        <v>109</v>
      </c>
      <c r="C6" s="11">
        <f ca="1">SUM(AZ37:BI37)</f>
        <v>16</v>
      </c>
      <c r="E6" s="4" t="str">
        <f t="shared" si="1"/>
        <v/>
      </c>
      <c r="H6" s="17"/>
      <c r="I6" s="17"/>
      <c r="L6" s="23"/>
      <c r="N6" t="str">
        <f t="shared" si="13"/>
        <v/>
      </c>
      <c r="O6" t="str">
        <f t="shared" si="14"/>
        <v/>
      </c>
      <c r="P6" t="str">
        <f t="shared" si="15"/>
        <v/>
      </c>
      <c r="Q6" s="10" t="str">
        <f t="shared" si="33"/>
        <v/>
      </c>
      <c r="R6" s="10" t="str">
        <f t="shared" si="16"/>
        <v/>
      </c>
      <c r="S6" s="10" t="str">
        <f t="shared" si="17"/>
        <v/>
      </c>
      <c r="T6" s="10" t="str">
        <f t="shared" si="34"/>
        <v/>
      </c>
      <c r="U6" s="10" t="str">
        <f t="shared" si="35"/>
        <v/>
      </c>
      <c r="V6" s="10" t="str">
        <f t="shared" si="36"/>
        <v/>
      </c>
      <c r="W6" s="10" t="str">
        <f t="shared" si="18"/>
        <v/>
      </c>
      <c r="X6" s="10" t="str">
        <f t="shared" si="19"/>
        <v/>
      </c>
      <c r="Y6" s="10" t="str">
        <f t="shared" si="20"/>
        <v/>
      </c>
      <c r="Z6" s="8" t="str">
        <f t="shared" si="21"/>
        <v/>
      </c>
      <c r="AA6" s="15" t="str">
        <f t="shared" si="22"/>
        <v/>
      </c>
      <c r="AB6" s="15" t="str">
        <f t="shared" si="23"/>
        <v/>
      </c>
      <c r="AC6" s="15" t="str">
        <f t="shared" si="24"/>
        <v/>
      </c>
      <c r="AD6" s="15" t="str">
        <f t="shared" si="25"/>
        <v/>
      </c>
      <c r="AE6" s="15" t="str">
        <f t="shared" si="26"/>
        <v/>
      </c>
      <c r="AF6" s="15" t="str">
        <f t="shared" si="38"/>
        <v/>
      </c>
      <c r="AG6" s="15" t="str">
        <f>IF($G6="","",$J6*LOOKUP($G6,$BM:$BM,CF:CF)*$E6+IF($M6=1,0,IF($O6="",0,$O6*LOOKUP(100,$BM:$BM,CF:CF))))</f>
        <v/>
      </c>
      <c r="AH6" s="15" t="str">
        <f>IF($G6="","",$J6*LOOKUP($G6,$BM:$BM,CG:CG)*$E6+IF($M6=1,0,IF($O6="",0,$O6*LOOKUP(100,$BM:$BM,CG:CG))))</f>
        <v/>
      </c>
      <c r="AI6" s="15" t="str">
        <f>IF($G6="","",$J6*LOOKUP($G6,$BM:$BM,CH:CH)*$E6+IF($M6=1,0,IF($O6="",0,$O6*LOOKUP(100,$BM:$BM,CH:CH))))</f>
        <v/>
      </c>
      <c r="AJ6" s="15" t="str">
        <f>IF($G6="","",$J6*LOOKUP($G6,$BM:$BM,CI:CI)*$E6+IF($M6=1,0,IF($O6="",0,$O6*LOOKUP(100,$BM:$BM,CI:CI))))</f>
        <v/>
      </c>
      <c r="AK6" s="15" t="str">
        <f>IF($G6="","",$J6*LOOKUP($G6,$BM:$BM,CJ:CJ)*$E6+IF($M6=1,0,IF($O6="",0,$O6*LOOKUP(100,$BM:$BM,CJ:CJ))))</f>
        <v/>
      </c>
      <c r="AL6" t="str">
        <f>IF(P6=1,LOOKUP(K6,$AZ$1:$BI$1,$AZ$37:$BI$37)-IF(O6="",0,O6),"")</f>
        <v/>
      </c>
      <c r="AM6" s="10" t="str">
        <f t="shared" si="27"/>
        <v/>
      </c>
      <c r="AN6" s="10" t="str">
        <f>IF(AM6="","",AM6*LOOKUP(K6,$AZ$1:$BI$1,$AZ$7:$BI$7))</f>
        <v/>
      </c>
      <c r="AO6" t="str">
        <f>IF(AN6="","",AN6*LOOKUP(K6,$AZ$1:$BI$1,$AZ$8:$BI$8))</f>
        <v/>
      </c>
      <c r="AP6" t="str">
        <f>IF(AO6="","",AO6/LOOKUP(K6,$AZ$1:$BI$1,$AZ$42:$BI$42))</f>
        <v/>
      </c>
      <c r="AQ6" t="str">
        <f>IF(AO6="","",IF(LOOKUP(K6,$AZ$1:$BI$1,$AZ$37:$BI$37)=0,0.25,MAX(MIN(AP6,2.5),0.5)))</f>
        <v/>
      </c>
      <c r="AR6" t="str">
        <f t="shared" si="28"/>
        <v/>
      </c>
      <c r="AS6" t="str">
        <f t="shared" si="29"/>
        <v/>
      </c>
      <c r="AT6" t="str">
        <f t="shared" si="30"/>
        <v/>
      </c>
      <c r="AU6" t="str">
        <f>IF(OR(AT6="",AT6=0),"",INDEX($AY$1:$BI$5,MATCH(AT6,$AY$1:$AY$5,0),MATCH(K6,$AY$1:$BI$1,0)))</f>
        <v/>
      </c>
      <c r="AV6" t="str">
        <f t="shared" si="31"/>
        <v/>
      </c>
      <c r="AW6" t="str">
        <f t="shared" si="32"/>
        <v/>
      </c>
      <c r="AY6" t="s">
        <v>117</v>
      </c>
      <c r="AZ6" s="5">
        <v>100</v>
      </c>
      <c r="BA6" s="5">
        <v>100</v>
      </c>
      <c r="BB6" s="5">
        <v>100</v>
      </c>
      <c r="BC6" s="5">
        <v>100</v>
      </c>
      <c r="BD6" s="5"/>
      <c r="BE6" s="5"/>
      <c r="BF6" s="5"/>
      <c r="BG6" s="5"/>
      <c r="BH6" s="5"/>
      <c r="BI6" s="5"/>
      <c r="BL6" t="s">
        <v>56</v>
      </c>
      <c r="BM6">
        <v>3.2</v>
      </c>
      <c r="BO6">
        <v>-1.25</v>
      </c>
      <c r="BP6" s="13">
        <v>-8.4999999999999995E-4</v>
      </c>
      <c r="BU6">
        <f>-3*0.034</f>
        <v>-0.10200000000000001</v>
      </c>
      <c r="CA6">
        <f>0.102-0.0000002125</f>
        <v>0.10199978749999999</v>
      </c>
      <c r="CB6">
        <v>-2.125E-7</v>
      </c>
      <c r="CC6">
        <v>4.2500000000000001E-7</v>
      </c>
      <c r="CK6" s="15">
        <f t="shared" si="37"/>
        <v>-1.3049442524958954E-17</v>
      </c>
      <c r="CL6" s="35">
        <f>SUMPRODUCT($BP$2:$CJ$2,BP6:CJ6)</f>
        <v>10199.899923550001</v>
      </c>
    </row>
    <row r="7" spans="2:92">
      <c r="B7" t="s">
        <v>51</v>
      </c>
      <c r="C7">
        <f ca="1">MIN(AZ9:BI9)</f>
        <v>11.049999999999997</v>
      </c>
      <c r="E7" s="4">
        <f t="shared" ca="1" si="1"/>
        <v>1.35</v>
      </c>
      <c r="F7" s="5" t="s">
        <v>35</v>
      </c>
      <c r="G7" s="19">
        <v>10</v>
      </c>
      <c r="H7" s="17">
        <v>1</v>
      </c>
      <c r="I7" s="17"/>
      <c r="J7" s="21">
        <v>3</v>
      </c>
      <c r="K7" s="5">
        <v>1</v>
      </c>
      <c r="L7" s="23"/>
      <c r="N7">
        <f t="shared" si="13"/>
        <v>1</v>
      </c>
      <c r="O7">
        <f t="shared" si="14"/>
        <v>1</v>
      </c>
      <c r="P7">
        <f t="shared" si="15"/>
        <v>1</v>
      </c>
      <c r="Q7" s="10">
        <f t="shared" ca="1" si="33"/>
        <v>-5.104166666666667</v>
      </c>
      <c r="R7" s="10">
        <f t="shared" ca="1" si="16"/>
        <v>-3.4424999999999998E-3</v>
      </c>
      <c r="S7" s="10">
        <f t="shared" ca="1" si="17"/>
        <v>0</v>
      </c>
      <c r="T7" s="10">
        <f t="shared" ca="1" si="34"/>
        <v>0</v>
      </c>
      <c r="U7" s="10">
        <f t="shared" ca="1" si="35"/>
        <v>0</v>
      </c>
      <c r="V7" s="10">
        <f t="shared" ca="1" si="36"/>
        <v>-0.13770000000000002</v>
      </c>
      <c r="W7" s="10">
        <f t="shared" ca="1" si="18"/>
        <v>0.13770000000000002</v>
      </c>
      <c r="X7" s="10">
        <f t="shared" ca="1" si="19"/>
        <v>0</v>
      </c>
      <c r="Y7" s="10">
        <f t="shared" ca="1" si="20"/>
        <v>0</v>
      </c>
      <c r="Z7" s="8">
        <f t="shared" ca="1" si="21"/>
        <v>0</v>
      </c>
      <c r="AA7" s="15">
        <f t="shared" ca="1" si="22"/>
        <v>0</v>
      </c>
      <c r="AB7" s="15">
        <f t="shared" ca="1" si="23"/>
        <v>-8.6062500000000012E-7</v>
      </c>
      <c r="AC7" s="15">
        <f t="shared" ca="1" si="24"/>
        <v>-8.6062500000000012E-7</v>
      </c>
      <c r="AD7" s="15">
        <f t="shared" ca="1" si="25"/>
        <v>1.7212500000000002E-6</v>
      </c>
      <c r="AE7" s="15">
        <f t="shared" ca="1" si="26"/>
        <v>0</v>
      </c>
      <c r="AF7" s="15">
        <f t="shared" ca="1" si="38"/>
        <v>-1.0817575525E-5</v>
      </c>
      <c r="AG7" s="15">
        <f t="shared" ref="AG7:AG70" ca="1" si="39">IF($G7="","",$J7*LOOKUP($G7,$BM:$BM,CF:CF)*$E7+IF($M7=1,0,IF($O7="",0,$O7*LOOKUP(100,$BM:$BM,CF:CF))))</f>
        <v>-3.5215918463259999E-3</v>
      </c>
      <c r="AH7" s="15">
        <f t="shared" ref="AH7:AH70" ca="1" si="40">IF($G7="","",$J7*LOOKUP($G7,$BM:$BM,CG:CG)*$E7+IF($M7=1,0,IF($O7="",0,$O7*LOOKUP(100,$BM:$BM,CG:CG))))</f>
        <v>-2.0807576966E-5</v>
      </c>
      <c r="AI7" s="15">
        <f t="shared" ref="AI7:AI70" ca="1" si="41">IF($G7="","",$J7*LOOKUP($G7,$BM:$BM,CH:CH)*$E7+IF($M7=1,0,IF($O7="",0,$O7*LOOKUP(100,$BM:$BM,CH:CH))))</f>
        <v>3.0298531298469998E-3</v>
      </c>
      <c r="AJ7" s="15">
        <f t="shared" ref="AJ7:AJ70" ca="1" si="42">IF($G7="","",$J7*LOOKUP($G7,$BM:$BM,CI:CI)*$E7+IF($M7=1,0,IF($O7="",0,$O7*LOOKUP(100,$BM:$BM,CI:CI))))</f>
        <v>7.8028413620000008E-6</v>
      </c>
      <c r="AK7" s="15">
        <f t="shared" ref="AK7:AK70" ca="1" si="43">IF($G7="","",$J7*LOOKUP($G7,$BM:$BM,CJ:CJ)*$E7+IF($M7=1,0,IF($O7="",0,$O7*LOOKUP(100,$BM:$BM,CJ:CJ))))</f>
        <v>2.2876512175999999E-5</v>
      </c>
      <c r="AL7">
        <f ca="1">IF(P7=1,LOOKUP(K7,$AZ$1:$BI$1,$AZ$37:$BI$37)-IF(O7="",0,O7),"")</f>
        <v>4</v>
      </c>
      <c r="AM7" s="10">
        <f t="shared" ca="1" si="27"/>
        <v>3</v>
      </c>
      <c r="AN7" s="10">
        <f ca="1">IF(AM7="","",AM7*LOOKUP(K7,$AZ$1:$BI$1,$AZ$7:$BI$7))</f>
        <v>4.5</v>
      </c>
      <c r="AO7">
        <f ca="1">IF(AN7="","",AN7*LOOKUP(K7,$AZ$1:$BI$1,$AZ$8:$BI$8))</f>
        <v>13.5</v>
      </c>
      <c r="AP7">
        <f ca="1">IF(AO7="","",AO7/LOOKUP(K7,$AZ$1:$BI$1,$AZ$42:$BI$42))</f>
        <v>1.35</v>
      </c>
      <c r="AQ7">
        <f ca="1">IF(AO7="","",IF(LOOKUP(K7,$AZ$1:$BI$1,$AZ$37:$BI$37)=0,0.25,MAX(MIN(AP7,2.5),0.5)))</f>
        <v>1.35</v>
      </c>
      <c r="AR7">
        <f t="shared" si="28"/>
        <v>10</v>
      </c>
      <c r="AS7">
        <f t="shared" si="29"/>
        <v>1</v>
      </c>
      <c r="AT7">
        <f t="shared" si="30"/>
        <v>0</v>
      </c>
      <c r="AU7" t="str">
        <f>IF(OR(AT7="",AT7=0),"",INDEX($AY$1:$BI$5,MATCH(AT7,$AY$1:$AY$5,0),MATCH(K7,$AY$1:$BI$1,0)))</f>
        <v/>
      </c>
      <c r="AV7" t="str">
        <f t="shared" si="31"/>
        <v/>
      </c>
      <c r="AW7">
        <f t="shared" ca="1" si="32"/>
        <v>1.35</v>
      </c>
      <c r="AY7" t="s">
        <v>137</v>
      </c>
      <c r="AZ7" s="9">
        <f>IF(AZ36=1,MIN(MAX((AZ43+AZ40/10)/AZ37,0.5),1.5),"")</f>
        <v>1.5</v>
      </c>
      <c r="BA7" s="9">
        <f ca="1">IF(BA36=1,MIN(MAX((BA43+BA40/10)/BA37,0.5),1.5),"")</f>
        <v>1.5</v>
      </c>
      <c r="BB7" s="9">
        <f ca="1">IF(BB36=1,MIN(MAX((BB43+BB40/10)/BB37,0.5),1.5),"")</f>
        <v>1.5</v>
      </c>
      <c r="BC7" s="9">
        <f ca="1">IF(BC36=1,MIN(MAX((BC43+BC40/10)/BC37,0.5),1.5),"")</f>
        <v>1.5</v>
      </c>
      <c r="BD7" s="9" t="str">
        <f ca="1">IF(BD36=1,MIN(MAX((BD43+BD40/10)/BD37,0.5),1.5),"")</f>
        <v/>
      </c>
      <c r="BE7" s="9" t="str">
        <f ca="1">IF(BE36=1,MIN(MAX((BE43+BE40/10)/BE37,0.5),1.5),"")</f>
        <v/>
      </c>
      <c r="BF7" s="9" t="str">
        <f ca="1">IF(BF36=1,MIN(MAX((BF43+BF40/10)/BF37,0.5),1.5),"")</f>
        <v/>
      </c>
      <c r="BG7" s="9" t="str">
        <f ca="1">IF(BG36=1,MIN(MAX((BG43+BG40/10)/BG37,0.5),1.5),"")</f>
        <v/>
      </c>
      <c r="BH7" s="9" t="str">
        <f ca="1">IF(BH36=1,MIN(MAX((BH43+BH40/10)/BH37,0.5),1.5),"")</f>
        <v/>
      </c>
      <c r="BI7" s="9" t="str">
        <f ca="1">IF(BI36=1,MIN(MAX((BI43+BI40/10)/BI37,0.5),1.5),"")</f>
        <v/>
      </c>
      <c r="BL7" t="s">
        <v>58</v>
      </c>
      <c r="BM7">
        <v>3.3</v>
      </c>
      <c r="BO7">
        <v>-1.25</v>
      </c>
      <c r="BP7" s="13">
        <v>-8.4999999999999995E-4</v>
      </c>
      <c r="BV7">
        <f>-3*0.017</f>
        <v>-5.1000000000000004E-2</v>
      </c>
      <c r="CB7">
        <f>0.051-0.000000425</f>
        <v>5.0999574999999998E-2</v>
      </c>
      <c r="CC7">
        <v>4.2500000000000001E-7</v>
      </c>
      <c r="CK7" s="15">
        <f t="shared" si="37"/>
        <v>-5.2822562777554271E-18</v>
      </c>
      <c r="CL7" s="35">
        <f>SUMPRODUCT($BP$2:$CJ$2,BP7:CJ7)</f>
        <v>5099.9499596500009</v>
      </c>
    </row>
    <row r="8" spans="2:92">
      <c r="B8" t="s">
        <v>34</v>
      </c>
      <c r="C8">
        <f ca="1">SUM(R:R)</f>
        <v>6.3260642857142953E-3</v>
      </c>
      <c r="E8" s="4">
        <f t="shared" ca="1" si="1"/>
        <v>2.4750000000000001</v>
      </c>
      <c r="F8" s="5" t="s">
        <v>36</v>
      </c>
      <c r="G8" s="19">
        <v>11</v>
      </c>
      <c r="H8" s="17">
        <v>0</v>
      </c>
      <c r="I8" s="17">
        <v>0</v>
      </c>
      <c r="J8" s="21">
        <v>3</v>
      </c>
      <c r="K8" s="5">
        <v>1</v>
      </c>
      <c r="L8" s="23"/>
      <c r="N8">
        <f t="shared" si="13"/>
        <v>4</v>
      </c>
      <c r="O8">
        <f t="shared" si="14"/>
        <v>2</v>
      </c>
      <c r="P8">
        <f t="shared" si="15"/>
        <v>1</v>
      </c>
      <c r="Q8" s="10">
        <f ca="1">IF($G8="","",$J8*LOOKUP($G8,$BM:$BM,BO:BO)*$E8+IF(M8="",IF(O8="",0,O8*LOOKUP(100,BM:BM,BO:BO)),0))</f>
        <v>-9.3645833333333339</v>
      </c>
      <c r="R8" s="10">
        <f t="shared" ca="1" si="16"/>
        <v>-6.31125E-3</v>
      </c>
      <c r="S8" s="10">
        <f t="shared" ca="1" si="17"/>
        <v>0</v>
      </c>
      <c r="T8" s="10">
        <f t="shared" ca="1" si="34"/>
        <v>0</v>
      </c>
      <c r="U8" s="10">
        <f t="shared" ca="1" si="35"/>
        <v>0</v>
      </c>
      <c r="V8" s="10">
        <f t="shared" ca="1" si="36"/>
        <v>0</v>
      </c>
      <c r="W8" s="10">
        <f t="shared" ca="1" si="18"/>
        <v>-0.126225</v>
      </c>
      <c r="X8" s="10">
        <f t="shared" ca="1" si="19"/>
        <v>0.126225</v>
      </c>
      <c r="Y8" s="10">
        <f t="shared" ca="1" si="20"/>
        <v>0</v>
      </c>
      <c r="Z8" s="8">
        <f t="shared" ca="1" si="21"/>
        <v>0</v>
      </c>
      <c r="AA8" s="15">
        <f t="shared" ca="1" si="22"/>
        <v>0</v>
      </c>
      <c r="AB8" s="15">
        <f t="shared" ca="1" si="23"/>
        <v>-1.5778125000000002E-6</v>
      </c>
      <c r="AC8" s="15">
        <f t="shared" ca="1" si="24"/>
        <v>-1.5778125000000002E-6</v>
      </c>
      <c r="AD8" s="15">
        <f t="shared" ca="1" si="25"/>
        <v>3.1556250000000004E-6</v>
      </c>
      <c r="AE8" s="15">
        <f t="shared" ca="1" si="26"/>
        <v>0</v>
      </c>
      <c r="AF8" s="15">
        <f t="shared" ca="1" si="38"/>
        <v>-2.1635151050000001E-5</v>
      </c>
      <c r="AG8" s="15">
        <f t="shared" ca="1" si="39"/>
        <v>-7.0431836926519997E-3</v>
      </c>
      <c r="AH8" s="15">
        <f t="shared" ca="1" si="40"/>
        <v>-4.1615153932E-5</v>
      </c>
      <c r="AI8" s="15">
        <f t="shared" ca="1" si="41"/>
        <v>6.0597062596939996E-3</v>
      </c>
      <c r="AJ8" s="15">
        <f t="shared" ca="1" si="42"/>
        <v>1.5605682724000002E-5</v>
      </c>
      <c r="AK8" s="15">
        <f t="shared" ca="1" si="43"/>
        <v>4.5753024351999997E-5</v>
      </c>
      <c r="AL8">
        <f ca="1">IF(P8=1,LOOKUP(K8,$AZ$1:$BI$1,$AZ$37:$BI$37)-IF(O8="",0,O8),"")</f>
        <v>3</v>
      </c>
      <c r="AM8" s="10">
        <f t="shared" ca="1" si="27"/>
        <v>5.5</v>
      </c>
      <c r="AN8" s="10">
        <f ca="1">IF(AM8="","",AM8*LOOKUP(K8,$AZ$1:$BI$1,$AZ$7:$BI$7))</f>
        <v>8.25</v>
      </c>
      <c r="AO8">
        <f ca="1">IF(AN8="","",AN8*LOOKUP(K8,$AZ$1:$BI$1,$AZ$8:$BI$8))</f>
        <v>24.75</v>
      </c>
      <c r="AP8">
        <f ca="1">IF(AO8="","",AO8/LOOKUP(K8,$AZ$1:$BI$1,$AZ$42:$BI$42))</f>
        <v>2.4750000000000001</v>
      </c>
      <c r="AQ8">
        <f ca="1">IF(AO8="","",IF(LOOKUP(K8,$AZ$1:$BI$1,$AZ$37:$BI$37)=0,0.25,MAX(MIN(AP8,2.5),0.5)))</f>
        <v>2.4750000000000001</v>
      </c>
      <c r="AR8">
        <f t="shared" si="28"/>
        <v>11</v>
      </c>
      <c r="AS8">
        <f t="shared" si="29"/>
        <v>1</v>
      </c>
      <c r="AT8">
        <f t="shared" si="30"/>
        <v>0</v>
      </c>
      <c r="AU8" t="str">
        <f>IF(OR(AT8="",AT8=0),"",INDEX($AY$1:$BI$5,MATCH(AT8,$AY$1:$AY$5,0),MATCH(K8,$AY$1:$BI$1,0)))</f>
        <v/>
      </c>
      <c r="AV8" t="str">
        <f t="shared" si="31"/>
        <v/>
      </c>
      <c r="AW8">
        <f t="shared" ca="1" si="32"/>
        <v>2.4750000000000001</v>
      </c>
      <c r="AY8" t="s">
        <v>115</v>
      </c>
      <c r="AZ8" s="9">
        <f>IF(AZ36=1,MIN(AZ41/AZ37,3),"")</f>
        <v>3</v>
      </c>
      <c r="BA8" s="9">
        <f ca="1">IF(BA36=1,MIN(BA41/BA37,3),"")</f>
        <v>3</v>
      </c>
      <c r="BB8" s="9">
        <f ca="1">IF(BB36=1,MIN(BB41/BB37,3),"")</f>
        <v>3</v>
      </c>
      <c r="BC8" s="9">
        <f ca="1">IF(BC36=1,MIN(BC41/BC37,3),"")</f>
        <v>1.5</v>
      </c>
      <c r="BD8" s="9" t="str">
        <f ca="1">IF(BD36=1,MIN(BD41/BD37,3),"")</f>
        <v/>
      </c>
      <c r="BE8" s="9" t="str">
        <f ca="1">IF(BE36=1,MIN(BE41/BE37,3),"")</f>
        <v/>
      </c>
      <c r="BF8" s="9" t="str">
        <f ca="1">IF(BF36=1,MIN(BF41/BF37,3),"")</f>
        <v/>
      </c>
      <c r="BG8" s="9" t="str">
        <f ca="1">IF(BG36=1,MIN(BG41/BG37,3),"")</f>
        <v/>
      </c>
      <c r="BH8" s="9" t="str">
        <f ca="1">IF(BH36=1,MIN(BH41/BH37,3),"")</f>
        <v/>
      </c>
      <c r="BI8" s="9" t="str">
        <f ca="1">IF(BI36=1,MIN(BI41/BI37,3),"")</f>
        <v/>
      </c>
      <c r="BL8" t="s">
        <v>57</v>
      </c>
      <c r="BM8">
        <v>3.4</v>
      </c>
      <c r="BO8">
        <v>-5</v>
      </c>
      <c r="BP8" s="13">
        <v>-8.4999999999999995E-4</v>
      </c>
      <c r="BQ8" s="13"/>
      <c r="BR8" s="13"/>
      <c r="BS8" s="13"/>
      <c r="BT8">
        <f>3*0.085</f>
        <v>0.255</v>
      </c>
      <c r="BZ8">
        <v>-2.125E-7</v>
      </c>
      <c r="CA8">
        <v>-2.125E-7</v>
      </c>
      <c r="CC8">
        <f>0.000000425-0.255</f>
        <v>-0.25499957499999998</v>
      </c>
      <c r="CK8" s="15">
        <f t="shared" si="37"/>
        <v>0</v>
      </c>
      <c r="CL8" s="35">
        <f>SUMPRODUCT($BP$2:$CJ$2,BP8:CJ8)</f>
        <v>-25499.74982375</v>
      </c>
    </row>
    <row r="9" spans="2:92">
      <c r="B9" t="s">
        <v>155</v>
      </c>
      <c r="C9">
        <f ca="1">SUM(S:S)</f>
        <v>-0.57374999999999998</v>
      </c>
      <c r="E9" s="4">
        <f t="shared" ca="1" si="1"/>
        <v>2.0249999999999999</v>
      </c>
      <c r="F9" s="5" t="s">
        <v>32</v>
      </c>
      <c r="G9" s="19">
        <v>0</v>
      </c>
      <c r="H9" s="17">
        <v>0.5</v>
      </c>
      <c r="I9" s="17">
        <v>0.5</v>
      </c>
      <c r="J9" s="21">
        <v>1</v>
      </c>
      <c r="K9" s="5">
        <v>1</v>
      </c>
      <c r="L9" s="23"/>
      <c r="N9">
        <f t="shared" si="13"/>
        <v>3</v>
      </c>
      <c r="O9">
        <f t="shared" si="14"/>
        <v>2</v>
      </c>
      <c r="P9">
        <f t="shared" si="15"/>
        <v>1</v>
      </c>
      <c r="Q9" s="10">
        <f ca="1">IF($G9="","",$J9*LOOKUP($G9,$BM:$BM,BO:BO)*$E9+IF(M9="",IF(O9="",0,O9*LOOKUP(100,BM:BM,BO:BO)),0))</f>
        <v>-2.6145833333333335</v>
      </c>
      <c r="R9" s="10">
        <f t="shared" ca="1" si="16"/>
        <v>4.303125E-2</v>
      </c>
      <c r="S9" s="10">
        <f t="shared" ca="1" si="17"/>
        <v>0</v>
      </c>
      <c r="T9" s="10">
        <f t="shared" ca="1" si="34"/>
        <v>0</v>
      </c>
      <c r="U9" s="10">
        <f t="shared" ca="1" si="35"/>
        <v>0</v>
      </c>
      <c r="V9" s="10">
        <f t="shared" ca="1" si="36"/>
        <v>0</v>
      </c>
      <c r="W9" s="10">
        <f t="shared" ca="1" si="18"/>
        <v>0</v>
      </c>
      <c r="X9" s="10">
        <f t="shared" ca="1" si="19"/>
        <v>0</v>
      </c>
      <c r="Y9" s="10">
        <f t="shared" ca="1" si="20"/>
        <v>0</v>
      </c>
      <c r="Z9" s="8">
        <f t="shared" ca="1" si="21"/>
        <v>0</v>
      </c>
      <c r="AA9" s="15">
        <f t="shared" ca="1" si="22"/>
        <v>0</v>
      </c>
      <c r="AB9" s="15">
        <f t="shared" ca="1" si="23"/>
        <v>0</v>
      </c>
      <c r="AC9" s="15">
        <f t="shared" ca="1" si="24"/>
        <v>-8.6062500000000002E-7</v>
      </c>
      <c r="AD9" s="15">
        <f t="shared" ca="1" si="25"/>
        <v>8.6062500000000002E-7</v>
      </c>
      <c r="AE9" s="15">
        <f t="shared" ca="1" si="26"/>
        <v>0</v>
      </c>
      <c r="AF9" s="15">
        <f t="shared" ca="1" si="38"/>
        <v>-2.1635151050000001E-5</v>
      </c>
      <c r="AG9" s="15">
        <f t="shared" ca="1" si="39"/>
        <v>-7.0431836926519997E-3</v>
      </c>
      <c r="AH9" s="15">
        <f t="shared" ca="1" si="40"/>
        <v>-4.1615153932E-5</v>
      </c>
      <c r="AI9" s="15">
        <f t="shared" ca="1" si="41"/>
        <v>6.0597062596939996E-3</v>
      </c>
      <c r="AJ9" s="15">
        <f t="shared" ca="1" si="42"/>
        <v>1.5605682724000002E-5</v>
      </c>
      <c r="AK9" s="15">
        <f t="shared" ca="1" si="43"/>
        <v>4.5753024351999997E-5</v>
      </c>
      <c r="AL9">
        <f ca="1">IF(P9=1,LOOKUP(K9,$AZ$1:$BI$1,$AZ$37:$BI$37)-IF(O9="",0,O9),"")</f>
        <v>3</v>
      </c>
      <c r="AM9" s="10">
        <f t="shared" ca="1" si="27"/>
        <v>4.5</v>
      </c>
      <c r="AN9" s="10">
        <f ca="1">IF(AM9="","",AM9*LOOKUP(K9,$AZ$1:$BI$1,$AZ$7:$BI$7))</f>
        <v>6.75</v>
      </c>
      <c r="AO9">
        <f ca="1">IF(AN9="","",AN9*LOOKUP(K9,$AZ$1:$BI$1,$AZ$8:$BI$8))</f>
        <v>20.25</v>
      </c>
      <c r="AP9">
        <f ca="1">IF(AO9="","",AO9/LOOKUP(K9,$AZ$1:$BI$1,$AZ$42:$BI$42))</f>
        <v>2.0249999999999999</v>
      </c>
      <c r="AQ9">
        <f ca="1">IF(AO9="","",IF(LOOKUP(K9,$AZ$1:$BI$1,$AZ$37:$BI$37)=0,0.25,MAX(MIN(AP9,2.5),0.5)))</f>
        <v>2.0249999999999999</v>
      </c>
      <c r="AR9">
        <f t="shared" si="28"/>
        <v>0</v>
      </c>
      <c r="AS9">
        <f t="shared" si="29"/>
        <v>1</v>
      </c>
      <c r="AT9">
        <f t="shared" si="30"/>
        <v>0</v>
      </c>
      <c r="AU9" t="str">
        <f>IF(OR(AT9="",AT9=0),"",INDEX($AY$1:$BI$5,MATCH(AT9,$AY$1:$AY$5,0),MATCH(K9,$AY$1:$BI$1,0)))</f>
        <v/>
      </c>
      <c r="AV9" t="str">
        <f t="shared" si="31"/>
        <v/>
      </c>
      <c r="AW9">
        <f t="shared" ca="1" si="32"/>
        <v>2.0249999999999999</v>
      </c>
      <c r="AY9" t="s">
        <v>39</v>
      </c>
      <c r="AZ9" s="9">
        <f ca="1">IF(AZ$36=1,SUMIF($K:$K,AZ$1,$Q:$Q)+AZ6,"")</f>
        <v>74.479166666666671</v>
      </c>
      <c r="BA9" s="9">
        <f ca="1">IF(BA$36=1,SUMIF($K:$K,BA$1,$Q:$Q)+BA6,"")</f>
        <v>31.083333333333343</v>
      </c>
      <c r="BB9" s="9">
        <f ca="1">IF(BB$36=1,SUMIF($K:$K,BB$1,$Q:$Q)+BB6,"")</f>
        <v>87.806726190476184</v>
      </c>
      <c r="BC9" s="9">
        <f ca="1">IF(BC$36=1,SUMIF($K:$K,BC$1,$Q:$Q)+BC6,"")</f>
        <v>11.049999999999997</v>
      </c>
      <c r="BD9" s="9" t="str">
        <f ca="1">IF(BD$36=1,SUMIF($K:$K,BD$1,$Q:$Q)+BD6,"")</f>
        <v/>
      </c>
      <c r="BE9" s="9" t="str">
        <f ca="1">IF(BE$36=1,SUMIF($K:$K,BE$1,$Q:$Q)+BE6,"")</f>
        <v/>
      </c>
      <c r="BF9" s="9" t="str">
        <f ca="1">IF(BF$36=1,SUMIF($K:$K,BF$1,$Q:$Q)+BF6,"")</f>
        <v/>
      </c>
      <c r="BG9" s="9" t="str">
        <f ca="1">IF(BG$36=1,SUMIF($K:$K,BG$1,$Q:$Q)+BG6,"")</f>
        <v/>
      </c>
      <c r="BH9" s="9" t="str">
        <f ca="1">IF(BH$36=1,SUMIF($K:$K,BH$1,$Q:$Q)+BH6,"")</f>
        <v/>
      </c>
      <c r="BI9" s="9" t="str">
        <f ca="1">IF(BI$36=1,SUMIF($K:$K,BI$1,$Q:$Q)+BI6,"")</f>
        <v/>
      </c>
      <c r="BL9" t="s">
        <v>62</v>
      </c>
      <c r="BM9">
        <v>4.0999999999999996</v>
      </c>
      <c r="BO9">
        <v>-2.5</v>
      </c>
      <c r="BP9" s="13">
        <v>-8.4999999999999995E-4</v>
      </c>
      <c r="BT9">
        <f>-3*0.0255</f>
        <v>-7.6499999999999999E-2</v>
      </c>
      <c r="BZ9">
        <v>-2.125E-7</v>
      </c>
      <c r="CA9">
        <v>-2.125E-7</v>
      </c>
      <c r="CC9">
        <v>4.2500000000000001E-7</v>
      </c>
      <c r="CK9" s="15">
        <f t="shared" ref="CK9:CK13" si="44">SUM(BQ9:CJ9)</f>
        <v>-7.6499999999999999E-2</v>
      </c>
      <c r="CL9" s="35">
        <f>SUMPRODUCT($BP$2:$CJ$2,BP9:CJ9)</f>
        <v>7649.9234957500003</v>
      </c>
    </row>
    <row r="10" spans="2:92">
      <c r="B10" t="s">
        <v>157</v>
      </c>
      <c r="C10">
        <f ca="1">SUM(T:T)</f>
        <v>-0.57374999999999998</v>
      </c>
      <c r="E10" s="4" t="str">
        <f t="shared" si="1"/>
        <v/>
      </c>
      <c r="H10" s="17"/>
      <c r="I10" s="17"/>
      <c r="L10" s="23"/>
      <c r="N10" t="str">
        <f t="shared" si="13"/>
        <v/>
      </c>
      <c r="O10" t="str">
        <f t="shared" si="14"/>
        <v/>
      </c>
      <c r="P10" t="str">
        <f t="shared" si="15"/>
        <v/>
      </c>
      <c r="Q10" s="10" t="str">
        <f>IF($G10="","",$J10*LOOKUP($G10,$BM:$BM,BO:BO)*$E10+IF(M10="",IF(O10="",0,O10*LOOKUP(100,BM:BM,BO:BO)),0))</f>
        <v/>
      </c>
      <c r="R10" s="10" t="str">
        <f t="shared" si="16"/>
        <v/>
      </c>
      <c r="S10" s="10" t="str">
        <f t="shared" si="17"/>
        <v/>
      </c>
      <c r="T10" s="10" t="str">
        <f t="shared" si="34"/>
        <v/>
      </c>
      <c r="U10" s="10" t="str">
        <f t="shared" si="35"/>
        <v/>
      </c>
      <c r="V10" s="10" t="str">
        <f t="shared" si="36"/>
        <v/>
      </c>
      <c r="W10" s="10" t="str">
        <f t="shared" si="18"/>
        <v/>
      </c>
      <c r="X10" s="10" t="str">
        <f t="shared" si="19"/>
        <v/>
      </c>
      <c r="Y10" s="10" t="str">
        <f t="shared" si="20"/>
        <v/>
      </c>
      <c r="Z10" s="8" t="str">
        <f t="shared" si="21"/>
        <v/>
      </c>
      <c r="AA10" s="15" t="str">
        <f t="shared" si="22"/>
        <v/>
      </c>
      <c r="AB10" s="15" t="str">
        <f t="shared" si="23"/>
        <v/>
      </c>
      <c r="AC10" s="15" t="str">
        <f t="shared" si="24"/>
        <v/>
      </c>
      <c r="AD10" s="15" t="str">
        <f t="shared" si="25"/>
        <v/>
      </c>
      <c r="AE10" s="15" t="str">
        <f t="shared" si="26"/>
        <v/>
      </c>
      <c r="AF10" s="15" t="str">
        <f t="shared" si="38"/>
        <v/>
      </c>
      <c r="AG10" s="15" t="str">
        <f t="shared" si="39"/>
        <v/>
      </c>
      <c r="AH10" s="15" t="str">
        <f t="shared" si="40"/>
        <v/>
      </c>
      <c r="AI10" s="15" t="str">
        <f t="shared" si="41"/>
        <v/>
      </c>
      <c r="AJ10" s="15" t="str">
        <f t="shared" si="42"/>
        <v/>
      </c>
      <c r="AK10" s="15" t="str">
        <f t="shared" si="43"/>
        <v/>
      </c>
      <c r="AL10" t="str">
        <f>IF(P10=1,LOOKUP(K10,$AZ$1:$BI$1,$AZ$37:$BI$37)-IF(O10="",0,O10),"")</f>
        <v/>
      </c>
      <c r="AM10" s="10" t="str">
        <f t="shared" si="27"/>
        <v/>
      </c>
      <c r="AN10" s="10" t="str">
        <f>IF(AM10="","",AM10*LOOKUP(K10,$AZ$1:$BI$1,$AZ$7:$BI$7))</f>
        <v/>
      </c>
      <c r="AO10" t="str">
        <f>IF(AN10="","",AN10*LOOKUP(K10,$AZ$1:$BI$1,$AZ$8:$BI$8))</f>
        <v/>
      </c>
      <c r="AP10" t="str">
        <f>IF(AO10="","",AO10/LOOKUP(K10,$AZ$1:$BI$1,$AZ$42:$BI$42))</f>
        <v/>
      </c>
      <c r="AQ10" t="str">
        <f>IF(AO10="","",IF(LOOKUP(K10,$AZ$1:$BI$1,$AZ$37:$BI$37)=0,0.25,MAX(MIN(AP10,2.5),0.5)))</f>
        <v/>
      </c>
      <c r="AR10" t="str">
        <f t="shared" si="28"/>
        <v/>
      </c>
      <c r="AS10" t="str">
        <f t="shared" si="29"/>
        <v/>
      </c>
      <c r="AT10" t="str">
        <f t="shared" si="30"/>
        <v/>
      </c>
      <c r="AU10" t="str">
        <f>IF(OR(AT10="",AT10=0),"",INDEX($AY$1:$BI$5,MATCH(AT10,$AY$1:$AY$5,0),MATCH(K10,$AY$1:$BI$1,0)))</f>
        <v/>
      </c>
      <c r="AV10" t="str">
        <f t="shared" si="31"/>
        <v/>
      </c>
      <c r="AW10" t="str">
        <f t="shared" si="32"/>
        <v/>
      </c>
      <c r="BJ10" t="s">
        <v>42</v>
      </c>
      <c r="BL10" t="s">
        <v>63</v>
      </c>
      <c r="BM10">
        <v>4.2</v>
      </c>
      <c r="BO10">
        <v>-2.5</v>
      </c>
      <c r="BP10" s="13">
        <v>-8.4999999999999995E-4</v>
      </c>
      <c r="BU10">
        <f>-3*0.017</f>
        <v>-5.1000000000000004E-2</v>
      </c>
      <c r="CA10">
        <v>-2.125E-7</v>
      </c>
      <c r="CB10">
        <v>-2.125E-7</v>
      </c>
      <c r="CC10">
        <v>4.2500000000000001E-7</v>
      </c>
      <c r="CK10" s="15">
        <f t="shared" si="44"/>
        <v>-5.1000000000000004E-2</v>
      </c>
      <c r="CL10" s="35">
        <f>SUMPRODUCT($BP$2:$CJ$2,BP10:CJ10)</f>
        <v>5099.9489957500009</v>
      </c>
    </row>
    <row r="11" spans="2:92">
      <c r="B11" t="s">
        <v>134</v>
      </c>
      <c r="C11">
        <f ca="1">SUM(U:U)</f>
        <v>-0.88339285714285709</v>
      </c>
      <c r="E11" s="4" t="str">
        <f t="shared" si="1"/>
        <v/>
      </c>
      <c r="H11" s="17"/>
      <c r="I11" s="17"/>
      <c r="L11" s="23"/>
      <c r="N11" t="str">
        <f t="shared" si="13"/>
        <v/>
      </c>
      <c r="O11" t="str">
        <f t="shared" si="14"/>
        <v/>
      </c>
      <c r="P11" t="str">
        <f t="shared" si="15"/>
        <v/>
      </c>
      <c r="Q11" s="10" t="str">
        <f>IF($G11="","",$J11*LOOKUP($G11,$BM:$BM,BO:BO)*$E11+IF(M11="",IF(O11="",0,O11*LOOKUP(100,BM:BM,BO:BO)),0))</f>
        <v/>
      </c>
      <c r="R11" s="10" t="str">
        <f t="shared" si="16"/>
        <v/>
      </c>
      <c r="S11" s="10" t="str">
        <f t="shared" si="17"/>
        <v/>
      </c>
      <c r="T11" s="10" t="str">
        <f t="shared" si="34"/>
        <v/>
      </c>
      <c r="U11" s="10" t="str">
        <f t="shared" si="35"/>
        <v/>
      </c>
      <c r="V11" s="10" t="str">
        <f t="shared" si="36"/>
        <v/>
      </c>
      <c r="W11" s="10" t="str">
        <f t="shared" si="18"/>
        <v/>
      </c>
      <c r="X11" s="10" t="str">
        <f t="shared" si="19"/>
        <v/>
      </c>
      <c r="Y11" s="10" t="str">
        <f t="shared" si="20"/>
        <v/>
      </c>
      <c r="Z11" s="8" t="str">
        <f t="shared" si="21"/>
        <v/>
      </c>
      <c r="AA11" s="15" t="str">
        <f t="shared" si="22"/>
        <v/>
      </c>
      <c r="AB11" s="15" t="str">
        <f t="shared" si="23"/>
        <v/>
      </c>
      <c r="AC11" s="15" t="str">
        <f t="shared" si="24"/>
        <v/>
      </c>
      <c r="AD11" s="15" t="str">
        <f t="shared" si="25"/>
        <v/>
      </c>
      <c r="AE11" s="15" t="str">
        <f t="shared" si="26"/>
        <v/>
      </c>
      <c r="AF11" s="15" t="str">
        <f t="shared" si="38"/>
        <v/>
      </c>
      <c r="AG11" s="15" t="str">
        <f t="shared" si="39"/>
        <v/>
      </c>
      <c r="AH11" s="15" t="str">
        <f t="shared" si="40"/>
        <v/>
      </c>
      <c r="AI11" s="15" t="str">
        <f t="shared" si="41"/>
        <v/>
      </c>
      <c r="AJ11" s="15" t="str">
        <f t="shared" si="42"/>
        <v/>
      </c>
      <c r="AK11" s="15" t="str">
        <f t="shared" si="43"/>
        <v/>
      </c>
      <c r="AL11" t="str">
        <f>IF(P11=1,LOOKUP(K11,$AZ$1:$BI$1,$AZ$37:$BI$37)-IF(O11="",0,O11),"")</f>
        <v/>
      </c>
      <c r="AM11" s="10" t="str">
        <f t="shared" si="27"/>
        <v/>
      </c>
      <c r="AN11" s="10" t="str">
        <f>IF(AM11="","",AM11*LOOKUP(K11,$AZ$1:$BI$1,$AZ$7:$BI$7))</f>
        <v/>
      </c>
      <c r="AO11" t="str">
        <f>IF(AN11="","",AN11*LOOKUP(K11,$AZ$1:$BI$1,$AZ$8:$BI$8))</f>
        <v/>
      </c>
      <c r="AP11" t="str">
        <f>IF(AO11="","",AO11/LOOKUP(K11,$AZ$1:$BI$1,$AZ$42:$BI$42))</f>
        <v/>
      </c>
      <c r="AQ11" t="str">
        <f>IF(AO11="","",IF(LOOKUP(K11,$AZ$1:$BI$1,$AZ$37:$BI$37)=0,0.25,MAX(MIN(AP11,2.5),0.5)))</f>
        <v/>
      </c>
      <c r="AR11" t="str">
        <f t="shared" si="28"/>
        <v/>
      </c>
      <c r="AS11" t="str">
        <f t="shared" si="29"/>
        <v/>
      </c>
      <c r="AT11" t="str">
        <f t="shared" si="30"/>
        <v/>
      </c>
      <c r="AU11" t="str">
        <f>IF(OR(AT11="",AT11=0),"",INDEX($AY$1:$BI$5,MATCH(AT11,$AY$1:$AY$5,0),MATCH(K11,$AY$1:$BI$1,0)))</f>
        <v/>
      </c>
      <c r="AV11" t="str">
        <f t="shared" si="31"/>
        <v/>
      </c>
      <c r="AW11" t="str">
        <f t="shared" si="32"/>
        <v/>
      </c>
      <c r="AY11" t="s">
        <v>34</v>
      </c>
      <c r="AZ11" s="15">
        <f ca="1">IF(AZ$36=1,SUMIF($K:$K,AZ$1,$R:$R),"")</f>
        <v>3.0408750000000002E-2</v>
      </c>
      <c r="BA11" s="15">
        <f ca="1">IF(BA$36=1,SUMIF($K:$K,BA$1,$R:$R),"")</f>
        <v>-2.3332499999999992E-2</v>
      </c>
      <c r="BB11" s="15">
        <f ca="1">IF(BB$36=1,SUMIF($K:$K,BB$1,$R:$R),"")</f>
        <v>-2.0676857142857149E-3</v>
      </c>
      <c r="BC11" s="15">
        <f ca="1">IF(BC$36=1,SUMIF($K:$K,BC$1,$R:$R),"")</f>
        <v>1.3174999999999958E-3</v>
      </c>
      <c r="BD11" s="15" t="str">
        <f ca="1">IF(BD$36=1,SUMIF($K:$K,BD$1,$R:$R),"")</f>
        <v/>
      </c>
      <c r="BE11" s="15" t="str">
        <f ca="1">IF(BE$36=1,SUMIF($K:$K,BE$1,$R:$R),"")</f>
        <v/>
      </c>
      <c r="BF11" s="15" t="str">
        <f ca="1">IF(BF$36=1,SUMIF($K:$K,BF$1,$R:$R),"")</f>
        <v/>
      </c>
      <c r="BG11" s="15" t="str">
        <f ca="1">IF(BG$36=1,SUMIF($K:$K,BG$1,$R:$R),"")</f>
        <v/>
      </c>
      <c r="BH11" s="15" t="str">
        <f ca="1">IF(BH$36=1,SUMIF($K:$K,BH$1,$R:$R),"")</f>
        <v/>
      </c>
      <c r="BI11" s="15" t="str">
        <f ca="1">IF(BI$36=1,SUMIF($K:$K,BI$1,$R:$R),"")</f>
        <v/>
      </c>
      <c r="BJ11" s="15">
        <f t="shared" ref="BJ11:BJ14" ca="1" si="45">SUM(AZ11:BI11)</f>
        <v>6.3260642857142901E-3</v>
      </c>
      <c r="BL11" t="s">
        <v>64</v>
      </c>
      <c r="BM11">
        <v>4.3</v>
      </c>
      <c r="BO11">
        <v>-2.5</v>
      </c>
      <c r="BP11" s="13">
        <v>-8.4999999999999995E-4</v>
      </c>
      <c r="BQ11" s="13"/>
      <c r="BR11" s="13"/>
      <c r="BS11" s="13"/>
      <c r="BV11">
        <f>-3*0.0085</f>
        <v>-2.5500000000000002E-2</v>
      </c>
      <c r="CB11">
        <v>-4.2500000000000001E-7</v>
      </c>
      <c r="CC11">
        <v>4.2500000000000001E-7</v>
      </c>
      <c r="CK11" s="15">
        <f t="shared" si="44"/>
        <v>-2.5500000000000002E-2</v>
      </c>
      <c r="CL11" s="35">
        <f>SUMPRODUCT($BP$2:$CJ$2,BP11:CJ11)</f>
        <v>2549.9744957500002</v>
      </c>
    </row>
    <row r="12" spans="2:92">
      <c r="B12" t="s">
        <v>41</v>
      </c>
      <c r="C12">
        <f ca="1">SUM(V:V)</f>
        <v>3.4526999999999954E-2</v>
      </c>
      <c r="E12" s="4" t="str">
        <f t="shared" si="1"/>
        <v/>
      </c>
      <c r="H12" s="17"/>
      <c r="I12" s="17"/>
      <c r="L12" s="23"/>
      <c r="N12" t="str">
        <f t="shared" si="13"/>
        <v/>
      </c>
      <c r="O12" t="str">
        <f t="shared" si="14"/>
        <v/>
      </c>
      <c r="P12" t="str">
        <f t="shared" si="15"/>
        <v/>
      </c>
      <c r="Q12" s="10" t="str">
        <f t="shared" ref="Q12:Q75" si="46">IF($G12="","",$J12*LOOKUP($G12,$BM:$BM,BO:BO)*$E12+IF(M12="",IF(O12="",0,O12*LOOKUP(100,BM:BM,BO:BO)),0))</f>
        <v/>
      </c>
      <c r="R12" s="10" t="str">
        <f t="shared" si="16"/>
        <v/>
      </c>
      <c r="S12" s="10" t="str">
        <f t="shared" si="17"/>
        <v/>
      </c>
      <c r="T12" s="10" t="str">
        <f t="shared" si="34"/>
        <v/>
      </c>
      <c r="U12" s="10" t="str">
        <f t="shared" si="35"/>
        <v/>
      </c>
      <c r="V12" s="10" t="str">
        <f t="shared" si="36"/>
        <v/>
      </c>
      <c r="W12" s="10" t="str">
        <f t="shared" si="18"/>
        <v/>
      </c>
      <c r="X12" s="10" t="str">
        <f t="shared" si="19"/>
        <v/>
      </c>
      <c r="Y12" s="10" t="str">
        <f t="shared" si="20"/>
        <v/>
      </c>
      <c r="Z12" s="8" t="str">
        <f t="shared" si="21"/>
        <v/>
      </c>
      <c r="AA12" s="15" t="str">
        <f t="shared" si="22"/>
        <v/>
      </c>
      <c r="AB12" s="15" t="str">
        <f t="shared" si="23"/>
        <v/>
      </c>
      <c r="AC12" s="15" t="str">
        <f t="shared" si="24"/>
        <v/>
      </c>
      <c r="AD12" s="15" t="str">
        <f t="shared" si="25"/>
        <v/>
      </c>
      <c r="AE12" s="15" t="str">
        <f t="shared" si="26"/>
        <v/>
      </c>
      <c r="AF12" s="15" t="str">
        <f t="shared" si="38"/>
        <v/>
      </c>
      <c r="AG12" s="15" t="str">
        <f t="shared" si="39"/>
        <v/>
      </c>
      <c r="AH12" s="15" t="str">
        <f t="shared" si="40"/>
        <v/>
      </c>
      <c r="AI12" s="15" t="str">
        <f t="shared" si="41"/>
        <v/>
      </c>
      <c r="AJ12" s="15" t="str">
        <f t="shared" si="42"/>
        <v/>
      </c>
      <c r="AK12" s="15" t="str">
        <f t="shared" si="43"/>
        <v/>
      </c>
      <c r="AL12" t="str">
        <f>IF(P12=1,LOOKUP(K12,$AZ$1:$BI$1,$AZ$37:$BI$37)-IF(O12="",0,O12),"")</f>
        <v/>
      </c>
      <c r="AM12" s="10" t="str">
        <f t="shared" si="27"/>
        <v/>
      </c>
      <c r="AN12" s="10" t="str">
        <f>IF(AM12="","",AM12*LOOKUP(K12,$AZ$1:$BI$1,$AZ$7:$BI$7))</f>
        <v/>
      </c>
      <c r="AO12" t="str">
        <f>IF(AN12="","",AN12*LOOKUP(K12,$AZ$1:$BI$1,$AZ$8:$BI$8))</f>
        <v/>
      </c>
      <c r="AP12" t="str">
        <f>IF(AO12="","",AO12/LOOKUP(K12,$AZ$1:$BI$1,$AZ$42:$BI$42))</f>
        <v/>
      </c>
      <c r="AQ12" t="str">
        <f>IF(AO12="","",IF(LOOKUP(K12,$AZ$1:$BI$1,$AZ$37:$BI$37)=0,0.25,MAX(MIN(AP12,2.5),0.5)))</f>
        <v/>
      </c>
      <c r="AR12" t="str">
        <f t="shared" si="28"/>
        <v/>
      </c>
      <c r="AS12" t="str">
        <f t="shared" si="29"/>
        <v/>
      </c>
      <c r="AT12" t="str">
        <f t="shared" si="30"/>
        <v/>
      </c>
      <c r="AU12" t="str">
        <f>IF(OR(AT12="",AT12=0),"",INDEX($AY$1:$BI$5,MATCH(AT12,$AY$1:$AY$5,0),MATCH(K12,$AY$1:$BI$1,0)))</f>
        <v/>
      </c>
      <c r="AV12" t="str">
        <f t="shared" si="31"/>
        <v/>
      </c>
      <c r="AW12" t="str">
        <f t="shared" si="32"/>
        <v/>
      </c>
      <c r="AY12" t="s">
        <v>155</v>
      </c>
      <c r="AZ12" s="15">
        <f ca="1">IF(AZ$36=1,SUMIF($K:$K,AZ$1,$S:$S),"")</f>
        <v>-0.57374999999999998</v>
      </c>
      <c r="BA12" s="15">
        <f ca="1">IF(BA$36=1,SUMIF($K:$K,BA$1,$S:$S),"")</f>
        <v>0</v>
      </c>
      <c r="BB12" s="15">
        <f ca="1">IF(BB$36=1,SUMIF($K:$K,BB$1,$S:$S),"")</f>
        <v>0</v>
      </c>
      <c r="BC12" s="15">
        <f ca="1">IF(BC$36=1,SUMIF($K:$K,BC$1,$S:$S),"")</f>
        <v>0</v>
      </c>
      <c r="BD12" s="15" t="str">
        <f ca="1">IF(BD$36=1,SUMIF($K:$K,BD$1,$S:$S),"")</f>
        <v/>
      </c>
      <c r="BE12" s="15" t="str">
        <f ca="1">IF(BE$36=1,SUMIF($K:$K,BE$1,$S:$S),"")</f>
        <v/>
      </c>
      <c r="BF12" s="15" t="str">
        <f ca="1">IF(BF$36=1,SUMIF($K:$K,BF$1,$S:$S),"")</f>
        <v/>
      </c>
      <c r="BG12" s="15" t="str">
        <f ca="1">IF(BG$36=1,SUMIF($K:$K,BG$1,$S:$S),"")</f>
        <v/>
      </c>
      <c r="BH12" s="15" t="str">
        <f ca="1">IF(BH$36=1,SUMIF($K:$K,BH$1,$S:$S),"")</f>
        <v/>
      </c>
      <c r="BI12" s="15" t="str">
        <f ca="1">IF(BI$36=1,SUMIF($K:$K,BI$1,$S:$S),"")</f>
        <v/>
      </c>
      <c r="BJ12" s="15">
        <f t="shared" ca="1" si="45"/>
        <v>-0.57374999999999998</v>
      </c>
      <c r="BL12" t="s">
        <v>67</v>
      </c>
      <c r="BM12">
        <v>6.1</v>
      </c>
      <c r="BO12">
        <v>-5</v>
      </c>
      <c r="BP12" s="13">
        <v>-8.4999999999999995E-4</v>
      </c>
      <c r="BS12">
        <v>-0.1275</v>
      </c>
      <c r="BY12">
        <v>3.2452726574999999E-4</v>
      </c>
      <c r="BZ12">
        <v>-2.125E-7</v>
      </c>
      <c r="CA12">
        <v>-2.125E-7</v>
      </c>
      <c r="CC12">
        <v>4.2500000000000001E-7</v>
      </c>
      <c r="CG12">
        <v>-6.2422730897999999E-4</v>
      </c>
      <c r="CH12">
        <v>9.0895593895410007E-2</v>
      </c>
      <c r="CJ12">
        <v>6.8629536528E-4</v>
      </c>
      <c r="CK12" s="15">
        <f>SUM(BQ12:CJ12)</f>
        <v>-3.6217810782540043E-2</v>
      </c>
      <c r="CL12">
        <f>SUMPRODUCT($BP$2:$CJ$2,BP12:CJ12)</f>
        <v>-1.0181691038565104E-3</v>
      </c>
    </row>
    <row r="13" spans="2:92">
      <c r="B13" t="s">
        <v>45</v>
      </c>
      <c r="C13">
        <f ca="1">SUM(W:W)</f>
        <v>1.1373000000000013E-2</v>
      </c>
      <c r="E13" s="4" t="str">
        <f t="shared" si="1"/>
        <v/>
      </c>
      <c r="H13" s="17"/>
      <c r="I13" s="17"/>
      <c r="L13" s="23"/>
      <c r="N13" t="str">
        <f t="shared" si="13"/>
        <v/>
      </c>
      <c r="O13" t="str">
        <f t="shared" si="14"/>
        <v/>
      </c>
      <c r="P13" t="str">
        <f t="shared" si="15"/>
        <v/>
      </c>
      <c r="Q13" s="10" t="str">
        <f t="shared" si="46"/>
        <v/>
      </c>
      <c r="R13" s="10" t="str">
        <f t="shared" si="16"/>
        <v/>
      </c>
      <c r="S13" s="10" t="str">
        <f t="shared" si="17"/>
        <v/>
      </c>
      <c r="T13" s="10" t="str">
        <f t="shared" si="34"/>
        <v/>
      </c>
      <c r="U13" s="10" t="str">
        <f t="shared" si="35"/>
        <v/>
      </c>
      <c r="V13" s="10" t="str">
        <f t="shared" si="36"/>
        <v/>
      </c>
      <c r="W13" s="10" t="str">
        <f t="shared" si="18"/>
        <v/>
      </c>
      <c r="X13" s="10" t="str">
        <f t="shared" si="19"/>
        <v/>
      </c>
      <c r="Y13" s="10" t="str">
        <f t="shared" si="20"/>
        <v/>
      </c>
      <c r="Z13" s="8" t="str">
        <f t="shared" si="21"/>
        <v/>
      </c>
      <c r="AA13" s="15" t="str">
        <f t="shared" si="22"/>
        <v/>
      </c>
      <c r="AB13" s="15" t="str">
        <f t="shared" si="23"/>
        <v/>
      </c>
      <c r="AC13" s="15" t="str">
        <f t="shared" si="24"/>
        <v/>
      </c>
      <c r="AD13" s="15" t="str">
        <f t="shared" si="25"/>
        <v/>
      </c>
      <c r="AE13" s="15" t="str">
        <f t="shared" si="26"/>
        <v/>
      </c>
      <c r="AF13" s="15" t="str">
        <f t="shared" si="38"/>
        <v/>
      </c>
      <c r="AG13" s="15" t="str">
        <f t="shared" si="39"/>
        <v/>
      </c>
      <c r="AH13" s="15" t="str">
        <f t="shared" si="40"/>
        <v/>
      </c>
      <c r="AI13" s="15" t="str">
        <f t="shared" si="41"/>
        <v/>
      </c>
      <c r="AJ13" s="15" t="str">
        <f t="shared" si="42"/>
        <v/>
      </c>
      <c r="AK13" s="15" t="str">
        <f t="shared" si="43"/>
        <v/>
      </c>
      <c r="AL13" t="str">
        <f>IF(P13=1,LOOKUP(K13,$AZ$1:$BI$1,$AZ$37:$BI$37)-IF(O13="",0,O13),"")</f>
        <v/>
      </c>
      <c r="AM13" s="10" t="str">
        <f t="shared" si="27"/>
        <v/>
      </c>
      <c r="AN13" s="10" t="str">
        <f>IF(AM13="","",AM13*LOOKUP(K13,$AZ$1:$BI$1,$AZ$7:$BI$7))</f>
        <v/>
      </c>
      <c r="AO13" t="str">
        <f>IF(AN13="","",AN13*LOOKUP(K13,$AZ$1:$BI$1,$AZ$8:$BI$8))</f>
        <v/>
      </c>
      <c r="AP13" t="str">
        <f>IF(AO13="","",AO13/LOOKUP(K13,$AZ$1:$BI$1,$AZ$42:$BI$42))</f>
        <v/>
      </c>
      <c r="AQ13" t="str">
        <f>IF(AO13="","",IF(LOOKUP(K13,$AZ$1:$BI$1,$AZ$37:$BI$37)=0,0.25,MAX(MIN(AP13,2.5),0.5)))</f>
        <v/>
      </c>
      <c r="AR13" t="str">
        <f t="shared" si="28"/>
        <v/>
      </c>
      <c r="AS13" t="str">
        <f t="shared" si="29"/>
        <v/>
      </c>
      <c r="AT13" t="str">
        <f t="shared" si="30"/>
        <v/>
      </c>
      <c r="AU13" t="str">
        <f>IF(OR(AT13="",AT13=0),"",INDEX($AY$1:$BI$5,MATCH(AT13,$AY$1:$AY$5,0),MATCH(K13,$AY$1:$BI$1,0)))</f>
        <v/>
      </c>
      <c r="AV13" t="str">
        <f t="shared" si="31"/>
        <v/>
      </c>
      <c r="AW13" t="str">
        <f t="shared" si="32"/>
        <v/>
      </c>
      <c r="AY13" t="s">
        <v>156</v>
      </c>
      <c r="AZ13" s="15">
        <f ca="1">IF(AZ$36=1,SUMIF($K:$K,AZ$1,$T:$T),"")</f>
        <v>-0.57374999999999998</v>
      </c>
      <c r="BA13" s="15">
        <f t="shared" ref="BA13:BI13" ca="1" si="47">IF(BA$36=1,SUMIF($K:$K,BA$1,$T:$T),"")</f>
        <v>0</v>
      </c>
      <c r="BB13" s="15">
        <f t="shared" ca="1" si="47"/>
        <v>0</v>
      </c>
      <c r="BC13" s="15">
        <f t="shared" ca="1" si="47"/>
        <v>0</v>
      </c>
      <c r="BD13" s="15" t="str">
        <f t="shared" ca="1" si="47"/>
        <v/>
      </c>
      <c r="BE13" s="15" t="str">
        <f t="shared" ca="1" si="47"/>
        <v/>
      </c>
      <c r="BF13" s="15" t="str">
        <f t="shared" ca="1" si="47"/>
        <v/>
      </c>
      <c r="BG13" s="15" t="str">
        <f t="shared" ca="1" si="47"/>
        <v/>
      </c>
      <c r="BH13" s="15" t="str">
        <f t="shared" ca="1" si="47"/>
        <v/>
      </c>
      <c r="BI13" s="15" t="str">
        <f t="shared" ca="1" si="47"/>
        <v/>
      </c>
      <c r="BJ13" s="15">
        <f t="shared" ca="1" si="45"/>
        <v>-0.57374999999999998</v>
      </c>
      <c r="BL13" t="s">
        <v>66</v>
      </c>
      <c r="BM13">
        <v>6.2</v>
      </c>
      <c r="BO13">
        <v>-5</v>
      </c>
      <c r="BP13" s="13">
        <v>-8.4999999999999995E-4</v>
      </c>
      <c r="BS13">
        <v>-0.1275</v>
      </c>
      <c r="BZ13">
        <v>-2.125E-7</v>
      </c>
      <c r="CA13">
        <v>-2.125E-7</v>
      </c>
      <c r="CC13">
        <v>4.2500000000000001E-7</v>
      </c>
      <c r="CD13">
        <v>2.3408524086E-4</v>
      </c>
      <c r="CG13">
        <v>-6.2422730897999999E-4</v>
      </c>
      <c r="CH13">
        <v>9.0895593895410007E-2</v>
      </c>
      <c r="CJ13">
        <v>6.8629536528E-4</v>
      </c>
      <c r="CK13" s="15">
        <f t="shared" ref="CK13:CK17" si="48">SUM(BQ13:CJ13)</f>
        <v>-3.6308252807430046E-2</v>
      </c>
      <c r="CL13">
        <f>SUMPRODUCT($BP$2:$CJ$2,BP13:CJ13)</f>
        <v>-1.0197970603045303E-3</v>
      </c>
    </row>
    <row r="14" spans="2:92">
      <c r="B14" t="s">
        <v>46</v>
      </c>
      <c r="C14">
        <f ca="1">SUM(X:X)</f>
        <v>9.5115000000000286E-3</v>
      </c>
      <c r="E14" s="4">
        <f t="shared" ca="1" si="1"/>
        <v>1</v>
      </c>
      <c r="F14" s="5" t="s">
        <v>136</v>
      </c>
      <c r="G14" s="19">
        <v>101</v>
      </c>
      <c r="H14" s="17">
        <v>1</v>
      </c>
      <c r="I14" s="17"/>
      <c r="K14" s="5">
        <v>2</v>
      </c>
      <c r="L14" s="23"/>
      <c r="N14">
        <f t="shared" si="13"/>
        <v>1</v>
      </c>
      <c r="O14">
        <f t="shared" si="14"/>
        <v>1</v>
      </c>
      <c r="P14">
        <f t="shared" si="15"/>
        <v>1</v>
      </c>
      <c r="Q14" s="10">
        <f t="shared" ca="1" si="46"/>
        <v>-4.1666666666666699E-2</v>
      </c>
      <c r="R14" s="10">
        <f t="shared" ca="1" si="16"/>
        <v>0</v>
      </c>
      <c r="S14" s="10">
        <f t="shared" ca="1" si="17"/>
        <v>0</v>
      </c>
      <c r="T14" s="10">
        <f t="shared" ca="1" si="34"/>
        <v>0</v>
      </c>
      <c r="U14" s="10">
        <f t="shared" ca="1" si="35"/>
        <v>0</v>
      </c>
      <c r="V14" s="10">
        <f t="shared" ca="1" si="36"/>
        <v>0</v>
      </c>
      <c r="W14" s="10">
        <f t="shared" ca="1" si="18"/>
        <v>0</v>
      </c>
      <c r="X14" s="10">
        <f t="shared" ca="1" si="19"/>
        <v>0</v>
      </c>
      <c r="Y14" s="10">
        <f t="shared" ca="1" si="20"/>
        <v>0</v>
      </c>
      <c r="Z14" s="8">
        <f t="shared" ca="1" si="21"/>
        <v>0</v>
      </c>
      <c r="AA14" s="15">
        <f t="shared" ca="1" si="22"/>
        <v>0</v>
      </c>
      <c r="AB14" s="15">
        <f t="shared" ca="1" si="23"/>
        <v>0</v>
      </c>
      <c r="AC14" s="15">
        <f t="shared" ca="1" si="24"/>
        <v>0</v>
      </c>
      <c r="AD14" s="15">
        <f t="shared" ca="1" si="25"/>
        <v>0</v>
      </c>
      <c r="AE14" s="15">
        <f t="shared" ca="1" si="26"/>
        <v>0</v>
      </c>
      <c r="AF14" s="15">
        <f t="shared" ca="1" si="38"/>
        <v>-1.0817575525E-5</v>
      </c>
      <c r="AG14" s="15">
        <f t="shared" ca="1" si="39"/>
        <v>-3.5215918463259999E-3</v>
      </c>
      <c r="AH14" s="15">
        <f t="shared" ca="1" si="40"/>
        <v>-2.0807576966E-5</v>
      </c>
      <c r="AI14" s="15">
        <f t="shared" ca="1" si="41"/>
        <v>3.0298531298469998E-3</v>
      </c>
      <c r="AJ14" s="15">
        <f t="shared" ca="1" si="42"/>
        <v>7.8028413620000008E-6</v>
      </c>
      <c r="AK14" s="15">
        <f t="shared" ca="1" si="43"/>
        <v>2.2876512175999999E-5</v>
      </c>
      <c r="AL14">
        <f ca="1">IF(P14=1,LOOKUP(K14,$AZ$1:$BI$1,$AZ$37:$BI$37)-IF(O14="",0,O14),"")</f>
        <v>6</v>
      </c>
      <c r="AM14" s="10">
        <f t="shared" ca="1" si="27"/>
        <v>4</v>
      </c>
      <c r="AN14" s="10">
        <f ca="1">IF(AM14="","",AM14*LOOKUP(K14,$AZ$1:$BI$1,$AZ$7:$BI$7))</f>
        <v>6</v>
      </c>
      <c r="AO14">
        <f ca="1">IF(AN14="","",AN14*LOOKUP(K14,$AZ$1:$BI$1,$AZ$8:$BI$8))</f>
        <v>18</v>
      </c>
      <c r="AP14">
        <f ca="1">IF(AO14="","",AO14/LOOKUP(K14,$AZ$1:$BI$1,$AZ$42:$BI$42))</f>
        <v>1</v>
      </c>
      <c r="AQ14">
        <f ca="1">IF(AO14="","",IF(LOOKUP(K14,$AZ$1:$BI$1,$AZ$37:$BI$37)=0,0.25,MAX(MIN(AP14,2.5),0.5)))</f>
        <v>1</v>
      </c>
      <c r="AR14">
        <f t="shared" si="28"/>
        <v>101</v>
      </c>
      <c r="AS14">
        <f t="shared" si="29"/>
        <v>1</v>
      </c>
      <c r="AT14">
        <f t="shared" si="30"/>
        <v>0</v>
      </c>
      <c r="AU14" t="str">
        <f>IF(OR(AT14="",AT14=0),"",INDEX($AY$1:$BI$5,MATCH(AT14,$AY$1:$AY$5,0),MATCH(K14,$AY$1:$BI$1,0)))</f>
        <v/>
      </c>
      <c r="AV14" t="str">
        <f t="shared" si="31"/>
        <v/>
      </c>
      <c r="AW14">
        <f t="shared" ca="1" si="32"/>
        <v>1</v>
      </c>
      <c r="AY14" t="s">
        <v>134</v>
      </c>
      <c r="AZ14" s="15">
        <f ca="1">IF(AZ$36=1,SUMIF($K:$K,AZ$1,$U:$U),"")</f>
        <v>-0.57374999999999998</v>
      </c>
      <c r="BA14" s="15">
        <f ca="1">IF(BA$36=1,SUMIF($K:$K,BA$1,$U:$U),"")</f>
        <v>0</v>
      </c>
      <c r="BB14" s="15">
        <f ca="1">IF(BB$36=1,SUMIF($K:$K,BB$1,$U:$U),"")</f>
        <v>-0.30964285714285716</v>
      </c>
      <c r="BC14" s="15">
        <f ca="1">IF(BC$36=1,SUMIF($K:$K,BC$1,$U:$U),"")</f>
        <v>0</v>
      </c>
      <c r="BD14" s="15" t="str">
        <f ca="1">IF(BD$36=1,SUMIF($K:$K,BD$1,$U:$U),"")</f>
        <v/>
      </c>
      <c r="BE14" s="15" t="str">
        <f ca="1">IF(BE$36=1,SUMIF($K:$K,BE$1,$U:$U),"")</f>
        <v/>
      </c>
      <c r="BF14" s="15" t="str">
        <f ca="1">IF(BF$36=1,SUMIF($K:$K,BF$1,$U:$U),"")</f>
        <v/>
      </c>
      <c r="BG14" s="15" t="str">
        <f ca="1">IF(BG$36=1,SUMIF($K:$K,BG$1,$U:$U),"")</f>
        <v/>
      </c>
      <c r="BH14" s="15" t="str">
        <f ca="1">IF(BH$36=1,SUMIF($K:$K,BH$1,$U:$U),"")</f>
        <v/>
      </c>
      <c r="BI14" s="15" t="str">
        <f ca="1">IF(BI$36=1,SUMIF($K:$K,BI$1,$U:$U),"")</f>
        <v/>
      </c>
      <c r="BJ14" s="15">
        <f ca="1">SUM(AZ14:BI14)</f>
        <v>-0.88339285714285709</v>
      </c>
      <c r="BL14" s="7" t="s">
        <v>84</v>
      </c>
      <c r="BM14" s="7">
        <v>7.1</v>
      </c>
      <c r="BN14" s="7" t="s">
        <v>87</v>
      </c>
      <c r="BO14" s="7">
        <v>-2.5</v>
      </c>
      <c r="BP14" s="28">
        <v>-8.4999999999999995E-4</v>
      </c>
      <c r="BQ14" s="28"/>
      <c r="BR14" s="28"/>
      <c r="BS14" s="28"/>
      <c r="BT14" s="7"/>
      <c r="BU14" s="7"/>
      <c r="BV14" s="7"/>
      <c r="BW14" s="7"/>
      <c r="BX14" s="7"/>
      <c r="BY14" s="7"/>
      <c r="BZ14" s="7">
        <v>-2.125E-7</v>
      </c>
      <c r="CA14" s="7">
        <v>-2.125E-7</v>
      </c>
      <c r="CB14" s="7"/>
      <c r="CC14" s="7">
        <v>4.2500000000000001E-7</v>
      </c>
      <c r="CD14" s="7"/>
      <c r="CE14" s="7"/>
      <c r="CF14" s="7"/>
      <c r="CG14" s="28">
        <v>1.8726819269400001E-2</v>
      </c>
      <c r="CH14" s="7"/>
      <c r="CI14" s="7"/>
      <c r="CJ14" s="7">
        <v>-2.0588860958399999E-2</v>
      </c>
      <c r="CK14" s="29">
        <f t="shared" si="48"/>
        <v>-1.8620416889999977E-3</v>
      </c>
      <c r="CL14">
        <f>SUMPRODUCT($BP$2:$CJ$2,BP14:CJ14)</f>
        <v>-6.1120416889999949E-6</v>
      </c>
    </row>
    <row r="15" spans="2:92">
      <c r="B15" t="s">
        <v>50</v>
      </c>
      <c r="C15">
        <f ca="1">SUM(Y:Y)</f>
        <v>0.11666249999999997</v>
      </c>
      <c r="E15" s="4">
        <f t="shared" ca="1" si="1"/>
        <v>1.5249999999999997</v>
      </c>
      <c r="F15" s="5" t="s">
        <v>38</v>
      </c>
      <c r="G15" s="19">
        <v>12</v>
      </c>
      <c r="H15" s="17">
        <v>0.2</v>
      </c>
      <c r="I15" s="17">
        <v>0.2</v>
      </c>
      <c r="J15" s="21">
        <v>6</v>
      </c>
      <c r="K15" s="5">
        <v>2</v>
      </c>
      <c r="L15" s="23"/>
      <c r="N15">
        <f t="shared" si="13"/>
        <v>3.6</v>
      </c>
      <c r="O15">
        <f t="shared" si="14"/>
        <v>2</v>
      </c>
      <c r="P15">
        <f t="shared" si="15"/>
        <v>1</v>
      </c>
      <c r="Q15" s="10">
        <f t="shared" ca="1" si="46"/>
        <v>-22.958333333333329</v>
      </c>
      <c r="R15" s="10">
        <f t="shared" ca="1" si="16"/>
        <v>-7.777499999999998E-3</v>
      </c>
      <c r="S15" s="10">
        <f t="shared" ca="1" si="17"/>
        <v>0</v>
      </c>
      <c r="T15" s="10">
        <f t="shared" ca="1" si="34"/>
        <v>0</v>
      </c>
      <c r="U15" s="10">
        <f t="shared" ca="1" si="35"/>
        <v>0</v>
      </c>
      <c r="V15" s="10">
        <f t="shared" ca="1" si="36"/>
        <v>0</v>
      </c>
      <c r="W15" s="10">
        <f t="shared" ca="1" si="18"/>
        <v>0</v>
      </c>
      <c r="X15" s="10">
        <f t="shared" ca="1" si="19"/>
        <v>-3.8887499999999992E-2</v>
      </c>
      <c r="Y15" s="10">
        <f t="shared" ca="1" si="20"/>
        <v>3.8887499999999992E-2</v>
      </c>
      <c r="Z15" s="8">
        <f t="shared" ca="1" si="21"/>
        <v>0</v>
      </c>
      <c r="AA15" s="15">
        <f t="shared" ca="1" si="22"/>
        <v>0</v>
      </c>
      <c r="AB15" s="15">
        <f t="shared" ca="1" si="23"/>
        <v>0</v>
      </c>
      <c r="AC15" s="15">
        <f t="shared" ca="1" si="24"/>
        <v>-3.8887499999999998E-6</v>
      </c>
      <c r="AD15" s="15">
        <f t="shared" ca="1" si="25"/>
        <v>3.8887499999999998E-6</v>
      </c>
      <c r="AE15" s="15">
        <f t="shared" ca="1" si="26"/>
        <v>0</v>
      </c>
      <c r="AF15" s="15">
        <f t="shared" ca="1" si="38"/>
        <v>-2.1635151050000001E-5</v>
      </c>
      <c r="AG15" s="15">
        <f t="shared" ca="1" si="39"/>
        <v>-7.0431836926519997E-3</v>
      </c>
      <c r="AH15" s="15">
        <f t="shared" ca="1" si="40"/>
        <v>-4.1615153932E-5</v>
      </c>
      <c r="AI15" s="15">
        <f t="shared" ca="1" si="41"/>
        <v>6.0597062596939996E-3</v>
      </c>
      <c r="AJ15" s="15">
        <f t="shared" ca="1" si="42"/>
        <v>1.5605682724000002E-5</v>
      </c>
      <c r="AK15" s="15">
        <f t="shared" ca="1" si="43"/>
        <v>4.5753024351999997E-5</v>
      </c>
      <c r="AL15">
        <f ca="1">IF(P15=1,LOOKUP(K15,$AZ$1:$BI$1,$AZ$37:$BI$37)-IF(O15="",0,O15),"")</f>
        <v>5</v>
      </c>
      <c r="AM15" s="10">
        <f t="shared" ca="1" si="27"/>
        <v>6.1</v>
      </c>
      <c r="AN15" s="10">
        <f ca="1">IF(AM15="","",AM15*LOOKUP(K15,$AZ$1:$BI$1,$AZ$7:$BI$7))</f>
        <v>9.1499999999999986</v>
      </c>
      <c r="AO15">
        <f ca="1">IF(AN15="","",AN15*LOOKUP(K15,$AZ$1:$BI$1,$AZ$8:$BI$8))</f>
        <v>27.449999999999996</v>
      </c>
      <c r="AP15">
        <f ca="1">IF(AO15="","",AO15/LOOKUP(K15,$AZ$1:$BI$1,$AZ$42:$BI$42))</f>
        <v>1.5249999999999997</v>
      </c>
      <c r="AQ15">
        <f ca="1">IF(AO15="","",IF(LOOKUP(K15,$AZ$1:$BI$1,$AZ$37:$BI$37)=0,0.25,MAX(MIN(AP15,2.5),0.5)))</f>
        <v>1.5249999999999997</v>
      </c>
      <c r="AR15">
        <f t="shared" si="28"/>
        <v>12</v>
      </c>
      <c r="AS15">
        <f t="shared" si="29"/>
        <v>3</v>
      </c>
      <c r="AT15">
        <f t="shared" si="30"/>
        <v>0</v>
      </c>
      <c r="AU15" t="str">
        <f>IF(OR(AT15="",AT15=0),"",INDEX($AY$1:$BI$5,MATCH(AT15,$AY$1:$AY$5,0),MATCH(K15,$AY$1:$BI$1,0)))</f>
        <v/>
      </c>
      <c r="AV15" t="str">
        <f t="shared" si="31"/>
        <v/>
      </c>
      <c r="AW15">
        <f t="shared" ca="1" si="32"/>
        <v>1.5249999999999997</v>
      </c>
      <c r="AY15" t="s">
        <v>41</v>
      </c>
      <c r="AZ15" s="15">
        <f ca="1">IF(AZ$36=1,SUMIF($K:$K,AZ$1,$V:$V),"")</f>
        <v>3.4424999999999956E-2</v>
      </c>
      <c r="BA15" s="15">
        <f ca="1">IF(BA$36=1,SUMIF($K:$K,BA$1,$V:$V),"")</f>
        <v>0</v>
      </c>
      <c r="BB15" s="15">
        <f ca="1">IF(BB$36=1,SUMIF($K:$K,BB$1,$V:$V),"")</f>
        <v>1.0200000000000001E-4</v>
      </c>
      <c r="BC15" s="15">
        <f ca="1">IF(BC$36=1,SUMIF($K:$K,BC$1,$V:$V),"")</f>
        <v>0</v>
      </c>
      <c r="BD15" s="15" t="str">
        <f ca="1">IF(BD$36=1,SUMIF($K:$K,BD$1,$V:$V),"")</f>
        <v/>
      </c>
      <c r="BE15" s="15" t="str">
        <f ca="1">IF(BE$36=1,SUMIF($K:$K,BE$1,$V:$V),"")</f>
        <v/>
      </c>
      <c r="BF15" s="15" t="str">
        <f ca="1">IF(BF$36=1,SUMIF($K:$K,BF$1,$V:$V),"")</f>
        <v/>
      </c>
      <c r="BG15" s="15" t="str">
        <f ca="1">IF(BG$36=1,SUMIF($K:$K,BG$1,$V:$V),"")</f>
        <v/>
      </c>
      <c r="BH15" s="15" t="str">
        <f ca="1">IF(BH$36=1,SUMIF($K:$K,BH$1,$V:$V),"")</f>
        <v/>
      </c>
      <c r="BI15" s="15" t="str">
        <f ca="1">IF(BI$36=1,SUMIF($K:$K,BI$1,$V:$V),"")</f>
        <v/>
      </c>
      <c r="BJ15" s="15">
        <f ca="1">SUM(AZ15:BI15)</f>
        <v>3.4526999999999954E-2</v>
      </c>
      <c r="BL15" s="7" t="s">
        <v>85</v>
      </c>
      <c r="BM15" s="7">
        <v>7.2</v>
      </c>
      <c r="BN15" s="7" t="s">
        <v>87</v>
      </c>
      <c r="BO15" s="7">
        <v>-5</v>
      </c>
      <c r="BP15" s="28">
        <v>-8.4999999999999995E-4</v>
      </c>
      <c r="BQ15" s="28"/>
      <c r="BR15" s="28"/>
      <c r="BS15" s="28"/>
      <c r="BT15" s="7"/>
      <c r="BU15" s="7"/>
      <c r="BV15" s="7"/>
      <c r="BW15" s="7"/>
      <c r="BX15" s="7"/>
      <c r="BY15" s="7">
        <v>2.1635151050000001E-5</v>
      </c>
      <c r="BZ15" s="7">
        <v>-2.125E-7</v>
      </c>
      <c r="CA15" s="7">
        <v>-2.125E-7</v>
      </c>
      <c r="CB15" s="7"/>
      <c r="CC15" s="7">
        <v>4.2500000000000001E-7</v>
      </c>
      <c r="CD15" s="7">
        <v>-1.5605682724000002E-5</v>
      </c>
      <c r="CE15" s="7"/>
      <c r="CF15" s="7">
        <v>7.0431836926519997E-3</v>
      </c>
      <c r="CG15" s="28">
        <v>-4.1615153932E-5</v>
      </c>
      <c r="CH15" s="7">
        <v>-6.0597062596939996E-3</v>
      </c>
      <c r="CI15" s="7"/>
      <c r="CJ15" s="7">
        <v>4.5753024351999997E-5</v>
      </c>
      <c r="CK15" s="29">
        <f t="shared" si="48"/>
        <v>9.9364477170399987E-4</v>
      </c>
      <c r="CL15">
        <f>SUMPRODUCT($BP$2:$CJ$2,BP15:CJ15)</f>
        <v>-4.1392232976180226E-6</v>
      </c>
    </row>
    <row r="16" spans="2:92">
      <c r="B16" t="s">
        <v>52</v>
      </c>
      <c r="C16">
        <f ca="1">SUM(Z:Z)</f>
        <v>1.1010746516517856E-4</v>
      </c>
      <c r="E16" s="4">
        <f t="shared" ca="1" si="1"/>
        <v>1.5249999999999997</v>
      </c>
      <c r="F16" s="5" t="s">
        <v>38</v>
      </c>
      <c r="G16" s="19">
        <v>12</v>
      </c>
      <c r="H16" s="17">
        <v>0.2</v>
      </c>
      <c r="I16" s="17">
        <v>0.2</v>
      </c>
      <c r="J16" s="21">
        <v>6</v>
      </c>
      <c r="K16" s="5">
        <v>2</v>
      </c>
      <c r="L16" s="23"/>
      <c r="N16">
        <f t="shared" si="13"/>
        <v>3.6</v>
      </c>
      <c r="O16">
        <f t="shared" si="14"/>
        <v>2</v>
      </c>
      <c r="P16">
        <f t="shared" si="15"/>
        <v>1</v>
      </c>
      <c r="Q16" s="10">
        <f t="shared" ca="1" si="46"/>
        <v>-22.958333333333329</v>
      </c>
      <c r="R16" s="10">
        <f t="shared" ca="1" si="16"/>
        <v>-7.777499999999998E-3</v>
      </c>
      <c r="S16" s="10">
        <f t="shared" ca="1" si="17"/>
        <v>0</v>
      </c>
      <c r="T16" s="10">
        <f t="shared" ca="1" si="34"/>
        <v>0</v>
      </c>
      <c r="U16" s="10">
        <f t="shared" ca="1" si="35"/>
        <v>0</v>
      </c>
      <c r="V16" s="10">
        <f t="shared" ca="1" si="36"/>
        <v>0</v>
      </c>
      <c r="W16" s="10">
        <f t="shared" ca="1" si="18"/>
        <v>0</v>
      </c>
      <c r="X16" s="10">
        <f t="shared" ca="1" si="19"/>
        <v>-3.8887499999999992E-2</v>
      </c>
      <c r="Y16" s="10">
        <f t="shared" ca="1" si="20"/>
        <v>3.8887499999999992E-2</v>
      </c>
      <c r="Z16" s="8">
        <f t="shared" ca="1" si="21"/>
        <v>0</v>
      </c>
      <c r="AA16" s="15">
        <f t="shared" ca="1" si="22"/>
        <v>0</v>
      </c>
      <c r="AB16" s="15">
        <f t="shared" ca="1" si="23"/>
        <v>0</v>
      </c>
      <c r="AC16" s="15">
        <f t="shared" ca="1" si="24"/>
        <v>-3.8887499999999998E-6</v>
      </c>
      <c r="AD16" s="15">
        <f t="shared" ca="1" si="25"/>
        <v>3.8887499999999998E-6</v>
      </c>
      <c r="AE16" s="15">
        <f t="shared" ca="1" si="26"/>
        <v>0</v>
      </c>
      <c r="AF16" s="15">
        <f t="shared" ca="1" si="38"/>
        <v>-2.1635151050000001E-5</v>
      </c>
      <c r="AG16" s="15">
        <f t="shared" ca="1" si="39"/>
        <v>-7.0431836926519997E-3</v>
      </c>
      <c r="AH16" s="15">
        <f t="shared" ca="1" si="40"/>
        <v>-4.1615153932E-5</v>
      </c>
      <c r="AI16" s="15">
        <f t="shared" ca="1" si="41"/>
        <v>6.0597062596939996E-3</v>
      </c>
      <c r="AJ16" s="15">
        <f t="shared" ca="1" si="42"/>
        <v>1.5605682724000002E-5</v>
      </c>
      <c r="AK16" s="15">
        <f t="shared" ca="1" si="43"/>
        <v>4.5753024351999997E-5</v>
      </c>
      <c r="AL16">
        <f ca="1">IF(P16=1,LOOKUP(K16,$AZ$1:$BI$1,$AZ$37:$BI$37)-IF(O16="",0,O16),"")</f>
        <v>5</v>
      </c>
      <c r="AM16" s="10">
        <f t="shared" ca="1" si="27"/>
        <v>6.1</v>
      </c>
      <c r="AN16" s="10">
        <f ca="1">IF(AM16="","",AM16*LOOKUP(K16,$AZ$1:$BI$1,$AZ$7:$BI$7))</f>
        <v>9.1499999999999986</v>
      </c>
      <c r="AO16">
        <f ca="1">IF(AN16="","",AN16*LOOKUP(K16,$AZ$1:$BI$1,$AZ$8:$BI$8))</f>
        <v>27.449999999999996</v>
      </c>
      <c r="AP16">
        <f ca="1">IF(AO16="","",AO16/LOOKUP(K16,$AZ$1:$BI$1,$AZ$42:$BI$42))</f>
        <v>1.5249999999999997</v>
      </c>
      <c r="AQ16">
        <f ca="1">IF(AO16="","",IF(LOOKUP(K16,$AZ$1:$BI$1,$AZ$37:$BI$37)=0,0.25,MAX(MIN(AP16,2.5),0.5)))</f>
        <v>1.5249999999999997</v>
      </c>
      <c r="AR16">
        <f t="shared" si="28"/>
        <v>12</v>
      </c>
      <c r="AS16">
        <f t="shared" si="29"/>
        <v>3</v>
      </c>
      <c r="AT16">
        <f t="shared" si="30"/>
        <v>0</v>
      </c>
      <c r="AU16" t="str">
        <f>IF(OR(AT16="",AT16=0),"",INDEX($AY$1:$BI$5,MATCH(AT16,$AY$1:$AY$5,0),MATCH(K16,$AY$1:$BI$1,0)))</f>
        <v/>
      </c>
      <c r="AV16" t="str">
        <f t="shared" si="31"/>
        <v/>
      </c>
      <c r="AW16">
        <f t="shared" ca="1" si="32"/>
        <v>1.5249999999999997</v>
      </c>
      <c r="AY16" t="s">
        <v>45</v>
      </c>
      <c r="AZ16" s="15">
        <f ca="1">IF(AZ$36=1,SUMIF($K:$K,AZ$1,$W:$W),"")</f>
        <v>1.1475000000000013E-2</v>
      </c>
      <c r="BA16" s="15">
        <f ca="1">IF(BA$36=1,SUMIF($K:$K,BA$1,$W:$W),"")</f>
        <v>0</v>
      </c>
      <c r="BB16" s="15">
        <f ca="1">IF(BB$36=1,SUMIF($K:$K,BB$1,$W:$W),"")</f>
        <v>-1.0200000000000001E-4</v>
      </c>
      <c r="BC16" s="15">
        <f ca="1">IF(BC$36=1,SUMIF($K:$K,BC$1,$W:$W),"")</f>
        <v>0</v>
      </c>
      <c r="BD16" s="15" t="str">
        <f ca="1">IF(BD$36=1,SUMIF($K:$K,BD$1,$W:$W),"")</f>
        <v/>
      </c>
      <c r="BE16" s="15" t="str">
        <f ca="1">IF(BE$36=1,SUMIF($K:$K,BE$1,$W:$W),"")</f>
        <v/>
      </c>
      <c r="BF16" s="15" t="str">
        <f ca="1">IF(BF$36=1,SUMIF($K:$K,BF$1,$W:$W),"")</f>
        <v/>
      </c>
      <c r="BG16" s="15" t="str">
        <f ca="1">IF(BG$36=1,SUMIF($K:$K,BG$1,$W:$W),"")</f>
        <v/>
      </c>
      <c r="BH16" s="15" t="str">
        <f ca="1">IF(BH$36=1,SUMIF($K:$K,BH$1,$W:$W),"")</f>
        <v/>
      </c>
      <c r="BI16" s="15" t="str">
        <f ca="1">IF(BI$36=1,SUMIF($K:$K,BI$1,$W:$W),"")</f>
        <v/>
      </c>
      <c r="BJ16" s="15">
        <f ca="1">SUM(AZ16:BI16)</f>
        <v>1.1373000000000013E-2</v>
      </c>
      <c r="BL16" t="s">
        <v>86</v>
      </c>
      <c r="BM16">
        <v>7.3</v>
      </c>
      <c r="BN16" t="s">
        <v>87</v>
      </c>
      <c r="BP16" s="13">
        <v>-8.4999999999999995E-4</v>
      </c>
      <c r="BZ16">
        <v>-2.125E-7</v>
      </c>
      <c r="CA16">
        <v>-2.125E-7</v>
      </c>
      <c r="CC16">
        <v>4.2500000000000001E-7</v>
      </c>
      <c r="CF16">
        <v>-7.0431836926519997E-3</v>
      </c>
      <c r="CH16">
        <v>6.0597062596939996E-3</v>
      </c>
      <c r="CK16" s="15">
        <f t="shared" si="48"/>
        <v>-9.8347743295800014E-4</v>
      </c>
      <c r="CL16">
        <f>SUMPRODUCT($BP$2:$CJ$2,BP16:CJ16)</f>
        <v>-4.2481084020939756E-6</v>
      </c>
    </row>
    <row r="17" spans="2:90">
      <c r="B17" t="s">
        <v>98</v>
      </c>
      <c r="C17">
        <f ca="1">SUM(AE:AE)</f>
        <v>2.2572505368642856E-4</v>
      </c>
      <c r="E17" s="4">
        <f t="shared" ca="1" si="1"/>
        <v>1.5249999999999997</v>
      </c>
      <c r="F17" s="5" t="s">
        <v>38</v>
      </c>
      <c r="G17" s="19">
        <v>12</v>
      </c>
      <c r="H17" s="17">
        <v>0.2</v>
      </c>
      <c r="I17" s="17">
        <v>0.2</v>
      </c>
      <c r="J17" s="21">
        <v>6</v>
      </c>
      <c r="K17" s="5">
        <v>2</v>
      </c>
      <c r="L17" s="23"/>
      <c r="N17">
        <f t="shared" si="13"/>
        <v>3.6</v>
      </c>
      <c r="O17">
        <f t="shared" si="14"/>
        <v>2</v>
      </c>
      <c r="P17">
        <f t="shared" si="15"/>
        <v>1</v>
      </c>
      <c r="Q17" s="10">
        <f t="shared" ca="1" si="46"/>
        <v>-22.958333333333329</v>
      </c>
      <c r="R17" s="10">
        <f t="shared" ca="1" si="16"/>
        <v>-7.777499999999998E-3</v>
      </c>
      <c r="S17" s="10">
        <f t="shared" ca="1" si="17"/>
        <v>0</v>
      </c>
      <c r="T17" s="10">
        <f t="shared" ca="1" si="34"/>
        <v>0</v>
      </c>
      <c r="U17" s="10">
        <f t="shared" ca="1" si="35"/>
        <v>0</v>
      </c>
      <c r="V17" s="10">
        <f t="shared" ca="1" si="36"/>
        <v>0</v>
      </c>
      <c r="W17" s="10">
        <f t="shared" ca="1" si="18"/>
        <v>0</v>
      </c>
      <c r="X17" s="10">
        <f t="shared" ca="1" si="19"/>
        <v>-3.8887499999999992E-2</v>
      </c>
      <c r="Y17" s="10">
        <f t="shared" ca="1" si="20"/>
        <v>3.8887499999999992E-2</v>
      </c>
      <c r="Z17" s="8">
        <f t="shared" ca="1" si="21"/>
        <v>0</v>
      </c>
      <c r="AA17" s="15">
        <f t="shared" ca="1" si="22"/>
        <v>0</v>
      </c>
      <c r="AB17" s="15">
        <f t="shared" ca="1" si="23"/>
        <v>0</v>
      </c>
      <c r="AC17" s="15">
        <f t="shared" ca="1" si="24"/>
        <v>-3.8887499999999998E-6</v>
      </c>
      <c r="AD17" s="15">
        <f t="shared" ca="1" si="25"/>
        <v>3.8887499999999998E-6</v>
      </c>
      <c r="AE17" s="15">
        <f t="shared" ca="1" si="26"/>
        <v>0</v>
      </c>
      <c r="AF17" s="15">
        <f t="shared" ca="1" si="38"/>
        <v>-2.1635151050000001E-5</v>
      </c>
      <c r="AG17" s="15">
        <f t="shared" ca="1" si="39"/>
        <v>-7.0431836926519997E-3</v>
      </c>
      <c r="AH17" s="15">
        <f t="shared" ca="1" si="40"/>
        <v>-4.1615153932E-5</v>
      </c>
      <c r="AI17" s="15">
        <f t="shared" ca="1" si="41"/>
        <v>6.0597062596939996E-3</v>
      </c>
      <c r="AJ17" s="15">
        <f t="shared" ca="1" si="42"/>
        <v>1.5605682724000002E-5</v>
      </c>
      <c r="AK17" s="15">
        <f t="shared" ca="1" si="43"/>
        <v>4.5753024351999997E-5</v>
      </c>
      <c r="AL17">
        <f ca="1">IF(P17=1,LOOKUP(K17,$AZ$1:$BI$1,$AZ$37:$BI$37)-IF(O17="",0,O17),"")</f>
        <v>5</v>
      </c>
      <c r="AM17" s="10">
        <f t="shared" ca="1" si="27"/>
        <v>6.1</v>
      </c>
      <c r="AN17" s="10">
        <f ca="1">IF(AM17="","",AM17*LOOKUP(K17,$AZ$1:$BI$1,$AZ$7:$BI$7))</f>
        <v>9.1499999999999986</v>
      </c>
      <c r="AO17">
        <f ca="1">IF(AN17="","",AN17*LOOKUP(K17,$AZ$1:$BI$1,$AZ$8:$BI$8))</f>
        <v>27.449999999999996</v>
      </c>
      <c r="AP17">
        <f ca="1">IF(AO17="","",AO17/LOOKUP(K17,$AZ$1:$BI$1,$AZ$42:$BI$42))</f>
        <v>1.5249999999999997</v>
      </c>
      <c r="AQ17">
        <f ca="1">IF(AO17="","",IF(LOOKUP(K17,$AZ$1:$BI$1,$AZ$37:$BI$37)=0,0.25,MAX(MIN(AP17,2.5),0.5)))</f>
        <v>1.5249999999999997</v>
      </c>
      <c r="AR17">
        <f t="shared" si="28"/>
        <v>12</v>
      </c>
      <c r="AS17">
        <f t="shared" si="29"/>
        <v>3</v>
      </c>
      <c r="AT17">
        <f t="shared" si="30"/>
        <v>0</v>
      </c>
      <c r="AU17" t="str">
        <f>IF(OR(AT17="",AT17=0),"",INDEX($AY$1:$BI$5,MATCH(AT17,$AY$1:$AY$5,0),MATCH(K17,$AY$1:$BI$1,0)))</f>
        <v/>
      </c>
      <c r="AV17" t="str">
        <f t="shared" si="31"/>
        <v/>
      </c>
      <c r="AW17">
        <f t="shared" ca="1" si="32"/>
        <v>1.5249999999999997</v>
      </c>
      <c r="AY17" t="s">
        <v>46</v>
      </c>
      <c r="AZ17" s="15">
        <f ca="1">IF(AZ$36=1,SUMIF($K:$K,AZ$1,$X:$X),"")</f>
        <v>0.126225</v>
      </c>
      <c r="BA17" s="15">
        <f ca="1">IF(BA$36=1,SUMIF($K:$K,BA$1,$X:$X),"")</f>
        <v>-0.11666249999999997</v>
      </c>
      <c r="BB17" s="15">
        <f ca="1">IF(BB$36=1,SUMIF($K:$K,BB$1,$X:$X),"")</f>
        <v>-5.1000000000000006E-5</v>
      </c>
      <c r="BC17" s="15">
        <f ca="1">IF(BC$36=1,SUMIF($K:$K,BC$1,$X:$X),"")</f>
        <v>0</v>
      </c>
      <c r="BD17" s="15" t="str">
        <f ca="1">IF(BD$36=1,SUMIF($K:$K,BD$1,$X:$X),"")</f>
        <v/>
      </c>
      <c r="BE17" s="15" t="str">
        <f ca="1">IF(BE$36=1,SUMIF($K:$K,BE$1,$X:$X),"")</f>
        <v/>
      </c>
      <c r="BF17" s="15" t="str">
        <f ca="1">IF(BF$36=1,SUMIF($K:$K,BF$1,$X:$X),"")</f>
        <v/>
      </c>
      <c r="BG17" s="15" t="str">
        <f ca="1">IF(BG$36=1,SUMIF($K:$K,BG$1,$X:$X),"")</f>
        <v/>
      </c>
      <c r="BH17" s="15" t="str">
        <f ca="1">IF(BH$36=1,SUMIF($K:$K,BH$1,$X:$X),"")</f>
        <v/>
      </c>
      <c r="BI17" s="15" t="str">
        <f ca="1">IF(BI$36=1,SUMIF($K:$K,BI$1,$X:$X),"")</f>
        <v/>
      </c>
      <c r="BJ17" s="15">
        <f ca="1">SUM(AZ17:BI17)</f>
        <v>9.5115000000000286E-3</v>
      </c>
      <c r="BL17" s="7" t="s">
        <v>93</v>
      </c>
      <c r="BM17" s="7">
        <v>8.1</v>
      </c>
      <c r="BN17" s="7" t="s">
        <v>89</v>
      </c>
      <c r="BO17" s="7">
        <v>-1.25</v>
      </c>
      <c r="BP17" s="13">
        <v>-8.4999999999999995E-4</v>
      </c>
      <c r="BQ17" s="7"/>
      <c r="BR17" s="7"/>
      <c r="BS17" s="7"/>
      <c r="BT17" s="7"/>
      <c r="BU17" s="7"/>
      <c r="BV17" s="7"/>
      <c r="BW17" s="7"/>
      <c r="BX17" s="7"/>
      <c r="BY17" s="7"/>
      <c r="BZ17" s="7">
        <v>-2.125E-7</v>
      </c>
      <c r="CA17" s="7">
        <v>-2.125E-7</v>
      </c>
      <c r="CB17" s="7"/>
      <c r="CC17" s="7">
        <v>4.2500000000000001E-7</v>
      </c>
      <c r="CD17" s="7">
        <v>1.5605682724000002E-5</v>
      </c>
      <c r="CE17" s="7"/>
      <c r="CF17" s="7"/>
      <c r="CG17" s="7"/>
      <c r="CH17" s="7"/>
      <c r="CI17" s="7">
        <v>-1.5605682724000002E-5</v>
      </c>
      <c r="CJ17" s="7"/>
      <c r="CK17" s="29">
        <f t="shared" si="48"/>
        <v>0</v>
      </c>
      <c r="CL17">
        <f>SUMPRODUCT($BP$2:$CJ$2,BP17:CJ17)</f>
        <v>-3.9847033936919989E-6</v>
      </c>
    </row>
    <row r="18" spans="2:90">
      <c r="E18" s="4" t="str">
        <f t="shared" si="1"/>
        <v/>
      </c>
      <c r="H18" s="17"/>
      <c r="I18" s="17"/>
      <c r="L18" s="23"/>
      <c r="N18" t="str">
        <f t="shared" si="13"/>
        <v/>
      </c>
      <c r="O18" t="str">
        <f t="shared" si="14"/>
        <v/>
      </c>
      <c r="P18" t="str">
        <f t="shared" si="15"/>
        <v/>
      </c>
      <c r="Q18" s="10" t="str">
        <f t="shared" si="46"/>
        <v/>
      </c>
      <c r="R18" s="10" t="str">
        <f t="shared" si="16"/>
        <v/>
      </c>
      <c r="S18" s="10" t="str">
        <f t="shared" si="17"/>
        <v/>
      </c>
      <c r="T18" s="10" t="str">
        <f t="shared" si="34"/>
        <v/>
      </c>
      <c r="U18" s="10" t="str">
        <f t="shared" si="35"/>
        <v/>
      </c>
      <c r="V18" s="10" t="str">
        <f t="shared" si="36"/>
        <v/>
      </c>
      <c r="W18" s="10" t="str">
        <f t="shared" si="18"/>
        <v/>
      </c>
      <c r="X18" s="10" t="str">
        <f t="shared" si="19"/>
        <v/>
      </c>
      <c r="Y18" s="10" t="str">
        <f t="shared" si="20"/>
        <v/>
      </c>
      <c r="Z18" s="8" t="str">
        <f t="shared" si="21"/>
        <v/>
      </c>
      <c r="AA18" s="15" t="str">
        <f t="shared" si="22"/>
        <v/>
      </c>
      <c r="AB18" s="15" t="str">
        <f t="shared" si="23"/>
        <v/>
      </c>
      <c r="AC18" s="15" t="str">
        <f t="shared" si="24"/>
        <v/>
      </c>
      <c r="AD18" s="15" t="str">
        <f t="shared" si="25"/>
        <v/>
      </c>
      <c r="AE18" s="15" t="str">
        <f t="shared" si="26"/>
        <v/>
      </c>
      <c r="AF18" s="15" t="str">
        <f t="shared" si="38"/>
        <v/>
      </c>
      <c r="AG18" s="15" t="str">
        <f t="shared" si="39"/>
        <v/>
      </c>
      <c r="AH18" s="15" t="str">
        <f t="shared" si="40"/>
        <v/>
      </c>
      <c r="AI18" s="15" t="str">
        <f t="shared" si="41"/>
        <v/>
      </c>
      <c r="AJ18" s="15" t="str">
        <f t="shared" si="42"/>
        <v/>
      </c>
      <c r="AK18" s="15" t="str">
        <f t="shared" si="43"/>
        <v/>
      </c>
      <c r="AL18" t="str">
        <f>IF(P18=1,LOOKUP(K18,$AZ$1:$BI$1,$AZ$37:$BI$37)-IF(O18="",0,O18),"")</f>
        <v/>
      </c>
      <c r="AM18" s="10" t="str">
        <f t="shared" si="27"/>
        <v/>
      </c>
      <c r="AN18" s="10" t="str">
        <f>IF(AM18="","",AM18*LOOKUP(K18,$AZ$1:$BI$1,$AZ$7:$BI$7))</f>
        <v/>
      </c>
      <c r="AO18" t="str">
        <f>IF(AN18="","",AN18*LOOKUP(K18,$AZ$1:$BI$1,$AZ$8:$BI$8))</f>
        <v/>
      </c>
      <c r="AP18" t="str">
        <f>IF(AO18="","",AO18/LOOKUP(K18,$AZ$1:$BI$1,$AZ$42:$BI$42))</f>
        <v/>
      </c>
      <c r="AQ18" t="str">
        <f>IF(AO18="","",IF(LOOKUP(K18,$AZ$1:$BI$1,$AZ$37:$BI$37)=0,0.25,MAX(MIN(AP18,2.5),0.5)))</f>
        <v/>
      </c>
      <c r="AR18" t="str">
        <f t="shared" si="28"/>
        <v/>
      </c>
      <c r="AS18" t="str">
        <f t="shared" si="29"/>
        <v/>
      </c>
      <c r="AT18" t="str">
        <f t="shared" si="30"/>
        <v/>
      </c>
      <c r="AU18" t="str">
        <f>IF(OR(AT18="",AT18=0),"",INDEX($AY$1:$BI$5,MATCH(AT18,$AY$1:$AY$5,0),MATCH(K18,$AY$1:$BI$1,0)))</f>
        <v/>
      </c>
      <c r="AV18" t="str">
        <f t="shared" si="31"/>
        <v/>
      </c>
      <c r="AW18" t="str">
        <f t="shared" si="32"/>
        <v/>
      </c>
      <c r="AY18" t="s">
        <v>50</v>
      </c>
      <c r="AZ18" s="15">
        <f ca="1">IF(AZ$36=1,SUMIF($K:$K,AZ$1,$Y:$Y),"")</f>
        <v>0</v>
      </c>
      <c r="BA18" s="15">
        <f ca="1">IF(BA$36=1,SUMIF($K:$K,BA$1,$Y:$Y),"")</f>
        <v>0.11666249999999997</v>
      </c>
      <c r="BB18" s="15">
        <f ca="1">IF(BB$36=1,SUMIF($K:$K,BB$1,$Y:$Y),"")</f>
        <v>0</v>
      </c>
      <c r="BC18" s="15">
        <f ca="1">IF(BC$36=1,SUMIF($K:$K,BC$1,$Y:$Y),"")</f>
        <v>0</v>
      </c>
      <c r="BD18" s="15" t="str">
        <f ca="1">IF(BD$36=1,SUMIF($K:$K,BD$1,$Y:$Y),"")</f>
        <v/>
      </c>
      <c r="BE18" s="15" t="str">
        <f ca="1">IF(BE$36=1,SUMIF($K:$K,BE$1,$Y:$Y),"")</f>
        <v/>
      </c>
      <c r="BF18" s="15" t="str">
        <f ca="1">IF(BF$36=1,SUMIF($K:$K,BF$1,$Y:$Y),"")</f>
        <v/>
      </c>
      <c r="BG18" s="15" t="str">
        <f ca="1">IF(BG$36=1,SUMIF($K:$K,BG$1,$Y:$Y),"")</f>
        <v/>
      </c>
      <c r="BH18" s="15" t="str">
        <f ca="1">IF(BH$36=1,SUMIF($K:$K,BH$1,$Y:$Y),"")</f>
        <v/>
      </c>
      <c r="BI18" s="15" t="str">
        <f ca="1">IF(BI$36=1,SUMIF($K:$K,BI$1,$Y:$Y),"")</f>
        <v/>
      </c>
      <c r="BJ18" s="15">
        <f t="shared" ref="BJ18:BJ26" ca="1" si="49">SUM(AZ18:BI18)</f>
        <v>0.11666249999999997</v>
      </c>
      <c r="BL18" s="7" t="s">
        <v>83</v>
      </c>
      <c r="BM18" s="7">
        <v>8.1999999999999993</v>
      </c>
      <c r="BN18" s="7" t="s">
        <v>89</v>
      </c>
      <c r="BO18" s="7">
        <v>-2.5</v>
      </c>
      <c r="BP18" s="28">
        <v>-8.4999999999999995E-4</v>
      </c>
      <c r="BQ18" s="7"/>
      <c r="BR18" s="7"/>
      <c r="BS18" s="7"/>
      <c r="BT18" s="7"/>
      <c r="BU18" s="7"/>
      <c r="BV18" s="7"/>
      <c r="BW18" s="7"/>
      <c r="BX18" s="7"/>
      <c r="BY18" s="7">
        <v>-2.1635151050000001E-5</v>
      </c>
      <c r="BZ18" s="7">
        <v>-2.125E-7</v>
      </c>
      <c r="CA18" s="7">
        <v>-2.125E-7</v>
      </c>
      <c r="CB18" s="7"/>
      <c r="CC18" s="7">
        <v>4.2500000000000001E-7</v>
      </c>
      <c r="CD18" s="7"/>
      <c r="CE18" s="7">
        <v>2.1635151050000001E-5</v>
      </c>
      <c r="CF18" s="7"/>
      <c r="CG18" s="7"/>
      <c r="CH18" s="7"/>
      <c r="CI18" s="7"/>
      <c r="CJ18" s="7"/>
      <c r="CK18" s="15">
        <f t="shared" ref="CK18:CK22" si="50">SUM(BQ18:CJ18)</f>
        <v>0</v>
      </c>
      <c r="CL18">
        <f t="shared" ref="CL18:CL22" si="51">SUMPRODUCT($BP$2:$CJ$2,BP18:CJ18)</f>
        <v>-4.6177975678499987E-6</v>
      </c>
    </row>
    <row r="19" spans="2:90">
      <c r="B19" t="s">
        <v>96</v>
      </c>
      <c r="C19">
        <f ca="1">SUM(AF:AF)</f>
        <v>4.1106786995000075E-5</v>
      </c>
      <c r="E19" s="4" t="str">
        <f t="shared" si="1"/>
        <v/>
      </c>
      <c r="H19" s="17"/>
      <c r="I19" s="17"/>
      <c r="L19" s="23"/>
      <c r="N19" t="str">
        <f t="shared" si="13"/>
        <v/>
      </c>
      <c r="O19" t="str">
        <f t="shared" si="14"/>
        <v/>
      </c>
      <c r="P19" t="str">
        <f t="shared" si="15"/>
        <v/>
      </c>
      <c r="Q19" s="10" t="str">
        <f t="shared" si="46"/>
        <v/>
      </c>
      <c r="R19" s="10" t="str">
        <f t="shared" si="16"/>
        <v/>
      </c>
      <c r="S19" s="10" t="str">
        <f t="shared" si="17"/>
        <v/>
      </c>
      <c r="T19" s="10" t="str">
        <f t="shared" si="34"/>
        <v/>
      </c>
      <c r="U19" s="10" t="str">
        <f t="shared" si="35"/>
        <v/>
      </c>
      <c r="V19" s="10" t="str">
        <f t="shared" si="36"/>
        <v/>
      </c>
      <c r="W19" s="10" t="str">
        <f t="shared" si="18"/>
        <v/>
      </c>
      <c r="X19" s="10" t="str">
        <f t="shared" si="19"/>
        <v/>
      </c>
      <c r="Y19" s="10" t="str">
        <f t="shared" si="20"/>
        <v/>
      </c>
      <c r="Z19" s="8" t="str">
        <f t="shared" si="21"/>
        <v/>
      </c>
      <c r="AA19" s="15" t="str">
        <f t="shared" si="22"/>
        <v/>
      </c>
      <c r="AB19" s="15" t="str">
        <f t="shared" si="23"/>
        <v/>
      </c>
      <c r="AC19" s="15" t="str">
        <f t="shared" si="24"/>
        <v/>
      </c>
      <c r="AD19" s="15" t="str">
        <f t="shared" si="25"/>
        <v/>
      </c>
      <c r="AE19" s="15" t="str">
        <f t="shared" si="26"/>
        <v/>
      </c>
      <c r="AF19" s="15" t="str">
        <f t="shared" si="38"/>
        <v/>
      </c>
      <c r="AG19" s="15" t="str">
        <f t="shared" si="39"/>
        <v/>
      </c>
      <c r="AH19" s="15" t="str">
        <f t="shared" si="40"/>
        <v/>
      </c>
      <c r="AI19" s="15" t="str">
        <f t="shared" si="41"/>
        <v/>
      </c>
      <c r="AJ19" s="15" t="str">
        <f t="shared" si="42"/>
        <v/>
      </c>
      <c r="AK19" s="15" t="str">
        <f t="shared" si="43"/>
        <v/>
      </c>
      <c r="AL19" t="str">
        <f>IF(P19=1,LOOKUP(K19,$AZ$1:$BI$1,$AZ$37:$BI$37)-IF(O19="",0,O19),"")</f>
        <v/>
      </c>
      <c r="AM19" s="10" t="str">
        <f t="shared" si="27"/>
        <v/>
      </c>
      <c r="AN19" s="10" t="str">
        <f>IF(AM19="","",AM19*LOOKUP(K19,$AZ$1:$BI$1,$AZ$7:$BI$7))</f>
        <v/>
      </c>
      <c r="AO19" t="str">
        <f>IF(AN19="","",AN19*LOOKUP(K19,$AZ$1:$BI$1,$AZ$8:$BI$8))</f>
        <v/>
      </c>
      <c r="AP19" t="str">
        <f>IF(AO19="","",AO19/LOOKUP(K19,$AZ$1:$BI$1,$AZ$42:$BI$42))</f>
        <v/>
      </c>
      <c r="AQ19" t="str">
        <f>IF(AO19="","",IF(LOOKUP(K19,$AZ$1:$BI$1,$AZ$37:$BI$37)=0,0.25,MAX(MIN(AP19,2.5),0.5)))</f>
        <v/>
      </c>
      <c r="AR19" t="str">
        <f t="shared" si="28"/>
        <v/>
      </c>
      <c r="AS19" t="str">
        <f t="shared" si="29"/>
        <v/>
      </c>
      <c r="AT19" t="str">
        <f t="shared" si="30"/>
        <v/>
      </c>
      <c r="AU19" t="str">
        <f>IF(OR(AT19="",AT19=0),"",INDEX($AY$1:$BI$5,MATCH(AT19,$AY$1:$AY$5,0),MATCH(K19,$AY$1:$BI$1,0)))</f>
        <v/>
      </c>
      <c r="AV19" t="str">
        <f t="shared" si="31"/>
        <v/>
      </c>
      <c r="AW19" t="str">
        <f t="shared" si="32"/>
        <v/>
      </c>
      <c r="AY19" t="s">
        <v>52</v>
      </c>
      <c r="AZ19" s="15">
        <f ca="1">IF(AZ$36=1,SUMIF($K:$K,AZ$1,$Z:$Z),"")</f>
        <v>-3.6509317396874998E-4</v>
      </c>
      <c r="BA19" s="15">
        <f ca="1">IF(BA$36=1,SUMIF($K:$K,BA$1,$Z:$Z),"")</f>
        <v>0</v>
      </c>
      <c r="BB19" s="15">
        <f ca="1">IF(BB$36=1,SUMIF($K:$K,BB$1,$Z:$Z),"")</f>
        <v>4.7520063913392857E-4</v>
      </c>
      <c r="BC19" s="15">
        <f ca="1">IF(BC$36=1,SUMIF($K:$K,BC$1,$Z:$Z),"")</f>
        <v>0</v>
      </c>
      <c r="BD19" s="15" t="str">
        <f ca="1">IF(BD$36=1,SUMIF($K:$K,BD$1,$Z:$Z),"")</f>
        <v/>
      </c>
      <c r="BE19" s="15" t="str">
        <f ca="1">IF(BE$36=1,SUMIF($K:$K,BE$1,$Z:$Z),"")</f>
        <v/>
      </c>
      <c r="BF19" s="15" t="str">
        <f ca="1">IF(BF$36=1,SUMIF($K:$K,BF$1,$Z:$Z),"")</f>
        <v/>
      </c>
      <c r="BG19" s="15" t="str">
        <f ca="1">IF(BG$36=1,SUMIF($K:$K,BG$1,$Z:$Z),"")</f>
        <v/>
      </c>
      <c r="BH19" s="15" t="str">
        <f ca="1">IF(BH$36=1,SUMIF($K:$K,BH$1,$Z:$Z),"")</f>
        <v/>
      </c>
      <c r="BI19" s="15" t="str">
        <f ca="1">IF(BI$36=1,SUMIF($K:$K,BI$1,$Z:$Z),"")</f>
        <v/>
      </c>
      <c r="BJ19" s="15">
        <f t="shared" ca="1" si="49"/>
        <v>1.1010746516517859E-4</v>
      </c>
      <c r="BL19" s="7" t="s">
        <v>152</v>
      </c>
      <c r="BM19" s="7">
        <v>9.1</v>
      </c>
      <c r="BN19" s="7"/>
      <c r="BO19">
        <v>-2.5</v>
      </c>
      <c r="BP19" s="13">
        <v>-8.4999999999999995E-4</v>
      </c>
      <c r="BQ19" s="13">
        <v>-0.51</v>
      </c>
      <c r="BR19" s="13"/>
      <c r="BS19" s="13"/>
      <c r="BT19">
        <v>5.0999999999999997E-2</v>
      </c>
      <c r="BX19">
        <v>5.1E-5</v>
      </c>
      <c r="BZ19">
        <v>-2.125E-7</v>
      </c>
      <c r="CA19">
        <v>-2.125E-7</v>
      </c>
      <c r="CC19">
        <v>4.2500000000000001E-7</v>
      </c>
      <c r="CK19" s="29">
        <f t="shared" si="50"/>
        <v>-0.45894899999999994</v>
      </c>
      <c r="CL19">
        <f t="shared" si="51"/>
        <v>-5105.06297825</v>
      </c>
    </row>
    <row r="20" spans="2:90">
      <c r="B20" t="s">
        <v>95</v>
      </c>
      <c r="C20">
        <f ca="1">SUM(AG:AG)</f>
        <v>1.3382049016038802E-2</v>
      </c>
      <c r="E20" s="4" t="str">
        <f t="shared" si="1"/>
        <v/>
      </c>
      <c r="H20" s="17"/>
      <c r="I20" s="17"/>
      <c r="L20" s="23"/>
      <c r="N20" t="str">
        <f t="shared" si="13"/>
        <v/>
      </c>
      <c r="O20" t="str">
        <f t="shared" si="14"/>
        <v/>
      </c>
      <c r="P20" t="str">
        <f t="shared" si="15"/>
        <v/>
      </c>
      <c r="Q20" s="10" t="str">
        <f t="shared" si="46"/>
        <v/>
      </c>
      <c r="R20" s="10" t="str">
        <f t="shared" si="16"/>
        <v/>
      </c>
      <c r="S20" s="10" t="str">
        <f t="shared" si="17"/>
        <v/>
      </c>
      <c r="T20" s="10" t="str">
        <f t="shared" si="34"/>
        <v/>
      </c>
      <c r="U20" s="10" t="str">
        <f t="shared" si="35"/>
        <v/>
      </c>
      <c r="V20" s="10" t="str">
        <f t="shared" si="36"/>
        <v/>
      </c>
      <c r="W20" s="10" t="str">
        <f t="shared" si="18"/>
        <v/>
      </c>
      <c r="X20" s="10" t="str">
        <f t="shared" si="19"/>
        <v/>
      </c>
      <c r="Y20" s="10" t="str">
        <f t="shared" si="20"/>
        <v/>
      </c>
      <c r="Z20" s="8" t="str">
        <f t="shared" si="21"/>
        <v/>
      </c>
      <c r="AA20" s="15" t="str">
        <f t="shared" si="22"/>
        <v/>
      </c>
      <c r="AB20" s="15" t="str">
        <f t="shared" si="23"/>
        <v/>
      </c>
      <c r="AC20" s="15" t="str">
        <f t="shared" si="24"/>
        <v/>
      </c>
      <c r="AD20" s="15" t="str">
        <f t="shared" si="25"/>
        <v/>
      </c>
      <c r="AE20" s="15" t="str">
        <f t="shared" si="26"/>
        <v/>
      </c>
      <c r="AF20" s="15" t="str">
        <f t="shared" si="38"/>
        <v/>
      </c>
      <c r="AG20" s="15" t="str">
        <f t="shared" si="39"/>
        <v/>
      </c>
      <c r="AH20" s="15" t="str">
        <f t="shared" si="40"/>
        <v/>
      </c>
      <c r="AI20" s="15" t="str">
        <f t="shared" si="41"/>
        <v/>
      </c>
      <c r="AJ20" s="15" t="str">
        <f t="shared" si="42"/>
        <v/>
      </c>
      <c r="AK20" s="15" t="str">
        <f t="shared" si="43"/>
        <v/>
      </c>
      <c r="AL20" t="str">
        <f>IF(P20=1,LOOKUP(K20,$AZ$1:$BI$1,$AZ$37:$BI$37)-IF(O20="",0,O20),"")</f>
        <v/>
      </c>
      <c r="AM20" s="10" t="str">
        <f t="shared" si="27"/>
        <v/>
      </c>
      <c r="AN20" s="10" t="str">
        <f>IF(AM20="","",AM20*LOOKUP(K20,$AZ$1:$BI$1,$AZ$7:$BI$7))</f>
        <v/>
      </c>
      <c r="AO20" t="str">
        <f>IF(AN20="","",AN20*LOOKUP(K20,$AZ$1:$BI$1,$AZ$8:$BI$8))</f>
        <v/>
      </c>
      <c r="AP20" t="str">
        <f>IF(AO20="","",AO20/LOOKUP(K20,$AZ$1:$BI$1,$AZ$42:$BI$42))</f>
        <v/>
      </c>
      <c r="AQ20" t="str">
        <f>IF(AO20="","",IF(LOOKUP(K20,$AZ$1:$BI$1,$AZ$37:$BI$37)=0,0.25,MAX(MIN(AP20,2.5),0.5)))</f>
        <v/>
      </c>
      <c r="AR20" t="str">
        <f t="shared" si="28"/>
        <v/>
      </c>
      <c r="AS20" t="str">
        <f t="shared" si="29"/>
        <v/>
      </c>
      <c r="AT20" t="str">
        <f t="shared" si="30"/>
        <v/>
      </c>
      <c r="AU20" t="str">
        <f>IF(OR(AT20="",AT20=0),"",INDEX($AY$1:$BI$5,MATCH(AT20,$AY$1:$AY$5,0),MATCH(K20,$AY$1:$BI$1,0)))</f>
        <v/>
      </c>
      <c r="AV20" t="str">
        <f t="shared" si="31"/>
        <v/>
      </c>
      <c r="AW20" t="str">
        <f t="shared" si="32"/>
        <v/>
      </c>
      <c r="AY20" t="s">
        <v>98</v>
      </c>
      <c r="AZ20" s="15">
        <f ca="1">IF(AZ$36=1,SUMIF($K:$K,AZ$1,$AE:$AE),"")</f>
        <v>0</v>
      </c>
      <c r="BA20" s="15">
        <f ca="1">IF(BA$36=1,SUMIF($K:$K,BA$1,$AE:$AE),"")</f>
        <v>0</v>
      </c>
      <c r="BB20" s="15">
        <f ca="1">IF(BB$36=1,SUMIF($K:$K,BB$1,$AE:$AE),"")</f>
        <v>2.2572505368642856E-4</v>
      </c>
      <c r="BC20" s="15">
        <f ca="1">IF(BC$36=1,SUMIF($K:$K,BC$1,$AE:$AE),"")</f>
        <v>0</v>
      </c>
      <c r="BD20" s="15" t="str">
        <f ca="1">IF(BD$36=1,SUMIF($K:$K,BD$1,$AE:$AE),"")</f>
        <v/>
      </c>
      <c r="BE20" s="15" t="str">
        <f ca="1">IF(BE$36=1,SUMIF($K:$K,BE$1,$AE:$AE),"")</f>
        <v/>
      </c>
      <c r="BF20" s="15" t="str">
        <f ca="1">IF(BF$36=1,SUMIF($K:$K,BF$1,$AE:$AE),"")</f>
        <v/>
      </c>
      <c r="BG20" s="15" t="str">
        <f ca="1">IF(BG$36=1,SUMIF($K:$K,BG$1,$AE:$AE),"")</f>
        <v/>
      </c>
      <c r="BH20" s="15" t="str">
        <f ca="1">IF(BH$36=1,SUMIF($K:$K,BH$1,$AE:$AE),"")</f>
        <v/>
      </c>
      <c r="BI20" s="15" t="str">
        <f ca="1">IF(BI$36=1,SUMIF($K:$K,BI$1,$AE:$AE),"")</f>
        <v/>
      </c>
      <c r="BJ20" s="15">
        <f t="shared" ca="1" si="49"/>
        <v>2.2572505368642856E-4</v>
      </c>
      <c r="BL20" s="7" t="s">
        <v>153</v>
      </c>
      <c r="BM20" s="7">
        <v>9.1999999999999993</v>
      </c>
      <c r="BO20">
        <v>-2.5</v>
      </c>
      <c r="BP20" s="13">
        <v>-8.4999999999999995E-4</v>
      </c>
      <c r="BR20" s="13">
        <v>-0.51</v>
      </c>
      <c r="BT20">
        <v>5.0999999999999997E-2</v>
      </c>
      <c r="BX20">
        <v>5.1E-5</v>
      </c>
      <c r="BZ20">
        <v>-2.125E-7</v>
      </c>
      <c r="CA20">
        <v>-2.125E-7</v>
      </c>
      <c r="CC20">
        <v>4.2500000000000001E-7</v>
      </c>
      <c r="CK20" s="15">
        <f t="shared" si="50"/>
        <v>-0.45894899999999994</v>
      </c>
      <c r="CL20">
        <f t="shared" si="51"/>
        <v>-5105.0580312499997</v>
      </c>
    </row>
    <row r="21" spans="2:90">
      <c r="B21" t="s">
        <v>102</v>
      </c>
      <c r="C21">
        <f ca="1">SUM(AH:AH)</f>
        <v>2.4208129544443439E-3</v>
      </c>
      <c r="E21" s="4" t="str">
        <f t="shared" si="1"/>
        <v/>
      </c>
      <c r="H21" s="17"/>
      <c r="I21" s="17"/>
      <c r="L21" s="23"/>
      <c r="N21" t="str">
        <f t="shared" si="13"/>
        <v/>
      </c>
      <c r="O21" t="str">
        <f t="shared" si="14"/>
        <v/>
      </c>
      <c r="P21" t="str">
        <f t="shared" si="15"/>
        <v/>
      </c>
      <c r="Q21" s="10" t="str">
        <f t="shared" si="46"/>
        <v/>
      </c>
      <c r="R21" s="10" t="str">
        <f t="shared" si="16"/>
        <v/>
      </c>
      <c r="S21" s="10" t="str">
        <f t="shared" si="17"/>
        <v/>
      </c>
      <c r="T21" s="10" t="str">
        <f t="shared" si="34"/>
        <v/>
      </c>
      <c r="U21" s="10" t="str">
        <f t="shared" si="35"/>
        <v/>
      </c>
      <c r="V21" s="10" t="str">
        <f t="shared" si="36"/>
        <v/>
      </c>
      <c r="W21" s="10" t="str">
        <f t="shared" si="18"/>
        <v/>
      </c>
      <c r="X21" s="10" t="str">
        <f t="shared" si="19"/>
        <v/>
      </c>
      <c r="Y21" s="10" t="str">
        <f t="shared" si="20"/>
        <v/>
      </c>
      <c r="Z21" s="8" t="str">
        <f t="shared" si="21"/>
        <v/>
      </c>
      <c r="AA21" s="15" t="str">
        <f t="shared" si="22"/>
        <v/>
      </c>
      <c r="AB21" s="15" t="str">
        <f t="shared" si="23"/>
        <v/>
      </c>
      <c r="AC21" s="15" t="str">
        <f t="shared" si="24"/>
        <v/>
      </c>
      <c r="AD21" s="15" t="str">
        <f t="shared" si="25"/>
        <v/>
      </c>
      <c r="AE21" s="15" t="str">
        <f t="shared" si="26"/>
        <v/>
      </c>
      <c r="AF21" s="15" t="str">
        <f t="shared" si="38"/>
        <v/>
      </c>
      <c r="AG21" s="15" t="str">
        <f t="shared" si="39"/>
        <v/>
      </c>
      <c r="AH21" s="15" t="str">
        <f t="shared" si="40"/>
        <v/>
      </c>
      <c r="AI21" s="15" t="str">
        <f t="shared" si="41"/>
        <v/>
      </c>
      <c r="AJ21" s="15" t="str">
        <f t="shared" si="42"/>
        <v/>
      </c>
      <c r="AK21" s="15" t="str">
        <f t="shared" si="43"/>
        <v/>
      </c>
      <c r="AL21" t="str">
        <f>IF(P21=1,LOOKUP(K21,$AZ$1:$BI$1,$AZ$37:$BI$37)-IF(O21="",0,O21),"")</f>
        <v/>
      </c>
      <c r="AM21" s="10" t="str">
        <f t="shared" si="27"/>
        <v/>
      </c>
      <c r="AN21" s="10" t="str">
        <f>IF(AM21="","",AM21*LOOKUP(K21,$AZ$1:$BI$1,$AZ$7:$BI$7))</f>
        <v/>
      </c>
      <c r="AO21" t="str">
        <f>IF(AN21="","",AN21*LOOKUP(K21,$AZ$1:$BI$1,$AZ$8:$BI$8))</f>
        <v/>
      </c>
      <c r="AP21" t="str">
        <f>IF(AO21="","",AO21/LOOKUP(K21,$AZ$1:$BI$1,$AZ$42:$BI$42))</f>
        <v/>
      </c>
      <c r="AQ21" t="str">
        <f>IF(AO21="","",IF(LOOKUP(K21,$AZ$1:$BI$1,$AZ$37:$BI$37)=0,0.25,MAX(MIN(AP21,2.5),0.5)))</f>
        <v/>
      </c>
      <c r="AR21" t="str">
        <f t="shared" si="28"/>
        <v/>
      </c>
      <c r="AS21" t="str">
        <f t="shared" si="29"/>
        <v/>
      </c>
      <c r="AT21" t="str">
        <f t="shared" si="30"/>
        <v/>
      </c>
      <c r="AU21" t="str">
        <f>IF(OR(AT21="",AT21=0),"",INDEX($AY$1:$BI$5,MATCH(AT21,$AY$1:$AY$5,0),MATCH(K21,$AY$1:$BI$1,0)))</f>
        <v/>
      </c>
      <c r="AV21" t="str">
        <f t="shared" si="31"/>
        <v/>
      </c>
      <c r="AW21" t="str">
        <f t="shared" si="32"/>
        <v/>
      </c>
      <c r="AY21" t="s">
        <v>96</v>
      </c>
      <c r="AZ21" s="15">
        <f ca="1">IF(AZ$36=1,SUMIF($K:$K,AZ$1,$AF:$AF),"")</f>
        <v>-5.4087877625000002E-5</v>
      </c>
      <c r="BA21" s="15">
        <f ca="1">IF(BA$36=1,SUMIF($K:$K,BA$1,$AF:$AF),"")</f>
        <v>-7.5723028675000003E-5</v>
      </c>
      <c r="BB21" s="15">
        <f ca="1">IF(BB$36=1,SUMIF($K:$K,BB$1,$AF:$AF),"")</f>
        <v>-1.0817575525E-5</v>
      </c>
      <c r="BC21" s="15">
        <f ca="1">IF(BC$36=1,SUMIF($K:$K,BC$1,$AF:$AF),"")</f>
        <v>1.8173526882000004E-4</v>
      </c>
      <c r="BD21" s="15" t="str">
        <f ca="1">IF(BD$36=1,SUMIF($K:$K,BD$1,$AF:$AF),"")</f>
        <v/>
      </c>
      <c r="BE21" s="15" t="str">
        <f ca="1">IF(BE$36=1,SUMIF($K:$K,BE$1,$AF:$AF),"")</f>
        <v/>
      </c>
      <c r="BF21" s="15" t="str">
        <f ca="1">IF(BF$36=1,SUMIF($K:$K,BF$1,$AF:$AF),"")</f>
        <v/>
      </c>
      <c r="BG21" s="15" t="str">
        <f ca="1">IF(BG$36=1,SUMIF($K:$K,BG$1,$AF:$AF),"")</f>
        <v/>
      </c>
      <c r="BH21" s="15" t="str">
        <f ca="1">IF(BH$36=1,SUMIF($K:$K,BH$1,$AF:$AF),"")</f>
        <v/>
      </c>
      <c r="BI21" s="15" t="str">
        <f ca="1">IF(BI$36=1,SUMIF($K:$K,BI$1,$AF:$AF),"")</f>
        <v/>
      </c>
      <c r="BJ21" s="15">
        <f t="shared" ca="1" si="49"/>
        <v>4.1106786995000048E-5</v>
      </c>
      <c r="BL21" s="7" t="s">
        <v>154</v>
      </c>
      <c r="BM21" s="7">
        <v>9.3000000000000007</v>
      </c>
      <c r="BO21">
        <v>-2.5</v>
      </c>
      <c r="BP21" s="13">
        <v>-8.4999999999999995E-4</v>
      </c>
      <c r="BS21" s="13">
        <v>-0.51</v>
      </c>
      <c r="BT21">
        <v>5.0999999999999997E-2</v>
      </c>
      <c r="BY21">
        <v>-3.2452726574999999E-4</v>
      </c>
      <c r="BZ21">
        <v>-2.125E-7</v>
      </c>
      <c r="CA21">
        <v>-2.125E-7</v>
      </c>
      <c r="CC21">
        <v>4.2500000000000001E-7</v>
      </c>
      <c r="CK21" s="29">
        <f t="shared" si="50"/>
        <v>-0.45932452726574996</v>
      </c>
      <c r="CL21">
        <f t="shared" si="51"/>
        <v>-5099.9530900914906</v>
      </c>
    </row>
    <row r="22" spans="2:90">
      <c r="E22" s="4">
        <f t="shared" ca="1" si="1"/>
        <v>0.5</v>
      </c>
      <c r="F22" s="5" t="s">
        <v>68</v>
      </c>
      <c r="G22" s="19">
        <v>6.1</v>
      </c>
      <c r="H22" s="17"/>
      <c r="I22" s="17"/>
      <c r="J22" s="21">
        <v>1</v>
      </c>
      <c r="K22" s="5">
        <v>3</v>
      </c>
      <c r="L22" s="23"/>
      <c r="N22" t="str">
        <f t="shared" si="13"/>
        <v/>
      </c>
      <c r="O22" t="str">
        <f t="shared" si="14"/>
        <v/>
      </c>
      <c r="P22">
        <f t="shared" si="15"/>
        <v>1</v>
      </c>
      <c r="Q22" s="10">
        <f t="shared" ca="1" si="46"/>
        <v>-2.5</v>
      </c>
      <c r="R22" s="10">
        <f t="shared" ca="1" si="16"/>
        <v>-4.2499999999999998E-4</v>
      </c>
      <c r="S22" s="10">
        <f t="shared" ca="1" si="17"/>
        <v>0</v>
      </c>
      <c r="T22" s="10">
        <f t="shared" ca="1" si="34"/>
        <v>0</v>
      </c>
      <c r="U22" s="10">
        <f t="shared" ca="1" si="35"/>
        <v>-6.3750000000000001E-2</v>
      </c>
      <c r="V22" s="10">
        <f t="shared" ca="1" si="36"/>
        <v>0</v>
      </c>
      <c r="W22" s="10">
        <f t="shared" ca="1" si="18"/>
        <v>0</v>
      </c>
      <c r="X22" s="10">
        <f t="shared" ca="1" si="19"/>
        <v>0</v>
      </c>
      <c r="Y22" s="10">
        <f t="shared" ca="1" si="20"/>
        <v>0</v>
      </c>
      <c r="Z22" s="8">
        <f t="shared" ca="1" si="21"/>
        <v>1.6226363287499999E-4</v>
      </c>
      <c r="AA22" s="15">
        <f t="shared" ca="1" si="22"/>
        <v>-1.0625E-7</v>
      </c>
      <c r="AB22" s="15">
        <f t="shared" ca="1" si="23"/>
        <v>-1.0625E-7</v>
      </c>
      <c r="AC22" s="15">
        <f t="shared" ca="1" si="24"/>
        <v>0</v>
      </c>
      <c r="AD22" s="15">
        <f t="shared" ca="1" si="25"/>
        <v>2.125E-7</v>
      </c>
      <c r="AE22" s="15">
        <f t="shared" ca="1" si="26"/>
        <v>0</v>
      </c>
      <c r="AF22" s="15">
        <f t="shared" ca="1" si="38"/>
        <v>0</v>
      </c>
      <c r="AG22" s="15">
        <f t="shared" ca="1" si="39"/>
        <v>0</v>
      </c>
      <c r="AH22" s="15">
        <f t="shared" ca="1" si="40"/>
        <v>-3.1211365449E-4</v>
      </c>
      <c r="AI22" s="15">
        <f t="shared" ca="1" si="41"/>
        <v>4.5447796947705003E-2</v>
      </c>
      <c r="AJ22" s="15">
        <f t="shared" ca="1" si="42"/>
        <v>0</v>
      </c>
      <c r="AK22" s="15">
        <f t="shared" ca="1" si="43"/>
        <v>3.4314768264E-4</v>
      </c>
      <c r="AL22">
        <f ca="1">IF(P22=1,LOOKUP(K22,$AZ$1:$BI$1,$AZ$37:$BI$37)-IF(O22="",0,O22),"")</f>
        <v>1</v>
      </c>
      <c r="AM22" s="10">
        <f t="shared" ca="1" si="27"/>
        <v>0.5</v>
      </c>
      <c r="AN22" s="10">
        <f ca="1">IF(AM22="","",AM22*LOOKUP(K22,$AZ$1:$BI$1,$AZ$7:$BI$7))</f>
        <v>0.75</v>
      </c>
      <c r="AO22">
        <f ca="1">IF(AN22="","",AN22*LOOKUP(K22,$AZ$1:$BI$1,$AZ$8:$BI$8))</f>
        <v>2.25</v>
      </c>
      <c r="AP22">
        <f ca="1">IF(AO22="","",AO22/LOOKUP(K22,$AZ$1:$BI$1,$AZ$42:$BI$42))</f>
        <v>0.32142857142857145</v>
      </c>
      <c r="AQ22">
        <f ca="1">IF(AO22="","",IF(LOOKUP(K22,$AZ$1:$BI$1,$AZ$37:$BI$37)=0,0.25,MAX(MIN(AP22,2.5),0.5)))</f>
        <v>0.5</v>
      </c>
      <c r="AR22">
        <f t="shared" si="28"/>
        <v>6</v>
      </c>
      <c r="AS22">
        <f t="shared" si="29"/>
        <v>2</v>
      </c>
      <c r="AT22">
        <f t="shared" si="30"/>
        <v>0</v>
      </c>
      <c r="AU22" t="str">
        <f>IF(OR(AT22="",AT22=0),"",INDEX($AY$1:$BI$5,MATCH(AT22,$AY$1:$AY$5,0),MATCH(K22,$AY$1:$BI$1,0)))</f>
        <v/>
      </c>
      <c r="AV22" t="str">
        <f t="shared" si="31"/>
        <v/>
      </c>
      <c r="AW22">
        <f t="shared" ca="1" si="32"/>
        <v>0.5</v>
      </c>
      <c r="AY22" t="s">
        <v>95</v>
      </c>
      <c r="AZ22" s="15">
        <f ca="1">IF(AZ$36=1,SUMIF($K:$K,AZ$1,$AG:$AG),"")</f>
        <v>-1.7607959231629999E-2</v>
      </c>
      <c r="BA22" s="15">
        <f ca="1">IF(BA$36=1,SUMIF($K:$K,BA$1,$AG:$AG),"")</f>
        <v>-2.4651142924281999E-2</v>
      </c>
      <c r="BB22" s="15">
        <f ca="1">IF(BB$36=1,SUMIF($K:$K,BB$1,$AG:$AG),"")</f>
        <v>-3.5215918463259999E-3</v>
      </c>
      <c r="BC22" s="15">
        <f ca="1">IF(BC$36=1,SUMIF($K:$K,BC$1,$AG:$AG),"")</f>
        <v>5.91627430182768E-2</v>
      </c>
      <c r="BD22" s="15" t="str">
        <f ca="1">IF(BD$36=1,SUMIF($K:$K,BD$1,$AG:$AG),"")</f>
        <v/>
      </c>
      <c r="BE22" s="15" t="str">
        <f ca="1">IF(BE$36=1,SUMIF($K:$K,BE$1,$AG:$AG),"")</f>
        <v/>
      </c>
      <c r="BF22" s="15" t="str">
        <f ca="1">IF(BF$36=1,SUMIF($K:$K,BF$1,$AG:$AG),"")</f>
        <v/>
      </c>
      <c r="BG22" s="15" t="str">
        <f ca="1">IF(BG$36=1,SUMIF($K:$K,BG$1,$AG:$AG),"")</f>
        <v/>
      </c>
      <c r="BH22" s="15" t="str">
        <f ca="1">IF(BH$36=1,SUMIF($K:$K,BH$1,$AG:$AG),"")</f>
        <v/>
      </c>
      <c r="BI22" s="15" t="str">
        <f ca="1">IF(BI$36=1,SUMIF($K:$K,BI$1,$AG:$AG),"")</f>
        <v/>
      </c>
      <c r="BJ22" s="15">
        <f t="shared" ca="1" si="49"/>
        <v>1.3382049016038802E-2</v>
      </c>
      <c r="BL22" s="7" t="s">
        <v>35</v>
      </c>
      <c r="BM22" s="7">
        <v>10</v>
      </c>
      <c r="BN22" s="7"/>
      <c r="BO22">
        <v>-1.25</v>
      </c>
      <c r="BP22" s="13">
        <v>-8.4999999999999995E-4</v>
      </c>
      <c r="BQ22" s="13"/>
      <c r="BR22" s="13"/>
      <c r="BS22" s="13"/>
      <c r="BT22" s="9">
        <f>2*-0.017</f>
        <v>-3.4000000000000002E-2</v>
      </c>
      <c r="BU22" s="9">
        <v>3.4000000000000002E-2</v>
      </c>
      <c r="BV22" s="9"/>
      <c r="BW22" s="9"/>
      <c r="CA22">
        <v>-2.125E-7</v>
      </c>
      <c r="CB22">
        <v>-2.125E-7</v>
      </c>
      <c r="CC22">
        <v>4.2500000000000001E-7</v>
      </c>
      <c r="CK22" s="15">
        <f t="shared" si="50"/>
        <v>0</v>
      </c>
      <c r="CL22">
        <f t="shared" si="51"/>
        <v>-4.250000074534909E-6</v>
      </c>
    </row>
    <row r="23" spans="2:90">
      <c r="B23" t="s">
        <v>97</v>
      </c>
      <c r="C23">
        <f ca="1">SUM(AI:AI)</f>
        <v>0.20923300042400569</v>
      </c>
      <c r="E23" s="4" t="str">
        <f t="shared" si="1"/>
        <v/>
      </c>
      <c r="H23" s="17"/>
      <c r="I23" s="17"/>
      <c r="L23" s="23"/>
      <c r="N23" t="str">
        <f t="shared" si="13"/>
        <v/>
      </c>
      <c r="O23" t="str">
        <f t="shared" si="14"/>
        <v/>
      </c>
      <c r="P23" t="str">
        <f t="shared" si="15"/>
        <v/>
      </c>
      <c r="Q23" s="10" t="str">
        <f t="shared" si="46"/>
        <v/>
      </c>
      <c r="R23" s="10" t="str">
        <f t="shared" si="16"/>
        <v/>
      </c>
      <c r="S23" s="10" t="str">
        <f t="shared" si="17"/>
        <v/>
      </c>
      <c r="T23" s="10" t="str">
        <f t="shared" si="34"/>
        <v/>
      </c>
      <c r="U23" s="10" t="str">
        <f t="shared" si="35"/>
        <v/>
      </c>
      <c r="V23" s="10" t="str">
        <f t="shared" si="36"/>
        <v/>
      </c>
      <c r="W23" s="10" t="str">
        <f t="shared" si="18"/>
        <v/>
      </c>
      <c r="X23" s="10" t="str">
        <f t="shared" si="19"/>
        <v/>
      </c>
      <c r="Y23" s="10" t="str">
        <f t="shared" si="20"/>
        <v/>
      </c>
      <c r="Z23" s="8" t="str">
        <f t="shared" si="21"/>
        <v/>
      </c>
      <c r="AA23" s="15" t="str">
        <f t="shared" si="22"/>
        <v/>
      </c>
      <c r="AB23" s="15" t="str">
        <f t="shared" si="23"/>
        <v/>
      </c>
      <c r="AC23" s="15" t="str">
        <f t="shared" si="24"/>
        <v/>
      </c>
      <c r="AD23" s="15" t="str">
        <f t="shared" si="25"/>
        <v/>
      </c>
      <c r="AE23" s="15" t="str">
        <f t="shared" si="26"/>
        <v/>
      </c>
      <c r="AF23" s="15" t="str">
        <f t="shared" si="38"/>
        <v/>
      </c>
      <c r="AG23" s="15" t="str">
        <f t="shared" si="39"/>
        <v/>
      </c>
      <c r="AH23" s="15" t="str">
        <f t="shared" si="40"/>
        <v/>
      </c>
      <c r="AI23" s="15" t="str">
        <f t="shared" si="41"/>
        <v/>
      </c>
      <c r="AJ23" s="15" t="str">
        <f t="shared" si="42"/>
        <v/>
      </c>
      <c r="AK23" s="15" t="str">
        <f t="shared" si="43"/>
        <v/>
      </c>
      <c r="AL23" t="str">
        <f>IF(P23=1,LOOKUP(K23,$AZ$1:$BI$1,$AZ$37:$BI$37)-IF(O23="",0,O23),"")</f>
        <v/>
      </c>
      <c r="AM23" s="10" t="str">
        <f t="shared" si="27"/>
        <v/>
      </c>
      <c r="AN23" s="10" t="str">
        <f>IF(AM23="","",AM23*LOOKUP(K23,$AZ$1:$BI$1,$AZ$7:$BI$7))</f>
        <v/>
      </c>
      <c r="AO23" t="str">
        <f>IF(AN23="","",AN23*LOOKUP(K23,$AZ$1:$BI$1,$AZ$8:$BI$8))</f>
        <v/>
      </c>
      <c r="AP23" t="str">
        <f>IF(AO23="","",AO23/LOOKUP(K23,$AZ$1:$BI$1,$AZ$42:$BI$42))</f>
        <v/>
      </c>
      <c r="AQ23" t="str">
        <f>IF(AO23="","",IF(LOOKUP(K23,$AZ$1:$BI$1,$AZ$37:$BI$37)=0,0.25,MAX(MIN(AP23,2.5),0.5)))</f>
        <v/>
      </c>
      <c r="AR23" t="str">
        <f t="shared" si="28"/>
        <v/>
      </c>
      <c r="AS23" t="str">
        <f t="shared" si="29"/>
        <v/>
      </c>
      <c r="AT23" t="str">
        <f t="shared" si="30"/>
        <v/>
      </c>
      <c r="AU23" t="str">
        <f>IF(OR(AT23="",AT23=0),"",INDEX($AY$1:$BI$5,MATCH(AT23,$AY$1:$AY$5,0),MATCH(K23,$AY$1:$BI$1,0)))</f>
        <v/>
      </c>
      <c r="AV23" t="str">
        <f t="shared" si="31"/>
        <v/>
      </c>
      <c r="AW23" t="str">
        <f t="shared" si="32"/>
        <v/>
      </c>
      <c r="AY23" t="s">
        <v>102</v>
      </c>
      <c r="AZ23" s="15">
        <f ca="1">IF(AZ$36=1,SUMIF($K:$K,AZ$1,$AH:$AH),"")</f>
        <v>-1.0403788482999999E-4</v>
      </c>
      <c r="BA23" s="15">
        <f ca="1">IF(BA$36=1,SUMIF($K:$K,BA$1,$AH:$AH),"")</f>
        <v>-1.4565303876199999E-4</v>
      </c>
      <c r="BB23" s="15">
        <f ca="1">IF(BB$36=1,SUMIF($K:$K,BB$1,$AH:$AH),"")</f>
        <v>-1.5367881844888572E-3</v>
      </c>
      <c r="BC23" s="15">
        <f ca="1">IF(BC$36=1,SUMIF($K:$K,BC$1,$AH:$AH),"")</f>
        <v>4.2072920625252017E-3</v>
      </c>
      <c r="BD23" s="15" t="str">
        <f ca="1">IF(BD$36=1,SUMIF($K:$K,BD$1,$AH:$AH),"")</f>
        <v/>
      </c>
      <c r="BE23" s="15" t="str">
        <f ca="1">IF(BE$36=1,SUMIF($K:$K,BE$1,$AH:$AH),"")</f>
        <v/>
      </c>
      <c r="BF23" s="15" t="str">
        <f ca="1">IF(BF$36=1,SUMIF($K:$K,BF$1,$AH:$AH),"")</f>
        <v/>
      </c>
      <c r="BG23" s="15" t="str">
        <f ca="1">IF(BG$36=1,SUMIF($K:$K,BG$1,$AH:$AH),"")</f>
        <v/>
      </c>
      <c r="BH23" s="15" t="str">
        <f ca="1">IF(BH$36=1,SUMIF($K:$K,BH$1,$AH:$AH),"")</f>
        <v/>
      </c>
      <c r="BI23" s="15" t="str">
        <f ca="1">IF(BI$36=1,SUMIF($K:$K,BI$1,$AH:$AH),"")</f>
        <v/>
      </c>
      <c r="BJ23" s="15">
        <f t="shared" ca="1" si="49"/>
        <v>2.4208129544443444E-3</v>
      </c>
      <c r="BL23" s="7" t="s">
        <v>36</v>
      </c>
      <c r="BM23" s="7">
        <v>11</v>
      </c>
      <c r="BN23" s="7"/>
      <c r="BO23">
        <v>-1.25</v>
      </c>
      <c r="BP23" s="13">
        <v>-8.4999999999999995E-4</v>
      </c>
      <c r="BQ23" s="13"/>
      <c r="BR23" s="13"/>
      <c r="BS23" s="13"/>
      <c r="BU23" s="6">
        <f>2*-0.0085</f>
        <v>-1.7000000000000001E-2</v>
      </c>
      <c r="BV23">
        <v>1.7000000000000001E-2</v>
      </c>
      <c r="CA23">
        <v>-2.125E-7</v>
      </c>
      <c r="CB23">
        <v>-2.125E-7</v>
      </c>
      <c r="CC23">
        <v>4.2500000000000001E-7</v>
      </c>
      <c r="CK23" s="15">
        <f>SUM(BQ23:CJ23)</f>
        <v>0</v>
      </c>
      <c r="CL23" s="35">
        <f>SUMPRODUCT($BP$2:$CJ$2,BP23:CJ23)</f>
        <v>-4.250000074534909E-6</v>
      </c>
    </row>
    <row r="24" spans="2:90">
      <c r="B24" t="s">
        <v>99</v>
      </c>
      <c r="C24">
        <f ca="1">SUM(AJ:AJ)</f>
        <v>-2.9650797175600016E-5</v>
      </c>
      <c r="E24" s="4">
        <f t="shared" ca="1" si="1"/>
        <v>0.9642857142857143</v>
      </c>
      <c r="F24" s="5" t="s">
        <v>68</v>
      </c>
      <c r="G24" s="19">
        <v>6.1</v>
      </c>
      <c r="H24" s="17">
        <v>0.5</v>
      </c>
      <c r="I24" s="17"/>
      <c r="J24" s="21">
        <v>1</v>
      </c>
      <c r="K24" s="5">
        <v>3</v>
      </c>
      <c r="L24" s="23"/>
      <c r="N24">
        <f t="shared" si="13"/>
        <v>1.5</v>
      </c>
      <c r="O24">
        <f t="shared" si="14"/>
        <v>1</v>
      </c>
      <c r="P24">
        <f t="shared" si="15"/>
        <v>1</v>
      </c>
      <c r="Q24" s="10">
        <f t="shared" ca="1" si="46"/>
        <v>-4.8630952380952381</v>
      </c>
      <c r="R24" s="10">
        <f t="shared" ca="1" si="16"/>
        <v>-8.1964285714285711E-4</v>
      </c>
      <c r="S24" s="10">
        <f t="shared" ca="1" si="17"/>
        <v>0</v>
      </c>
      <c r="T24" s="10">
        <f t="shared" ca="1" si="34"/>
        <v>0</v>
      </c>
      <c r="U24" s="10">
        <f t="shared" ca="1" si="35"/>
        <v>-0.12294642857142858</v>
      </c>
      <c r="V24" s="10">
        <f t="shared" ca="1" si="36"/>
        <v>0</v>
      </c>
      <c r="W24" s="10">
        <f t="shared" ca="1" si="18"/>
        <v>0</v>
      </c>
      <c r="X24" s="10">
        <f t="shared" ca="1" si="19"/>
        <v>0</v>
      </c>
      <c r="Y24" s="10">
        <f t="shared" ca="1" si="20"/>
        <v>0</v>
      </c>
      <c r="Z24" s="8">
        <f t="shared" ca="1" si="21"/>
        <v>3.1293700625892855E-4</v>
      </c>
      <c r="AA24" s="15">
        <f t="shared" ca="1" si="22"/>
        <v>-2.0491071428571429E-7</v>
      </c>
      <c r="AB24" s="15">
        <f t="shared" ca="1" si="23"/>
        <v>-2.0491071428571429E-7</v>
      </c>
      <c r="AC24" s="15">
        <f t="shared" ca="1" si="24"/>
        <v>0</v>
      </c>
      <c r="AD24" s="15">
        <f t="shared" ca="1" si="25"/>
        <v>4.0982142857142859E-7</v>
      </c>
      <c r="AE24" s="15">
        <f t="shared" ca="1" si="26"/>
        <v>0</v>
      </c>
      <c r="AF24" s="15">
        <f t="shared" ca="1" si="38"/>
        <v>-1.0817575525E-5</v>
      </c>
      <c r="AG24" s="15">
        <f t="shared" ca="1" si="39"/>
        <v>-3.5215918463259999E-3</v>
      </c>
      <c r="AH24" s="15">
        <f t="shared" ca="1" si="40"/>
        <v>-6.2274105348242856E-4</v>
      </c>
      <c r="AI24" s="15">
        <f t="shared" ca="1" si="41"/>
        <v>9.067917581470665E-2</v>
      </c>
      <c r="AJ24" s="15">
        <f t="shared" ca="1" si="42"/>
        <v>7.8028413620000008E-6</v>
      </c>
      <c r="AK24" s="15">
        <f t="shared" ca="1" si="43"/>
        <v>6.8466132869600003E-4</v>
      </c>
      <c r="AL24">
        <f ca="1">IF(P24=1,LOOKUP(K24,$AZ$1:$BI$1,$AZ$37:$BI$37)-IF(O24="",0,O24),"")</f>
        <v>0</v>
      </c>
      <c r="AM24" s="10">
        <f t="shared" ca="1" si="27"/>
        <v>1.5</v>
      </c>
      <c r="AN24" s="10">
        <f ca="1">IF(AM24="","",AM24*LOOKUP(K24,$AZ$1:$BI$1,$AZ$7:$BI$7))</f>
        <v>2.25</v>
      </c>
      <c r="AO24">
        <f ca="1">IF(AN24="","",AN24*LOOKUP(K24,$AZ$1:$BI$1,$AZ$8:$BI$8))</f>
        <v>6.75</v>
      </c>
      <c r="AP24">
        <f ca="1">IF(AO24="","",AO24/LOOKUP(K24,$AZ$1:$BI$1,$AZ$42:$BI$42))</f>
        <v>0.9642857142857143</v>
      </c>
      <c r="AQ24">
        <f ca="1">IF(AO24="","",IF(LOOKUP(K24,$AZ$1:$BI$1,$AZ$37:$BI$37)=0,0.25,MAX(MIN(AP24,2.5),0.5)))</f>
        <v>0.9642857142857143</v>
      </c>
      <c r="AR24">
        <f t="shared" si="28"/>
        <v>6</v>
      </c>
      <c r="AS24">
        <f t="shared" si="29"/>
        <v>2</v>
      </c>
      <c r="AT24">
        <f t="shared" si="30"/>
        <v>0</v>
      </c>
      <c r="AU24" t="str">
        <f>IF(OR(AT24="",AT24=0),"",INDEX($AY$1:$BI$5,MATCH(AT24,$AY$1:$AY$5,0),MATCH(K24,$AY$1:$BI$1,0)))</f>
        <v/>
      </c>
      <c r="AV24" t="str">
        <f t="shared" si="31"/>
        <v/>
      </c>
      <c r="AW24">
        <f t="shared" ca="1" si="32"/>
        <v>0.9642857142857143</v>
      </c>
      <c r="AY24" t="s">
        <v>97</v>
      </c>
      <c r="AZ24" s="15">
        <f ca="1">IF(AZ$36=1,SUMIF($K:$K,AZ$1,$AI:$AI),"")</f>
        <v>1.5149265649234998E-2</v>
      </c>
      <c r="BA24" s="15">
        <f ca="1">IF(BA$36=1,SUMIF($K:$K,BA$1,$AI:$AI),"")</f>
        <v>2.1208971908928998E-2</v>
      </c>
      <c r="BB24" s="15">
        <f ca="1">IF(BB$36=1,SUMIF($K:$K,BB$1,$AI:$AI),"")</f>
        <v>0.22377629544727129</v>
      </c>
      <c r="BC24" s="15">
        <f ca="1">IF(BC$36=1,SUMIF($K:$K,BC$1,$AI:$AI),"")</f>
        <v>-5.0901532581429598E-2</v>
      </c>
      <c r="BD24" s="15" t="str">
        <f ca="1">IF(BD$36=1,SUMIF($K:$K,BD$1,$AI:$AI),"")</f>
        <v/>
      </c>
      <c r="BE24" s="15" t="str">
        <f ca="1">IF(BE$36=1,SUMIF($K:$K,BE$1,$AI:$AI),"")</f>
        <v/>
      </c>
      <c r="BF24" s="15" t="str">
        <f ca="1">IF(BF$36=1,SUMIF($K:$K,BF$1,$AI:$AI),"")</f>
        <v/>
      </c>
      <c r="BG24" s="15" t="str">
        <f ca="1">IF(BG$36=1,SUMIF($K:$K,BG$1,$AI:$AI),"")</f>
        <v/>
      </c>
      <c r="BH24" s="15" t="str">
        <f ca="1">IF(BH$36=1,SUMIF($K:$K,BH$1,$AI:$AI),"")</f>
        <v/>
      </c>
      <c r="BI24" s="15" t="str">
        <f ca="1">IF(BI$36=1,SUMIF($K:$K,BI$1,$AI:$AI),"")</f>
        <v/>
      </c>
      <c r="BJ24" s="15">
        <f t="shared" ca="1" si="49"/>
        <v>0.20923300042400567</v>
      </c>
      <c r="BL24" s="7" t="s">
        <v>38</v>
      </c>
      <c r="BM24" s="7">
        <v>12</v>
      </c>
      <c r="BN24" s="7"/>
      <c r="BO24">
        <v>-2.5</v>
      </c>
      <c r="BP24" s="13">
        <v>-8.4999999999999995E-4</v>
      </c>
      <c r="BQ24" s="13"/>
      <c r="BR24" s="13"/>
      <c r="BS24" s="13"/>
      <c r="BV24" s="8">
        <v>-4.2500000000000003E-3</v>
      </c>
      <c r="BW24" s="8">
        <v>4.2500000000000003E-3</v>
      </c>
      <c r="CB24">
        <v>-4.2500000000000001E-7</v>
      </c>
      <c r="CC24" s="14">
        <v>4.2500000000000001E-7</v>
      </c>
      <c r="CD24" s="14"/>
      <c r="CE24" s="14"/>
      <c r="CF24" s="14"/>
      <c r="CG24" s="14"/>
      <c r="CH24" s="14"/>
      <c r="CI24" s="14"/>
      <c r="CJ24" s="14"/>
      <c r="CK24" s="15">
        <f>SUM(BQ24:CJ24)</f>
        <v>0</v>
      </c>
      <c r="CL24" s="35">
        <f>SUMPRODUCT($BP$2:$CJ$2,BP24:CJ24)</f>
        <v>-4.2500000176914909E-6</v>
      </c>
    </row>
    <row r="25" spans="2:90">
      <c r="B25" t="s">
        <v>100</v>
      </c>
      <c r="C25">
        <f ca="1">SUM(AK:AK)</f>
        <v>-2.6615187880191988E-3</v>
      </c>
      <c r="E25" s="4">
        <f t="shared" ca="1" si="1"/>
        <v>0.9642857142857143</v>
      </c>
      <c r="F25" s="5" t="s">
        <v>111</v>
      </c>
      <c r="G25" s="19">
        <v>6.2</v>
      </c>
      <c r="H25" s="17">
        <f>IF(H24="","",H24)</f>
        <v>0.5</v>
      </c>
      <c r="I25" s="17" t="str">
        <f>IF(I24="","",I24)</f>
        <v/>
      </c>
      <c r="J25" s="21">
        <v>1</v>
      </c>
      <c r="K25" s="5">
        <v>3</v>
      </c>
      <c r="L25" s="24"/>
      <c r="M25" s="5">
        <v>1</v>
      </c>
      <c r="N25">
        <f t="shared" si="13"/>
        <v>1.5</v>
      </c>
      <c r="O25">
        <f t="shared" si="14"/>
        <v>1</v>
      </c>
      <c r="P25">
        <f t="shared" si="15"/>
        <v>1</v>
      </c>
      <c r="Q25" s="10">
        <f t="shared" ca="1" si="46"/>
        <v>-4.8214285714285712</v>
      </c>
      <c r="R25" s="10">
        <f t="shared" ca="1" si="16"/>
        <v>-8.1964285714285711E-4</v>
      </c>
      <c r="S25" s="10">
        <f t="shared" ca="1" si="17"/>
        <v>0</v>
      </c>
      <c r="T25" s="10">
        <f t="shared" ca="1" si="34"/>
        <v>0</v>
      </c>
      <c r="U25" s="10">
        <f t="shared" ca="1" si="35"/>
        <v>-0.12294642857142858</v>
      </c>
      <c r="V25" s="10">
        <f t="shared" ca="1" si="36"/>
        <v>0</v>
      </c>
      <c r="W25" s="10">
        <f t="shared" ca="1" si="18"/>
        <v>0</v>
      </c>
      <c r="X25" s="10">
        <f t="shared" ca="1" si="19"/>
        <v>0</v>
      </c>
      <c r="Y25" s="10">
        <f t="shared" ca="1" si="20"/>
        <v>0</v>
      </c>
      <c r="Z25" s="8">
        <f t="shared" ca="1" si="21"/>
        <v>0</v>
      </c>
      <c r="AA25" s="15">
        <f t="shared" ca="1" si="22"/>
        <v>-2.0491071428571429E-7</v>
      </c>
      <c r="AB25" s="15">
        <f t="shared" ca="1" si="23"/>
        <v>-2.0491071428571429E-7</v>
      </c>
      <c r="AC25" s="15">
        <f t="shared" ca="1" si="24"/>
        <v>0</v>
      </c>
      <c r="AD25" s="15">
        <f t="shared" ca="1" si="25"/>
        <v>4.0982142857142859E-7</v>
      </c>
      <c r="AE25" s="15">
        <f t="shared" ca="1" si="26"/>
        <v>2.2572505368642856E-4</v>
      </c>
      <c r="AF25" s="15">
        <f t="shared" ca="1" si="38"/>
        <v>0</v>
      </c>
      <c r="AG25" s="15">
        <f t="shared" ca="1" si="39"/>
        <v>0</v>
      </c>
      <c r="AH25" s="15">
        <f t="shared" ca="1" si="40"/>
        <v>-6.0193347651642855E-4</v>
      </c>
      <c r="AI25" s="15">
        <f t="shared" ca="1" si="41"/>
        <v>8.7649322684859657E-2</v>
      </c>
      <c r="AJ25" s="15">
        <f t="shared" ca="1" si="42"/>
        <v>0</v>
      </c>
      <c r="AK25" s="15">
        <f t="shared" ca="1" si="43"/>
        <v>6.6178481652000006E-4</v>
      </c>
      <c r="AL25">
        <f ca="1">IF(P25=1,LOOKUP(K25,$AZ$1:$BI$1,$AZ$37:$BI$37)-IF(O25="",0,O25),"")</f>
        <v>0</v>
      </c>
      <c r="AM25" s="10">
        <f t="shared" ca="1" si="27"/>
        <v>1.5</v>
      </c>
      <c r="AN25" s="10">
        <f ca="1">IF(AM25="","",AM25*LOOKUP(K25,$AZ$1:$BI$1,$AZ$7:$BI$7))</f>
        <v>2.25</v>
      </c>
      <c r="AO25">
        <f ca="1">IF(AN25="","",AN25*LOOKUP(K25,$AZ$1:$BI$1,$AZ$8:$BI$8))</f>
        <v>6.75</v>
      </c>
      <c r="AP25">
        <f ca="1">IF(AO25="","",AO25/LOOKUP(K25,$AZ$1:$BI$1,$AZ$42:$BI$42))</f>
        <v>0.9642857142857143</v>
      </c>
      <c r="AQ25">
        <f ca="1">IF(AO25="","",IF(LOOKUP(K25,$AZ$1:$BI$1,$AZ$37:$BI$37)=0,0.25,MAX(MIN(AP25,2.5),0.5)))</f>
        <v>0.9642857142857143</v>
      </c>
      <c r="AR25">
        <f t="shared" si="28"/>
        <v>6</v>
      </c>
      <c r="AS25">
        <f t="shared" si="29"/>
        <v>2</v>
      </c>
      <c r="AT25">
        <f t="shared" si="30"/>
        <v>0</v>
      </c>
      <c r="AU25" t="str">
        <f>IF(OR(AT25="",AT25=0),"",INDEX($AY$1:$BI$5,MATCH(AT25,$AY$1:$AY$5,0),MATCH(K25,$AY$1:$BI$1,0)))</f>
        <v/>
      </c>
      <c r="AV25" t="str">
        <f t="shared" si="31"/>
        <v/>
      </c>
      <c r="AW25">
        <f t="shared" ca="1" si="32"/>
        <v>0.9642857142857143</v>
      </c>
      <c r="AY25" t="s">
        <v>99</v>
      </c>
      <c r="AZ25" s="15">
        <f ca="1">IF(AZ$36=1,SUMIF($K:$K,AZ$1,$AJ:$AJ),"")</f>
        <v>3.9014206810000009E-5</v>
      </c>
      <c r="BA25" s="15">
        <f ca="1">IF(BA$36=1,SUMIF($K:$K,BA$1,$AJ:$AJ),"")</f>
        <v>5.4619889534000007E-5</v>
      </c>
      <c r="BB25" s="15">
        <f ca="1">IF(BB$36=1,SUMIF($K:$K,BB$1,$AJ:$AJ),"")</f>
        <v>7.8028413620000008E-6</v>
      </c>
      <c r="BC25" s="15">
        <f ca="1">IF(BC$36=1,SUMIF($K:$K,BC$1,$AJ:$AJ),"")</f>
        <v>-1.3108773488160002E-4</v>
      </c>
      <c r="BD25" s="15" t="str">
        <f ca="1">IF(BD$36=1,SUMIF($K:$K,BD$1,$AJ:$AJ),"")</f>
        <v/>
      </c>
      <c r="BE25" s="15" t="str">
        <f ca="1">IF(BE$36=1,SUMIF($K:$K,BE$1,$AJ:$AJ),"")</f>
        <v/>
      </c>
      <c r="BF25" s="15" t="str">
        <f ca="1">IF(BF$36=1,SUMIF($K:$K,BF$1,$AJ:$AJ),"")</f>
        <v/>
      </c>
      <c r="BG25" s="15" t="str">
        <f ca="1">IF(BG$36=1,SUMIF($K:$K,BG$1,$AJ:$AJ),"")</f>
        <v/>
      </c>
      <c r="BH25" s="15" t="str">
        <f ca="1">IF(BH$36=1,SUMIF($K:$K,BH$1,$AJ:$AJ),"")</f>
        <v/>
      </c>
      <c r="BI25" s="15" t="str">
        <f ca="1">IF(BI$36=1,SUMIF($K:$K,BI$1,$AJ:$AJ),"")</f>
        <v/>
      </c>
      <c r="BJ25" s="15">
        <f t="shared" ca="1" si="49"/>
        <v>-2.9650797175600002E-5</v>
      </c>
      <c r="BL25" s="7" t="s">
        <v>91</v>
      </c>
      <c r="BM25" s="7">
        <v>100</v>
      </c>
      <c r="BO25">
        <f>-0.0277777777777778-0.0138888888888889</f>
        <v>-4.1666666666666699E-2</v>
      </c>
      <c r="BQ25" s="15"/>
      <c r="BR25" s="15"/>
      <c r="BS25" s="15"/>
      <c r="CE25" s="15">
        <v>-1.0817575525E-5</v>
      </c>
      <c r="CF25">
        <v>-3.5215918463259999E-3</v>
      </c>
      <c r="CG25" s="15">
        <v>-2.0807576966E-5</v>
      </c>
      <c r="CH25">
        <v>3.0298531298469998E-3</v>
      </c>
      <c r="CI25" s="15">
        <v>7.8028413620000008E-6</v>
      </c>
      <c r="CJ25" s="15">
        <v>2.2876512175999999E-5</v>
      </c>
      <c r="CK25" s="15">
        <f>SUM(BQ25:CJ25)</f>
        <v>-4.9268451543199988E-4</v>
      </c>
      <c r="CL25">
        <f>SUMPRODUCT($BP$2:$CJ$2,BP25:CJ25)</f>
        <v>1.1838608926858932E-20</v>
      </c>
    </row>
    <row r="26" spans="2:90">
      <c r="E26" s="4" t="str">
        <f t="shared" si="1"/>
        <v/>
      </c>
      <c r="H26" s="17"/>
      <c r="I26" s="17"/>
      <c r="L26" s="24"/>
      <c r="N26" t="str">
        <f t="shared" si="13"/>
        <v/>
      </c>
      <c r="O26" t="str">
        <f t="shared" si="14"/>
        <v/>
      </c>
      <c r="P26" t="str">
        <f t="shared" si="15"/>
        <v/>
      </c>
      <c r="Q26" s="10" t="str">
        <f t="shared" si="46"/>
        <v/>
      </c>
      <c r="R26" s="10" t="str">
        <f t="shared" si="16"/>
        <v/>
      </c>
      <c r="S26" s="10" t="str">
        <f t="shared" si="17"/>
        <v/>
      </c>
      <c r="T26" s="10" t="str">
        <f t="shared" si="34"/>
        <v/>
      </c>
      <c r="U26" s="10" t="str">
        <f t="shared" si="35"/>
        <v/>
      </c>
      <c r="V26" s="10" t="str">
        <f t="shared" si="36"/>
        <v/>
      </c>
      <c r="W26" s="10" t="str">
        <f t="shared" si="18"/>
        <v/>
      </c>
      <c r="X26" s="10" t="str">
        <f t="shared" si="19"/>
        <v/>
      </c>
      <c r="Y26" s="10" t="str">
        <f t="shared" si="20"/>
        <v/>
      </c>
      <c r="Z26" s="8" t="str">
        <f t="shared" si="21"/>
        <v/>
      </c>
      <c r="AA26" s="15" t="str">
        <f t="shared" si="22"/>
        <v/>
      </c>
      <c r="AB26" s="15" t="str">
        <f t="shared" si="23"/>
        <v/>
      </c>
      <c r="AC26" s="15" t="str">
        <f t="shared" si="24"/>
        <v/>
      </c>
      <c r="AD26" s="15" t="str">
        <f t="shared" si="25"/>
        <v/>
      </c>
      <c r="AE26" s="15" t="str">
        <f t="shared" si="26"/>
        <v/>
      </c>
      <c r="AF26" s="15" t="str">
        <f t="shared" si="38"/>
        <v/>
      </c>
      <c r="AG26" s="15" t="str">
        <f t="shared" si="39"/>
        <v/>
      </c>
      <c r="AH26" s="15" t="str">
        <f t="shared" si="40"/>
        <v/>
      </c>
      <c r="AI26" s="15" t="str">
        <f t="shared" si="41"/>
        <v/>
      </c>
      <c r="AJ26" s="15" t="str">
        <f t="shared" si="42"/>
        <v/>
      </c>
      <c r="AK26" s="15" t="str">
        <f t="shared" si="43"/>
        <v/>
      </c>
      <c r="AL26" t="str">
        <f>IF(P26=1,LOOKUP(K26,$AZ$1:$BI$1,$AZ$37:$BI$37)-IF(O26="",0,O26),"")</f>
        <v/>
      </c>
      <c r="AM26" s="10" t="str">
        <f t="shared" si="27"/>
        <v/>
      </c>
      <c r="AN26" s="10" t="str">
        <f>IF(AM26="","",AM26*LOOKUP(K26,$AZ$1:$BI$1,$AZ$7:$BI$7))</f>
        <v/>
      </c>
      <c r="AO26" t="str">
        <f>IF(AN26="","",AN26*LOOKUP(K26,$AZ$1:$BI$1,$AZ$8:$BI$8))</f>
        <v/>
      </c>
      <c r="AP26" t="str">
        <f>IF(AO26="","",AO26/LOOKUP(K26,$AZ$1:$BI$1,$AZ$42:$BI$42))</f>
        <v/>
      </c>
      <c r="AQ26" t="str">
        <f>IF(AO26="","",IF(LOOKUP(K26,$AZ$1:$BI$1,$AZ$37:$BI$37)=0,0.25,MAX(MIN(AP26,2.5),0.5)))</f>
        <v/>
      </c>
      <c r="AR26" t="str">
        <f t="shared" si="28"/>
        <v/>
      </c>
      <c r="AS26" t="str">
        <f t="shared" si="29"/>
        <v/>
      </c>
      <c r="AT26" t="str">
        <f t="shared" si="30"/>
        <v/>
      </c>
      <c r="AU26" t="str">
        <f>IF(OR(AT26="",AT26=0),"",INDEX($AY$1:$BI$5,MATCH(AT26,$AY$1:$AY$5,0),MATCH(K26,$AY$1:$BI$1,0)))</f>
        <v/>
      </c>
      <c r="AV26" t="str">
        <f t="shared" si="31"/>
        <v/>
      </c>
      <c r="AW26" t="str">
        <f t="shared" si="32"/>
        <v/>
      </c>
      <c r="AY26" t="s">
        <v>100</v>
      </c>
      <c r="AZ26" s="15">
        <f ca="1">IF(AZ$36=1,SUMIF($K:$K,AZ$1,$AK:$AK),"")</f>
        <v>1.1438256087999999E-4</v>
      </c>
      <c r="BA26" s="15">
        <f ca="1">IF(BA$36=1,SUMIF($K:$K,BA$1,$AK:$AK),"")</f>
        <v>1.6013558523199998E-4</v>
      </c>
      <c r="BB26" s="15">
        <f ca="1">IF(BB$36=1,SUMIF($K:$K,BB$1,$AK:$AK),"")</f>
        <v>1.689593827856E-3</v>
      </c>
      <c r="BC26" s="15">
        <f ca="1">IF(BC$36=1,SUMIF($K:$K,BC$1,$AK:$AK),"")</f>
        <v>-4.6256307619871994E-3</v>
      </c>
      <c r="BD26" s="15" t="str">
        <f ca="1">IF(BD$36=1,SUMIF($K:$K,BD$1,$AK:$AK),"")</f>
        <v/>
      </c>
      <c r="BE26" s="15" t="str">
        <f ca="1">IF(BE$36=1,SUMIF($K:$K,BE$1,$AK:$AK),"")</f>
        <v/>
      </c>
      <c r="BF26" s="15" t="str">
        <f ca="1">IF(BF$36=1,SUMIF($K:$K,BF$1,$AK:$AK),"")</f>
        <v/>
      </c>
      <c r="BG26" s="15" t="str">
        <f ca="1">IF(BG$36=1,SUMIF($K:$K,BG$1,$AK:$AK),"")</f>
        <v/>
      </c>
      <c r="BH26" s="15" t="str">
        <f ca="1">IF(BH$36=1,SUMIF($K:$K,BH$1,$AK:$AK),"")</f>
        <v/>
      </c>
      <c r="BI26" s="15" t="str">
        <f ca="1">IF(BI$36=1,SUMIF($K:$K,BI$1,$AK:$AK),"")</f>
        <v/>
      </c>
      <c r="BJ26" s="15">
        <f t="shared" ca="1" si="49"/>
        <v>-2.6615187880191992E-3</v>
      </c>
      <c r="BL26" s="7" t="s">
        <v>136</v>
      </c>
      <c r="BM26" s="7">
        <v>101</v>
      </c>
    </row>
    <row r="27" spans="2:90">
      <c r="B27" t="s">
        <v>53</v>
      </c>
      <c r="C27">
        <f ca="1">SUM(AA:AA)</f>
        <v>1.4540194107142855E-4</v>
      </c>
      <c r="E27" s="4">
        <f t="shared" ca="1" si="1"/>
        <v>1E-3</v>
      </c>
      <c r="F27" s="5" t="s">
        <v>57</v>
      </c>
      <c r="G27" s="19">
        <v>3.4</v>
      </c>
      <c r="H27" s="17"/>
      <c r="I27" s="17"/>
      <c r="J27" s="21">
        <v>1</v>
      </c>
      <c r="K27" s="5">
        <v>3</v>
      </c>
      <c r="L27" s="24">
        <v>1E-3</v>
      </c>
      <c r="N27" t="str">
        <f t="shared" si="13"/>
        <v/>
      </c>
      <c r="O27" t="str">
        <f t="shared" si="14"/>
        <v/>
      </c>
      <c r="P27">
        <f t="shared" si="15"/>
        <v>1</v>
      </c>
      <c r="Q27" s="10">
        <f t="shared" ca="1" si="46"/>
        <v>-5.0000000000000001E-3</v>
      </c>
      <c r="R27" s="10">
        <f t="shared" ca="1" si="16"/>
        <v>-8.5000000000000001E-7</v>
      </c>
      <c r="S27" s="10">
        <f t="shared" ca="1" si="17"/>
        <v>0</v>
      </c>
      <c r="T27" s="10">
        <f t="shared" ca="1" si="34"/>
        <v>0</v>
      </c>
      <c r="U27" s="10">
        <f t="shared" ca="1" si="35"/>
        <v>0</v>
      </c>
      <c r="V27" s="10">
        <f t="shared" ca="1" si="36"/>
        <v>2.5500000000000002E-4</v>
      </c>
      <c r="W27" s="10">
        <f t="shared" ca="1" si="18"/>
        <v>0</v>
      </c>
      <c r="X27" s="10">
        <f t="shared" ca="1" si="19"/>
        <v>0</v>
      </c>
      <c r="Y27" s="10">
        <f t="shared" ca="1" si="20"/>
        <v>0</v>
      </c>
      <c r="Z27" s="8">
        <f t="shared" ca="1" si="21"/>
        <v>0</v>
      </c>
      <c r="AA27" s="15">
        <f t="shared" ca="1" si="22"/>
        <v>-2.1250000000000002E-10</v>
      </c>
      <c r="AB27" s="15">
        <f t="shared" ca="1" si="23"/>
        <v>-2.1250000000000002E-10</v>
      </c>
      <c r="AC27" s="15">
        <f t="shared" ca="1" si="24"/>
        <v>0</v>
      </c>
      <c r="AD27" s="15">
        <f t="shared" ca="1" si="25"/>
        <v>-2.5499957499999998E-4</v>
      </c>
      <c r="AE27" s="15">
        <f t="shared" ca="1" si="26"/>
        <v>0</v>
      </c>
      <c r="AF27" s="15">
        <f t="shared" ca="1" si="38"/>
        <v>0</v>
      </c>
      <c r="AG27" s="15">
        <f t="shared" ca="1" si="39"/>
        <v>0</v>
      </c>
      <c r="AH27" s="15">
        <f t="shared" ca="1" si="40"/>
        <v>0</v>
      </c>
      <c r="AI27" s="15">
        <f t="shared" ca="1" si="41"/>
        <v>0</v>
      </c>
      <c r="AJ27" s="15">
        <f t="shared" ca="1" si="42"/>
        <v>0</v>
      </c>
      <c r="AK27" s="15">
        <f t="shared" ca="1" si="43"/>
        <v>0</v>
      </c>
      <c r="AL27">
        <f ca="1">IF(P27=1,LOOKUP(K27,$AZ$1:$BI$1,$AZ$37:$BI$37)-IF(O27="",0,O27),"")</f>
        <v>1</v>
      </c>
      <c r="AM27" s="10">
        <f t="shared" ca="1" si="27"/>
        <v>0.5</v>
      </c>
      <c r="AN27" s="10">
        <f ca="1">IF(AM27="","",AM27*LOOKUP(K27,$AZ$1:$BI$1,$AZ$7:$BI$7))</f>
        <v>0.75</v>
      </c>
      <c r="AO27">
        <f ca="1">IF(AN27="","",AN27*LOOKUP(K27,$AZ$1:$BI$1,$AZ$8:$BI$8))</f>
        <v>2.25</v>
      </c>
      <c r="AP27">
        <f ca="1">IF(AO27="","",AO27/LOOKUP(K27,$AZ$1:$BI$1,$AZ$42:$BI$42))</f>
        <v>0.32142857142857145</v>
      </c>
      <c r="AQ27">
        <f ca="1">IF(AO27="","",IF(LOOKUP(K27,$AZ$1:$BI$1,$AZ$37:$BI$37)=0,0.25,MAX(MIN(AP27,2.5),0.5)))</f>
        <v>0.5</v>
      </c>
      <c r="AR27">
        <f t="shared" si="28"/>
        <v>3</v>
      </c>
      <c r="AS27">
        <f t="shared" si="29"/>
        <v>1</v>
      </c>
      <c r="AT27">
        <f t="shared" si="30"/>
        <v>0</v>
      </c>
      <c r="AU27" t="str">
        <f>IF(OR(AT27="",AT27=0),"",INDEX($AY$1:$BI$5,MATCH(AT27,$AY$1:$AY$5,0),MATCH(K27,$AY$1:$BI$1,0)))</f>
        <v/>
      </c>
      <c r="AV27" t="str">
        <f t="shared" si="31"/>
        <v/>
      </c>
      <c r="AW27">
        <f t="shared" ca="1" si="32"/>
        <v>0.5</v>
      </c>
    </row>
    <row r="28" spans="2:90">
      <c r="B28" t="s">
        <v>54</v>
      </c>
      <c r="C28">
        <f ca="1">SUM(AB:AB)</f>
        <v>9.196329107142857E-5</v>
      </c>
      <c r="E28" s="4">
        <f t="shared" ca="1" si="1"/>
        <v>1E-3</v>
      </c>
      <c r="F28" s="5" t="s">
        <v>59</v>
      </c>
      <c r="G28" s="19">
        <v>3.1</v>
      </c>
      <c r="H28" s="17" t="str">
        <f t="shared" ref="H28:H34" si="52">IF(H27="","",H27)</f>
        <v/>
      </c>
      <c r="I28" s="17" t="str">
        <f t="shared" ref="I28:I34" si="53">IF(I27="","",I27)</f>
        <v/>
      </c>
      <c r="J28" s="21">
        <v>1</v>
      </c>
      <c r="K28" s="5">
        <v>3</v>
      </c>
      <c r="L28" s="24">
        <v>1E-3</v>
      </c>
      <c r="M28" s="5">
        <v>1</v>
      </c>
      <c r="N28" t="str">
        <f t="shared" si="13"/>
        <v/>
      </c>
      <c r="O28" t="str">
        <f t="shared" si="14"/>
        <v/>
      </c>
      <c r="P28">
        <f t="shared" si="15"/>
        <v>1</v>
      </c>
      <c r="Q28" s="10">
        <f t="shared" ca="1" si="46"/>
        <v>-1.25E-3</v>
      </c>
      <c r="R28" s="10">
        <f t="shared" ca="1" si="16"/>
        <v>-8.5000000000000001E-7</v>
      </c>
      <c r="S28" s="10">
        <f t="shared" ca="1" si="17"/>
        <v>0</v>
      </c>
      <c r="T28" s="10">
        <f t="shared" ca="1" si="34"/>
        <v>0</v>
      </c>
      <c r="U28" s="10">
        <f t="shared" ca="1" si="35"/>
        <v>0</v>
      </c>
      <c r="V28" s="10">
        <f t="shared" ca="1" si="36"/>
        <v>-1.5300000000000001E-4</v>
      </c>
      <c r="W28" s="10">
        <f t="shared" ca="1" si="18"/>
        <v>0</v>
      </c>
      <c r="X28" s="10">
        <f t="shared" ca="1" si="19"/>
        <v>0</v>
      </c>
      <c r="Y28" s="10">
        <f t="shared" ca="1" si="20"/>
        <v>0</v>
      </c>
      <c r="Z28" s="8">
        <f t="shared" ca="1" si="21"/>
        <v>0</v>
      </c>
      <c r="AA28" s="15">
        <f t="shared" ca="1" si="22"/>
        <v>1.5299978749999999E-4</v>
      </c>
      <c r="AB28" s="15">
        <f t="shared" ca="1" si="23"/>
        <v>-2.1250000000000002E-10</v>
      </c>
      <c r="AC28" s="15">
        <f t="shared" ca="1" si="24"/>
        <v>0</v>
      </c>
      <c r="AD28" s="15">
        <f t="shared" ca="1" si="25"/>
        <v>4.2500000000000003E-10</v>
      </c>
      <c r="AE28" s="15">
        <f t="shared" ca="1" si="26"/>
        <v>0</v>
      </c>
      <c r="AF28" s="15">
        <f t="shared" ca="1" si="38"/>
        <v>0</v>
      </c>
      <c r="AG28" s="15">
        <f t="shared" ca="1" si="39"/>
        <v>0</v>
      </c>
      <c r="AH28" s="15">
        <f t="shared" ca="1" si="40"/>
        <v>0</v>
      </c>
      <c r="AI28" s="15">
        <f t="shared" ca="1" si="41"/>
        <v>0</v>
      </c>
      <c r="AJ28" s="15">
        <f t="shared" ca="1" si="42"/>
        <v>0</v>
      </c>
      <c r="AK28" s="15">
        <f t="shared" ca="1" si="43"/>
        <v>0</v>
      </c>
      <c r="AL28">
        <f ca="1">IF(P28=1,LOOKUP(K28,$AZ$1:$BI$1,$AZ$37:$BI$37)-IF(O28="",0,O28),"")</f>
        <v>1</v>
      </c>
      <c r="AM28" s="10">
        <f t="shared" ca="1" si="27"/>
        <v>0.5</v>
      </c>
      <c r="AN28" s="10">
        <f ca="1">IF(AM28="","",AM28*LOOKUP(K28,$AZ$1:$BI$1,$AZ$7:$BI$7))</f>
        <v>0.75</v>
      </c>
      <c r="AO28">
        <f ca="1">IF(AN28="","",AN28*LOOKUP(K28,$AZ$1:$BI$1,$AZ$8:$BI$8))</f>
        <v>2.25</v>
      </c>
      <c r="AP28">
        <f ca="1">IF(AO28="","",AO28/LOOKUP(K28,$AZ$1:$BI$1,$AZ$42:$BI$42))</f>
        <v>0.32142857142857145</v>
      </c>
      <c r="AQ28">
        <f ca="1">IF(AO28="","",IF(LOOKUP(K28,$AZ$1:$BI$1,$AZ$37:$BI$37)=0,0.25,MAX(MIN(AP28,2.5),0.5)))</f>
        <v>0.5</v>
      </c>
      <c r="AR28">
        <f t="shared" si="28"/>
        <v>3</v>
      </c>
      <c r="AS28">
        <f t="shared" si="29"/>
        <v>1</v>
      </c>
      <c r="AT28">
        <f t="shared" si="30"/>
        <v>0</v>
      </c>
      <c r="AU28" t="str">
        <f>IF(OR(AT28="",AT28=0),"",INDEX($AY$1:$BI$5,MATCH(AT28,$AY$1:$AY$5,0),MATCH(K28,$AY$1:$BI$1,0)))</f>
        <v/>
      </c>
      <c r="AV28" t="str">
        <f t="shared" si="31"/>
        <v/>
      </c>
      <c r="AW28">
        <f t="shared" ca="1" si="32"/>
        <v>0.5</v>
      </c>
      <c r="AY28" t="s">
        <v>74</v>
      </c>
      <c r="AZ28" s="25">
        <v>1</v>
      </c>
      <c r="BA28" s="25">
        <v>1</v>
      </c>
      <c r="BB28" s="25">
        <v>1</v>
      </c>
      <c r="BC28" s="25">
        <v>1</v>
      </c>
      <c r="BD28" s="25"/>
      <c r="BE28" s="25"/>
      <c r="BF28" s="25"/>
      <c r="BG28" s="25"/>
      <c r="BH28" s="25"/>
      <c r="BI28" s="25"/>
    </row>
    <row r="29" spans="2:90">
      <c r="B29" t="s">
        <v>55</v>
      </c>
      <c r="C29">
        <f ca="1">SUM(AC:AC)</f>
        <v>3.5498549999999996E-5</v>
      </c>
      <c r="E29" s="4">
        <f t="shared" ca="1" si="1"/>
        <v>1E-3</v>
      </c>
      <c r="F29" s="5" t="s">
        <v>56</v>
      </c>
      <c r="G29" s="19">
        <v>3.2</v>
      </c>
      <c r="H29" s="17" t="str">
        <f t="shared" si="52"/>
        <v/>
      </c>
      <c r="I29" s="17" t="str">
        <f t="shared" si="53"/>
        <v/>
      </c>
      <c r="J29" s="21">
        <v>1</v>
      </c>
      <c r="K29" s="5">
        <v>3</v>
      </c>
      <c r="L29" s="24">
        <v>1E-3</v>
      </c>
      <c r="M29" s="5">
        <v>1</v>
      </c>
      <c r="N29" t="str">
        <f t="shared" si="13"/>
        <v/>
      </c>
      <c r="O29" t="str">
        <f t="shared" si="14"/>
        <v/>
      </c>
      <c r="P29">
        <f t="shared" si="15"/>
        <v>1</v>
      </c>
      <c r="Q29" s="10">
        <f t="shared" ca="1" si="46"/>
        <v>-1.25E-3</v>
      </c>
      <c r="R29" s="10">
        <f t="shared" ca="1" si="16"/>
        <v>-8.5000000000000001E-7</v>
      </c>
      <c r="S29" s="10">
        <f t="shared" ca="1" si="17"/>
        <v>0</v>
      </c>
      <c r="T29" s="10">
        <f t="shared" ca="1" si="34"/>
        <v>0</v>
      </c>
      <c r="U29" s="10">
        <f t="shared" ca="1" si="35"/>
        <v>0</v>
      </c>
      <c r="V29" s="10">
        <f t="shared" ca="1" si="36"/>
        <v>0</v>
      </c>
      <c r="W29" s="10">
        <f t="shared" ca="1" si="18"/>
        <v>-1.0200000000000001E-4</v>
      </c>
      <c r="X29" s="10">
        <f t="shared" ca="1" si="19"/>
        <v>0</v>
      </c>
      <c r="Y29" s="10">
        <f t="shared" ca="1" si="20"/>
        <v>0</v>
      </c>
      <c r="Z29" s="8">
        <f t="shared" ca="1" si="21"/>
        <v>0</v>
      </c>
      <c r="AA29" s="15">
        <f t="shared" ca="1" si="22"/>
        <v>0</v>
      </c>
      <c r="AB29" s="15">
        <f t="shared" ca="1" si="23"/>
        <v>1.0199978749999999E-4</v>
      </c>
      <c r="AC29" s="15">
        <f t="shared" ca="1" si="24"/>
        <v>-2.1250000000000002E-10</v>
      </c>
      <c r="AD29" s="15">
        <f t="shared" ca="1" si="25"/>
        <v>4.2500000000000003E-10</v>
      </c>
      <c r="AE29" s="15">
        <f t="shared" ca="1" si="26"/>
        <v>0</v>
      </c>
      <c r="AF29" s="15">
        <f t="shared" ca="1" si="38"/>
        <v>0</v>
      </c>
      <c r="AG29" s="15">
        <f t="shared" ca="1" si="39"/>
        <v>0</v>
      </c>
      <c r="AH29" s="15">
        <f t="shared" ca="1" si="40"/>
        <v>0</v>
      </c>
      <c r="AI29" s="15">
        <f t="shared" ca="1" si="41"/>
        <v>0</v>
      </c>
      <c r="AJ29" s="15">
        <f t="shared" ca="1" si="42"/>
        <v>0</v>
      </c>
      <c r="AK29" s="15">
        <f t="shared" ca="1" si="43"/>
        <v>0</v>
      </c>
      <c r="AL29">
        <f ca="1">IF(P29=1,LOOKUP(K29,$AZ$1:$BI$1,$AZ$37:$BI$37)-IF(O29="",0,O29),"")</f>
        <v>1</v>
      </c>
      <c r="AM29" s="10">
        <f t="shared" ca="1" si="27"/>
        <v>0.5</v>
      </c>
      <c r="AN29" s="10">
        <f ca="1">IF(AM29="","",AM29*LOOKUP(K29,$AZ$1:$BI$1,$AZ$7:$BI$7))</f>
        <v>0.75</v>
      </c>
      <c r="AO29">
        <f ca="1">IF(AN29="","",AN29*LOOKUP(K29,$AZ$1:$BI$1,$AZ$8:$BI$8))</f>
        <v>2.25</v>
      </c>
      <c r="AP29">
        <f ca="1">IF(AO29="","",AO29/LOOKUP(K29,$AZ$1:$BI$1,$AZ$42:$BI$42))</f>
        <v>0.32142857142857145</v>
      </c>
      <c r="AQ29">
        <f ca="1">IF(AO29="","",IF(LOOKUP(K29,$AZ$1:$BI$1,$AZ$37:$BI$37)=0,0.25,MAX(MIN(AP29,2.5),0.5)))</f>
        <v>0.5</v>
      </c>
      <c r="AR29">
        <f t="shared" si="28"/>
        <v>3</v>
      </c>
      <c r="AS29">
        <f t="shared" si="29"/>
        <v>1</v>
      </c>
      <c r="AT29">
        <f t="shared" si="30"/>
        <v>0</v>
      </c>
      <c r="AU29" t="str">
        <f>IF(OR(AT29="",AT29=0),"",INDEX($AY$1:$BI$5,MATCH(AT29,$AY$1:$AY$5,0),MATCH(K29,$AY$1:$BI$1,0)))</f>
        <v/>
      </c>
      <c r="AV29" t="str">
        <f t="shared" si="31"/>
        <v/>
      </c>
      <c r="AW29">
        <f t="shared" ca="1" si="32"/>
        <v>0.5</v>
      </c>
      <c r="AY29" t="s">
        <v>75</v>
      </c>
      <c r="AZ29" s="25">
        <v>1</v>
      </c>
      <c r="BA29" s="25"/>
      <c r="BB29" s="25">
        <v>1</v>
      </c>
      <c r="BC29" s="25">
        <v>1</v>
      </c>
      <c r="BD29" s="25"/>
      <c r="BE29" s="25"/>
      <c r="BF29" s="25"/>
      <c r="BG29" s="25"/>
      <c r="BH29" s="25"/>
      <c r="BI29" s="25"/>
    </row>
    <row r="30" spans="2:90">
      <c r="E30" s="4">
        <f t="shared" ca="1" si="1"/>
        <v>1E-3</v>
      </c>
      <c r="F30" s="5" t="s">
        <v>58</v>
      </c>
      <c r="G30" s="19">
        <v>3.3</v>
      </c>
      <c r="H30" s="17" t="str">
        <f t="shared" si="52"/>
        <v/>
      </c>
      <c r="I30" s="17" t="str">
        <f t="shared" si="53"/>
        <v/>
      </c>
      <c r="J30" s="21">
        <v>1</v>
      </c>
      <c r="K30" s="5">
        <v>3</v>
      </c>
      <c r="L30" s="24">
        <v>1E-3</v>
      </c>
      <c r="M30" s="5">
        <v>1</v>
      </c>
      <c r="N30" t="str">
        <f t="shared" si="13"/>
        <v/>
      </c>
      <c r="O30" t="str">
        <f t="shared" si="14"/>
        <v/>
      </c>
      <c r="P30">
        <f t="shared" si="15"/>
        <v>1</v>
      </c>
      <c r="Q30" s="10">
        <f t="shared" ca="1" si="46"/>
        <v>-1.25E-3</v>
      </c>
      <c r="R30" s="10">
        <f t="shared" ca="1" si="16"/>
        <v>-8.5000000000000001E-7</v>
      </c>
      <c r="S30" s="10">
        <f t="shared" ca="1" si="17"/>
        <v>0</v>
      </c>
      <c r="T30" s="10">
        <f t="shared" ca="1" si="34"/>
        <v>0</v>
      </c>
      <c r="U30" s="10">
        <f t="shared" ca="1" si="35"/>
        <v>0</v>
      </c>
      <c r="V30" s="10">
        <f t="shared" ca="1" si="36"/>
        <v>0</v>
      </c>
      <c r="W30" s="10">
        <f t="shared" ca="1" si="18"/>
        <v>0</v>
      </c>
      <c r="X30" s="10">
        <f t="shared" ca="1" si="19"/>
        <v>-5.1000000000000006E-5</v>
      </c>
      <c r="Y30" s="10">
        <f t="shared" ca="1" si="20"/>
        <v>0</v>
      </c>
      <c r="Z30" s="8">
        <f t="shared" ca="1" si="21"/>
        <v>0</v>
      </c>
      <c r="AA30" s="15">
        <f t="shared" ca="1" si="22"/>
        <v>0</v>
      </c>
      <c r="AB30" s="15">
        <f t="shared" ca="1" si="23"/>
        <v>0</v>
      </c>
      <c r="AC30" s="15">
        <f t="shared" ca="1" si="24"/>
        <v>5.0999574999999997E-5</v>
      </c>
      <c r="AD30" s="15">
        <f t="shared" ca="1" si="25"/>
        <v>4.2500000000000003E-10</v>
      </c>
      <c r="AE30" s="15">
        <f t="shared" ca="1" si="26"/>
        <v>0</v>
      </c>
      <c r="AF30" s="15">
        <f t="shared" ca="1" si="38"/>
        <v>0</v>
      </c>
      <c r="AG30" s="15">
        <f t="shared" ca="1" si="39"/>
        <v>0</v>
      </c>
      <c r="AH30" s="15">
        <f t="shared" ca="1" si="40"/>
        <v>0</v>
      </c>
      <c r="AI30" s="15">
        <f t="shared" ca="1" si="41"/>
        <v>0</v>
      </c>
      <c r="AJ30" s="15">
        <f t="shared" ca="1" si="42"/>
        <v>0</v>
      </c>
      <c r="AK30" s="15">
        <f t="shared" ca="1" si="43"/>
        <v>0</v>
      </c>
      <c r="AL30">
        <f ca="1">IF(P30=1,LOOKUP(K30,$AZ$1:$BI$1,$AZ$37:$BI$37)-IF(O30="",0,O30),"")</f>
        <v>1</v>
      </c>
      <c r="AM30" s="10">
        <f t="shared" ca="1" si="27"/>
        <v>0.5</v>
      </c>
      <c r="AN30" s="10">
        <f ca="1">IF(AM30="","",AM30*LOOKUP(K30,$AZ$1:$BI$1,$AZ$7:$BI$7))</f>
        <v>0.75</v>
      </c>
      <c r="AO30">
        <f ca="1">IF(AN30="","",AN30*LOOKUP(K30,$AZ$1:$BI$1,$AZ$8:$BI$8))</f>
        <v>2.25</v>
      </c>
      <c r="AP30">
        <f ca="1">IF(AO30="","",AO30/LOOKUP(K30,$AZ$1:$BI$1,$AZ$42:$BI$42))</f>
        <v>0.32142857142857145</v>
      </c>
      <c r="AQ30">
        <f ca="1">IF(AO30="","",IF(LOOKUP(K30,$AZ$1:$BI$1,$AZ$37:$BI$37)=0,0.25,MAX(MIN(AP30,2.5),0.5)))</f>
        <v>0.5</v>
      </c>
      <c r="AR30">
        <f t="shared" si="28"/>
        <v>3</v>
      </c>
      <c r="AS30">
        <f t="shared" si="29"/>
        <v>1</v>
      </c>
      <c r="AT30">
        <f t="shared" si="30"/>
        <v>0</v>
      </c>
      <c r="AU30" t="str">
        <f>IF(OR(AT30="",AT30=0),"",INDEX($AY$1:$BI$5,MATCH(AT30,$AY$1:$AY$5,0),MATCH(K30,$AY$1:$BI$1,0)))</f>
        <v/>
      </c>
      <c r="AV30" t="str">
        <f t="shared" si="31"/>
        <v/>
      </c>
      <c r="AW30">
        <f t="shared" ca="1" si="32"/>
        <v>0.5</v>
      </c>
      <c r="AY30" t="s">
        <v>76</v>
      </c>
      <c r="AZ30" s="25"/>
      <c r="BA30" s="25">
        <v>1</v>
      </c>
      <c r="BB30" s="25"/>
      <c r="BC30" s="25"/>
      <c r="BD30" s="25"/>
      <c r="BE30" s="25"/>
      <c r="BF30" s="25"/>
      <c r="BG30" s="25"/>
      <c r="BH30" s="25"/>
      <c r="BI30" s="25"/>
    </row>
    <row r="31" spans="2:90">
      <c r="B31" t="s">
        <v>61</v>
      </c>
      <c r="C31">
        <f ca="1">SUM(AD:AD)</f>
        <v>-2.2186378214285709E-4</v>
      </c>
      <c r="E31" s="4" t="str">
        <f t="shared" si="1"/>
        <v/>
      </c>
      <c r="H31" s="17"/>
      <c r="I31" s="17"/>
      <c r="L31" s="23"/>
      <c r="N31" t="str">
        <f t="shared" si="13"/>
        <v/>
      </c>
      <c r="O31" t="str">
        <f t="shared" si="14"/>
        <v/>
      </c>
      <c r="P31" t="str">
        <f t="shared" si="15"/>
        <v/>
      </c>
      <c r="Q31" s="10" t="str">
        <f t="shared" si="46"/>
        <v/>
      </c>
      <c r="R31" s="10" t="str">
        <f t="shared" si="16"/>
        <v/>
      </c>
      <c r="S31" s="10" t="str">
        <f t="shared" si="17"/>
        <v/>
      </c>
      <c r="T31" s="10" t="str">
        <f t="shared" si="34"/>
        <v/>
      </c>
      <c r="U31" s="10" t="str">
        <f t="shared" si="35"/>
        <v/>
      </c>
      <c r="V31" s="10" t="str">
        <f t="shared" si="36"/>
        <v/>
      </c>
      <c r="W31" s="10" t="str">
        <f t="shared" si="18"/>
        <v/>
      </c>
      <c r="X31" s="10" t="str">
        <f t="shared" si="19"/>
        <v/>
      </c>
      <c r="Y31" s="10" t="str">
        <f t="shared" si="20"/>
        <v/>
      </c>
      <c r="Z31" s="8" t="str">
        <f t="shared" si="21"/>
        <v/>
      </c>
      <c r="AA31" s="15" t="str">
        <f t="shared" si="22"/>
        <v/>
      </c>
      <c r="AB31" s="15" t="str">
        <f t="shared" si="23"/>
        <v/>
      </c>
      <c r="AC31" s="15" t="str">
        <f t="shared" si="24"/>
        <v/>
      </c>
      <c r="AD31" s="15" t="str">
        <f t="shared" si="25"/>
        <v/>
      </c>
      <c r="AE31" s="15" t="str">
        <f t="shared" si="26"/>
        <v/>
      </c>
      <c r="AF31" s="15" t="str">
        <f t="shared" si="38"/>
        <v/>
      </c>
      <c r="AG31" s="15" t="str">
        <f t="shared" si="39"/>
        <v/>
      </c>
      <c r="AH31" s="15" t="str">
        <f t="shared" si="40"/>
        <v/>
      </c>
      <c r="AI31" s="15" t="str">
        <f t="shared" si="41"/>
        <v/>
      </c>
      <c r="AJ31" s="15" t="str">
        <f t="shared" si="42"/>
        <v/>
      </c>
      <c r="AK31" s="15" t="str">
        <f t="shared" si="43"/>
        <v/>
      </c>
      <c r="AL31" t="str">
        <f>IF(P31=1,LOOKUP(K31,$AZ$1:$BI$1,$AZ$37:$BI$37)-IF(O31="",0,O31),"")</f>
        <v/>
      </c>
      <c r="AM31" s="10" t="str">
        <f t="shared" si="27"/>
        <v/>
      </c>
      <c r="AN31" s="10" t="str">
        <f>IF(AM31="","",AM31*LOOKUP(K31,$AZ$1:$BI$1,$AZ$7:$BI$7))</f>
        <v/>
      </c>
      <c r="AO31" t="str">
        <f>IF(AN31="","",AN31*LOOKUP(K31,$AZ$1:$BI$1,$AZ$8:$BI$8))</f>
        <v/>
      </c>
      <c r="AP31" t="str">
        <f>IF(AO31="","",AO31/LOOKUP(K31,$AZ$1:$BI$1,$AZ$42:$BI$42))</f>
        <v/>
      </c>
      <c r="AQ31" t="str">
        <f>IF(AO31="","",IF(LOOKUP(K31,$AZ$1:$BI$1,$AZ$37:$BI$37)=0,0.25,MAX(MIN(AP31,2.5),0.5)))</f>
        <v/>
      </c>
      <c r="AR31" t="str">
        <f t="shared" si="28"/>
        <v/>
      </c>
      <c r="AS31" t="str">
        <f t="shared" si="29"/>
        <v/>
      </c>
      <c r="AT31" t="str">
        <f t="shared" si="30"/>
        <v/>
      </c>
      <c r="AU31" t="str">
        <f>IF(OR(AT31="",AT31=0),"",INDEX($AY$1:$BI$5,MATCH(AT31,$AY$1:$AY$5,0),MATCH(K31,$AY$1:$BI$1,0)))</f>
        <v/>
      </c>
      <c r="AV31" t="str">
        <f t="shared" si="31"/>
        <v/>
      </c>
      <c r="AW31" t="str">
        <f t="shared" si="32"/>
        <v/>
      </c>
      <c r="AY31" t="s">
        <v>77</v>
      </c>
      <c r="AZ31" s="25">
        <v>1</v>
      </c>
      <c r="BA31" s="25">
        <v>1</v>
      </c>
      <c r="BB31" s="25">
        <v>1</v>
      </c>
      <c r="BC31" s="25"/>
      <c r="BD31" s="25"/>
      <c r="BE31" s="25"/>
      <c r="BF31" s="25"/>
      <c r="BG31" s="25"/>
      <c r="BH31" s="25"/>
      <c r="BI31" s="25"/>
    </row>
    <row r="32" spans="2:90">
      <c r="E32" s="4">
        <f t="shared" ca="1" si="1"/>
        <v>0.5</v>
      </c>
      <c r="F32" s="5" t="s">
        <v>62</v>
      </c>
      <c r="G32" s="19">
        <v>4.0999999999999996</v>
      </c>
      <c r="H32" s="17"/>
      <c r="I32" s="17"/>
      <c r="J32" s="21">
        <v>0</v>
      </c>
      <c r="K32" s="5">
        <v>3</v>
      </c>
      <c r="L32" s="23"/>
      <c r="N32" t="str">
        <f t="shared" si="13"/>
        <v/>
      </c>
      <c r="O32" t="str">
        <f t="shared" si="14"/>
        <v/>
      </c>
      <c r="P32">
        <f t="shared" si="15"/>
        <v>1</v>
      </c>
      <c r="Q32" s="10">
        <f t="shared" ca="1" si="46"/>
        <v>0</v>
      </c>
      <c r="R32" s="10">
        <f t="shared" ca="1" si="16"/>
        <v>0</v>
      </c>
      <c r="S32" s="10">
        <f t="shared" ca="1" si="17"/>
        <v>0</v>
      </c>
      <c r="T32" s="10">
        <f t="shared" ca="1" si="34"/>
        <v>0</v>
      </c>
      <c r="U32" s="10">
        <f t="shared" ca="1" si="35"/>
        <v>0</v>
      </c>
      <c r="V32" s="10">
        <f t="shared" ca="1" si="36"/>
        <v>0</v>
      </c>
      <c r="W32" s="10">
        <f t="shared" ca="1" si="18"/>
        <v>0</v>
      </c>
      <c r="X32" s="10">
        <f t="shared" ca="1" si="19"/>
        <v>0</v>
      </c>
      <c r="Y32" s="10">
        <f t="shared" ca="1" si="20"/>
        <v>0</v>
      </c>
      <c r="Z32" s="8">
        <f t="shared" ca="1" si="21"/>
        <v>0</v>
      </c>
      <c r="AA32" s="15">
        <f t="shared" ca="1" si="22"/>
        <v>0</v>
      </c>
      <c r="AB32" s="15">
        <f t="shared" ca="1" si="23"/>
        <v>0</v>
      </c>
      <c r="AC32" s="15">
        <f t="shared" ca="1" si="24"/>
        <v>0</v>
      </c>
      <c r="AD32" s="15">
        <f t="shared" ca="1" si="25"/>
        <v>0</v>
      </c>
      <c r="AE32" s="15">
        <f t="shared" ca="1" si="26"/>
        <v>0</v>
      </c>
      <c r="AF32" s="15">
        <f t="shared" ca="1" si="38"/>
        <v>0</v>
      </c>
      <c r="AG32" s="15">
        <f t="shared" ca="1" si="39"/>
        <v>0</v>
      </c>
      <c r="AH32" s="15">
        <f t="shared" ca="1" si="40"/>
        <v>0</v>
      </c>
      <c r="AI32" s="15">
        <f t="shared" ca="1" si="41"/>
        <v>0</v>
      </c>
      <c r="AJ32" s="15">
        <f t="shared" ca="1" si="42"/>
        <v>0</v>
      </c>
      <c r="AK32" s="15">
        <f t="shared" ca="1" si="43"/>
        <v>0</v>
      </c>
      <c r="AL32">
        <f ca="1">IF(P32=1,LOOKUP(K32,$AZ$1:$BI$1,$AZ$37:$BI$37)-IF(O32="",0,O32),"")</f>
        <v>1</v>
      </c>
      <c r="AM32" s="10">
        <f t="shared" ca="1" si="27"/>
        <v>0.5</v>
      </c>
      <c r="AN32" s="10">
        <f ca="1">IF(AM32="","",AM32*LOOKUP(K32,$AZ$1:$BI$1,$AZ$7:$BI$7))</f>
        <v>0.75</v>
      </c>
      <c r="AO32">
        <f ca="1">IF(AN32="","",AN32*LOOKUP(K32,$AZ$1:$BI$1,$AZ$8:$BI$8))</f>
        <v>2.25</v>
      </c>
      <c r="AP32">
        <f ca="1">IF(AO32="","",AO32/LOOKUP(K32,$AZ$1:$BI$1,$AZ$42:$BI$42))</f>
        <v>0.32142857142857145</v>
      </c>
      <c r="AQ32">
        <f ca="1">IF(AO32="","",IF(LOOKUP(K32,$AZ$1:$BI$1,$AZ$37:$BI$37)=0,0.25,MAX(MIN(AP32,2.5),0.5)))</f>
        <v>0.5</v>
      </c>
      <c r="AR32">
        <f t="shared" si="28"/>
        <v>4</v>
      </c>
      <c r="AS32">
        <f t="shared" si="29"/>
        <v>1</v>
      </c>
      <c r="AT32">
        <f t="shared" si="30"/>
        <v>0</v>
      </c>
      <c r="AU32" t="str">
        <f>IF(OR(AT32="",AT32=0),"",INDEX($AY$1:$BI$5,MATCH(AT32,$AY$1:$AY$5,0),MATCH(K32,$AY$1:$BI$1,0)))</f>
        <v/>
      </c>
      <c r="AV32" t="str">
        <f t="shared" si="31"/>
        <v/>
      </c>
      <c r="AW32">
        <f t="shared" ca="1" si="32"/>
        <v>0.5</v>
      </c>
      <c r="AY32" t="s">
        <v>78</v>
      </c>
      <c r="AZ32" s="25">
        <v>1</v>
      </c>
      <c r="BA32" s="25">
        <v>1</v>
      </c>
      <c r="BB32" s="25">
        <v>1</v>
      </c>
      <c r="BC32" s="25">
        <v>1</v>
      </c>
      <c r="BD32" s="25"/>
      <c r="BE32" s="25"/>
      <c r="BF32" s="25"/>
      <c r="BG32" s="25"/>
      <c r="BH32" s="25"/>
      <c r="BI32" s="25"/>
    </row>
    <row r="33" spans="2:61">
      <c r="B33" s="32" t="s">
        <v>122</v>
      </c>
      <c r="C33" s="32"/>
      <c r="E33" s="4">
        <f t="shared" ca="1" si="1"/>
        <v>0.5</v>
      </c>
      <c r="F33" s="5" t="s">
        <v>63</v>
      </c>
      <c r="G33" s="19">
        <v>4.2</v>
      </c>
      <c r="H33" s="17" t="str">
        <f>IF(H32="","",H32)</f>
        <v/>
      </c>
      <c r="I33" s="17" t="str">
        <f>IF(I32="","",I32)</f>
        <v/>
      </c>
      <c r="J33" s="21">
        <v>0</v>
      </c>
      <c r="K33" s="5">
        <v>3</v>
      </c>
      <c r="L33" s="23"/>
      <c r="M33" s="5">
        <v>1</v>
      </c>
      <c r="N33" t="str">
        <f t="shared" si="13"/>
        <v/>
      </c>
      <c r="O33" t="str">
        <f t="shared" si="14"/>
        <v/>
      </c>
      <c r="P33">
        <f t="shared" si="15"/>
        <v>1</v>
      </c>
      <c r="Q33" s="10">
        <f t="shared" ca="1" si="46"/>
        <v>0</v>
      </c>
      <c r="R33" s="10">
        <f t="shared" ca="1" si="16"/>
        <v>0</v>
      </c>
      <c r="S33" s="10">
        <f t="shared" ca="1" si="17"/>
        <v>0</v>
      </c>
      <c r="T33" s="10">
        <f t="shared" ca="1" si="34"/>
        <v>0</v>
      </c>
      <c r="U33" s="10">
        <f t="shared" ca="1" si="35"/>
        <v>0</v>
      </c>
      <c r="V33" s="10">
        <f t="shared" ca="1" si="36"/>
        <v>0</v>
      </c>
      <c r="W33" s="10">
        <f t="shared" ca="1" si="18"/>
        <v>0</v>
      </c>
      <c r="X33" s="10">
        <f t="shared" ca="1" si="19"/>
        <v>0</v>
      </c>
      <c r="Y33" s="10">
        <f t="shared" ca="1" si="20"/>
        <v>0</v>
      </c>
      <c r="Z33" s="8">
        <f t="shared" ca="1" si="21"/>
        <v>0</v>
      </c>
      <c r="AA33" s="15">
        <f t="shared" ca="1" si="22"/>
        <v>0</v>
      </c>
      <c r="AB33" s="15">
        <f t="shared" ca="1" si="23"/>
        <v>0</v>
      </c>
      <c r="AC33" s="15">
        <f t="shared" ca="1" si="24"/>
        <v>0</v>
      </c>
      <c r="AD33" s="15">
        <f t="shared" ca="1" si="25"/>
        <v>0</v>
      </c>
      <c r="AE33" s="15">
        <f t="shared" ca="1" si="26"/>
        <v>0</v>
      </c>
      <c r="AF33" s="15">
        <f t="shared" ca="1" si="38"/>
        <v>0</v>
      </c>
      <c r="AG33" s="15">
        <f t="shared" ca="1" si="39"/>
        <v>0</v>
      </c>
      <c r="AH33" s="15">
        <f t="shared" ca="1" si="40"/>
        <v>0</v>
      </c>
      <c r="AI33" s="15">
        <f t="shared" ca="1" si="41"/>
        <v>0</v>
      </c>
      <c r="AJ33" s="15">
        <f t="shared" ca="1" si="42"/>
        <v>0</v>
      </c>
      <c r="AK33" s="15">
        <f t="shared" ca="1" si="43"/>
        <v>0</v>
      </c>
      <c r="AL33">
        <f ca="1">IF(P33=1,LOOKUP(K33,$AZ$1:$BI$1,$AZ$37:$BI$37)-IF(O33="",0,O33),"")</f>
        <v>1</v>
      </c>
      <c r="AM33" s="10">
        <f t="shared" ca="1" si="27"/>
        <v>0.5</v>
      </c>
      <c r="AN33" s="10">
        <f ca="1">IF(AM33="","",AM33*LOOKUP(K33,$AZ$1:$BI$1,$AZ$7:$BI$7))</f>
        <v>0.75</v>
      </c>
      <c r="AO33">
        <f ca="1">IF(AN33="","",AN33*LOOKUP(K33,$AZ$1:$BI$1,$AZ$8:$BI$8))</f>
        <v>2.25</v>
      </c>
      <c r="AP33">
        <f ca="1">IF(AO33="","",AO33/LOOKUP(K33,$AZ$1:$BI$1,$AZ$42:$BI$42))</f>
        <v>0.32142857142857145</v>
      </c>
      <c r="AQ33">
        <f ca="1">IF(AO33="","",IF(LOOKUP(K33,$AZ$1:$BI$1,$AZ$37:$BI$37)=0,0.25,MAX(MIN(AP33,2.5),0.5)))</f>
        <v>0.5</v>
      </c>
      <c r="AR33">
        <f t="shared" si="28"/>
        <v>4</v>
      </c>
      <c r="AS33">
        <f t="shared" si="29"/>
        <v>1</v>
      </c>
      <c r="AT33">
        <f t="shared" si="30"/>
        <v>0</v>
      </c>
      <c r="AU33" t="str">
        <f>IF(OR(AT33="",AT33=0),"",INDEX($AY$1:$BI$5,MATCH(AT33,$AY$1:$AY$5,0),MATCH(K33,$AY$1:$BI$1,0)))</f>
        <v/>
      </c>
      <c r="AV33" t="str">
        <f t="shared" si="31"/>
        <v/>
      </c>
      <c r="AW33">
        <f t="shared" ca="1" si="32"/>
        <v>0.5</v>
      </c>
      <c r="AY33" t="s">
        <v>79</v>
      </c>
      <c r="AZ33" s="25">
        <v>1</v>
      </c>
      <c r="BA33" s="25">
        <v>1</v>
      </c>
      <c r="BB33" s="25">
        <v>1</v>
      </c>
      <c r="BC33" s="25"/>
      <c r="BD33" s="25"/>
      <c r="BE33" s="25"/>
      <c r="BF33" s="25"/>
      <c r="BG33" s="25"/>
      <c r="BH33" s="25"/>
      <c r="BI33" s="25"/>
    </row>
    <row r="34" spans="2:61">
      <c r="B34" s="31" t="s">
        <v>131</v>
      </c>
      <c r="E34" s="4">
        <f t="shared" ca="1" si="1"/>
        <v>0.5</v>
      </c>
      <c r="F34" s="5" t="s">
        <v>64</v>
      </c>
      <c r="G34" s="19">
        <v>4.3</v>
      </c>
      <c r="H34" s="17" t="str">
        <f>IF(H33="","",H33)</f>
        <v/>
      </c>
      <c r="I34" s="17" t="str">
        <f>IF(I33="","",I33)</f>
        <v/>
      </c>
      <c r="J34" s="21">
        <v>0</v>
      </c>
      <c r="K34" s="5">
        <v>3</v>
      </c>
      <c r="L34" s="23"/>
      <c r="M34" s="5">
        <v>1</v>
      </c>
      <c r="N34" t="str">
        <f t="shared" si="13"/>
        <v/>
      </c>
      <c r="O34" t="str">
        <f t="shared" si="14"/>
        <v/>
      </c>
      <c r="P34">
        <f t="shared" si="15"/>
        <v>1</v>
      </c>
      <c r="Q34" s="10">
        <f t="shared" ca="1" si="46"/>
        <v>0</v>
      </c>
      <c r="R34" s="10">
        <f t="shared" ca="1" si="16"/>
        <v>0</v>
      </c>
      <c r="S34" s="10">
        <f t="shared" ca="1" si="17"/>
        <v>0</v>
      </c>
      <c r="T34" s="10">
        <f t="shared" ca="1" si="34"/>
        <v>0</v>
      </c>
      <c r="U34" s="10">
        <f t="shared" ca="1" si="35"/>
        <v>0</v>
      </c>
      <c r="V34" s="10">
        <f t="shared" ca="1" si="36"/>
        <v>0</v>
      </c>
      <c r="W34" s="10">
        <f t="shared" ca="1" si="18"/>
        <v>0</v>
      </c>
      <c r="X34" s="10">
        <f t="shared" ca="1" si="19"/>
        <v>0</v>
      </c>
      <c r="Y34" s="10">
        <f t="shared" ca="1" si="20"/>
        <v>0</v>
      </c>
      <c r="Z34" s="8">
        <f t="shared" ca="1" si="21"/>
        <v>0</v>
      </c>
      <c r="AA34" s="15">
        <f t="shared" ca="1" si="22"/>
        <v>0</v>
      </c>
      <c r="AB34" s="15">
        <f t="shared" ca="1" si="23"/>
        <v>0</v>
      </c>
      <c r="AC34" s="15">
        <f t="shared" ca="1" si="24"/>
        <v>0</v>
      </c>
      <c r="AD34" s="15">
        <f t="shared" ca="1" si="25"/>
        <v>0</v>
      </c>
      <c r="AE34" s="15">
        <f t="shared" ca="1" si="26"/>
        <v>0</v>
      </c>
      <c r="AF34" s="15">
        <f t="shared" ca="1" si="38"/>
        <v>0</v>
      </c>
      <c r="AG34" s="15">
        <f t="shared" ca="1" si="39"/>
        <v>0</v>
      </c>
      <c r="AH34" s="15">
        <f t="shared" ca="1" si="40"/>
        <v>0</v>
      </c>
      <c r="AI34" s="15">
        <f t="shared" ca="1" si="41"/>
        <v>0</v>
      </c>
      <c r="AJ34" s="15">
        <f t="shared" ca="1" si="42"/>
        <v>0</v>
      </c>
      <c r="AK34" s="15">
        <f t="shared" ca="1" si="43"/>
        <v>0</v>
      </c>
      <c r="AL34">
        <f ca="1">IF(P34=1,LOOKUP(K34,$AZ$1:$BI$1,$AZ$37:$BI$37)-IF(O34="",0,O34),"")</f>
        <v>1</v>
      </c>
      <c r="AM34" s="10">
        <f t="shared" ca="1" si="27"/>
        <v>0.5</v>
      </c>
      <c r="AN34" s="10">
        <f ca="1">IF(AM34="","",AM34*LOOKUP(K34,$AZ$1:$BI$1,$AZ$7:$BI$7))</f>
        <v>0.75</v>
      </c>
      <c r="AO34">
        <f ca="1">IF(AN34="","",AN34*LOOKUP(K34,$AZ$1:$BI$1,$AZ$8:$BI$8))</f>
        <v>2.25</v>
      </c>
      <c r="AP34">
        <f ca="1">IF(AO34="","",AO34/LOOKUP(K34,$AZ$1:$BI$1,$AZ$42:$BI$42))</f>
        <v>0.32142857142857145</v>
      </c>
      <c r="AQ34">
        <f ca="1">IF(AO34="","",IF(LOOKUP(K34,$AZ$1:$BI$1,$AZ$37:$BI$37)=0,0.25,MAX(MIN(AP34,2.5),0.5)))</f>
        <v>0.5</v>
      </c>
      <c r="AR34">
        <f t="shared" si="28"/>
        <v>4</v>
      </c>
      <c r="AS34">
        <f t="shared" si="29"/>
        <v>1</v>
      </c>
      <c r="AT34">
        <f t="shared" si="30"/>
        <v>0</v>
      </c>
      <c r="AU34" t="str">
        <f>IF(OR(AT34="",AT34=0),"",INDEX($AY$1:$BI$5,MATCH(AT34,$AY$1:$AY$5,0),MATCH(K34,$AY$1:$BI$1,0)))</f>
        <v/>
      </c>
      <c r="AV34" t="str">
        <f t="shared" si="31"/>
        <v/>
      </c>
      <c r="AW34">
        <f t="shared" ca="1" si="32"/>
        <v>0.5</v>
      </c>
      <c r="AY34" t="s">
        <v>80</v>
      </c>
      <c r="AZ34" s="25">
        <v>1</v>
      </c>
      <c r="BA34" s="25">
        <v>1</v>
      </c>
      <c r="BB34" s="25">
        <v>1</v>
      </c>
      <c r="BC34" s="25"/>
      <c r="BD34" s="25"/>
      <c r="BE34" s="25"/>
      <c r="BF34" s="25"/>
      <c r="BG34" s="25"/>
      <c r="BH34" s="25"/>
      <c r="BI34" s="25"/>
    </row>
    <row r="35" spans="2:61">
      <c r="E35" s="4" t="str">
        <f t="shared" si="1"/>
        <v/>
      </c>
      <c r="H35" s="17"/>
      <c r="I35" s="17"/>
      <c r="L35" s="23"/>
      <c r="N35" t="str">
        <f t="shared" si="13"/>
        <v/>
      </c>
      <c r="O35" t="str">
        <f t="shared" si="14"/>
        <v/>
      </c>
      <c r="P35" t="str">
        <f t="shared" si="15"/>
        <v/>
      </c>
      <c r="Q35" s="10" t="str">
        <f t="shared" si="46"/>
        <v/>
      </c>
      <c r="R35" s="10" t="str">
        <f t="shared" si="16"/>
        <v/>
      </c>
      <c r="S35" s="10" t="str">
        <f t="shared" si="17"/>
        <v/>
      </c>
      <c r="T35" s="10" t="str">
        <f t="shared" si="34"/>
        <v/>
      </c>
      <c r="U35" s="10" t="str">
        <f t="shared" si="35"/>
        <v/>
      </c>
      <c r="V35" s="10" t="str">
        <f t="shared" si="36"/>
        <v/>
      </c>
      <c r="W35" s="10" t="str">
        <f t="shared" si="18"/>
        <v/>
      </c>
      <c r="X35" s="10" t="str">
        <f t="shared" si="19"/>
        <v/>
      </c>
      <c r="Y35" s="10" t="str">
        <f t="shared" si="20"/>
        <v/>
      </c>
      <c r="Z35" s="8" t="str">
        <f t="shared" si="21"/>
        <v/>
      </c>
      <c r="AA35" s="15" t="str">
        <f t="shared" si="22"/>
        <v/>
      </c>
      <c r="AB35" s="15" t="str">
        <f t="shared" si="23"/>
        <v/>
      </c>
      <c r="AC35" s="15" t="str">
        <f t="shared" si="24"/>
        <v/>
      </c>
      <c r="AD35" s="15" t="str">
        <f t="shared" si="25"/>
        <v/>
      </c>
      <c r="AE35" s="15" t="str">
        <f t="shared" si="26"/>
        <v/>
      </c>
      <c r="AF35" s="15" t="str">
        <f t="shared" si="38"/>
        <v/>
      </c>
      <c r="AG35" s="15" t="str">
        <f t="shared" si="39"/>
        <v/>
      </c>
      <c r="AH35" s="15" t="str">
        <f t="shared" si="40"/>
        <v/>
      </c>
      <c r="AI35" s="15" t="str">
        <f t="shared" si="41"/>
        <v/>
      </c>
      <c r="AJ35" s="15" t="str">
        <f t="shared" si="42"/>
        <v/>
      </c>
      <c r="AK35" s="15" t="str">
        <f t="shared" si="43"/>
        <v/>
      </c>
      <c r="AL35" t="str">
        <f>IF(P35=1,LOOKUP(K35,$AZ$1:$BI$1,$AZ$37:$BI$37)-IF(O35="",0,O35),"")</f>
        <v/>
      </c>
      <c r="AM35" s="10" t="str">
        <f t="shared" si="27"/>
        <v/>
      </c>
      <c r="AN35" s="10" t="str">
        <f>IF(AM35="","",AM35*LOOKUP(K35,$AZ$1:$BI$1,$AZ$7:$BI$7))</f>
        <v/>
      </c>
      <c r="AO35" t="str">
        <f>IF(AN35="","",AN35*LOOKUP(K35,$AZ$1:$BI$1,$AZ$8:$BI$8))</f>
        <v/>
      </c>
      <c r="AP35" t="str">
        <f>IF(AO35="","",AO35/LOOKUP(K35,$AZ$1:$BI$1,$AZ$42:$BI$42))</f>
        <v/>
      </c>
      <c r="AQ35" t="str">
        <f>IF(AO35="","",IF(LOOKUP(K35,$AZ$1:$BI$1,$AZ$37:$BI$37)=0,0.25,MAX(MIN(AP35,2.5),0.5)))</f>
        <v/>
      </c>
      <c r="AR35" t="str">
        <f t="shared" si="28"/>
        <v/>
      </c>
      <c r="AS35" t="str">
        <f t="shared" si="29"/>
        <v/>
      </c>
      <c r="AT35" t="str">
        <f t="shared" si="30"/>
        <v/>
      </c>
      <c r="AU35" t="str">
        <f>IF(OR(AT35="",AT35=0),"",INDEX($AY$1:$BI$5,MATCH(AT35,$AY$1:$AY$5,0),MATCH(K35,$AY$1:$BI$1,0)))</f>
        <v/>
      </c>
      <c r="AV35" t="str">
        <f t="shared" si="31"/>
        <v/>
      </c>
      <c r="AW35" t="str">
        <f t="shared" si="32"/>
        <v/>
      </c>
    </row>
    <row r="36" spans="2:61">
      <c r="B36" t="s">
        <v>65</v>
      </c>
      <c r="C36" s="25">
        <v>415</v>
      </c>
      <c r="E36" s="4" t="str">
        <f t="shared" si="1"/>
        <v/>
      </c>
      <c r="H36" s="17"/>
      <c r="I36" s="17"/>
      <c r="L36" s="23"/>
      <c r="N36" t="str">
        <f t="shared" si="13"/>
        <v/>
      </c>
      <c r="O36" t="str">
        <f t="shared" si="14"/>
        <v/>
      </c>
      <c r="P36" t="str">
        <f t="shared" si="15"/>
        <v/>
      </c>
      <c r="Q36" s="10" t="str">
        <f t="shared" si="46"/>
        <v/>
      </c>
      <c r="R36" s="10" t="str">
        <f t="shared" si="16"/>
        <v/>
      </c>
      <c r="S36" s="10" t="str">
        <f t="shared" si="17"/>
        <v/>
      </c>
      <c r="T36" s="10" t="str">
        <f t="shared" si="34"/>
        <v/>
      </c>
      <c r="U36" s="10" t="str">
        <f t="shared" si="35"/>
        <v/>
      </c>
      <c r="V36" s="10" t="str">
        <f t="shared" si="36"/>
        <v/>
      </c>
      <c r="W36" s="10" t="str">
        <f t="shared" si="18"/>
        <v/>
      </c>
      <c r="X36" s="10" t="str">
        <f t="shared" si="19"/>
        <v/>
      </c>
      <c r="Y36" s="10" t="str">
        <f t="shared" si="20"/>
        <v/>
      </c>
      <c r="Z36" s="8" t="str">
        <f t="shared" si="21"/>
        <v/>
      </c>
      <c r="AA36" s="15" t="str">
        <f t="shared" si="22"/>
        <v/>
      </c>
      <c r="AB36" s="15" t="str">
        <f t="shared" si="23"/>
        <v/>
      </c>
      <c r="AC36" s="15" t="str">
        <f t="shared" si="24"/>
        <v/>
      </c>
      <c r="AD36" s="15" t="str">
        <f t="shared" si="25"/>
        <v/>
      </c>
      <c r="AE36" s="15" t="str">
        <f t="shared" si="26"/>
        <v/>
      </c>
      <c r="AF36" s="15" t="str">
        <f t="shared" si="38"/>
        <v/>
      </c>
      <c r="AG36" s="15" t="str">
        <f t="shared" si="39"/>
        <v/>
      </c>
      <c r="AH36" s="15" t="str">
        <f t="shared" si="40"/>
        <v/>
      </c>
      <c r="AI36" s="15" t="str">
        <f t="shared" si="41"/>
        <v/>
      </c>
      <c r="AJ36" s="15" t="str">
        <f t="shared" si="42"/>
        <v/>
      </c>
      <c r="AK36" s="15" t="str">
        <f t="shared" si="43"/>
        <v/>
      </c>
      <c r="AL36" t="str">
        <f>IF(P36=1,LOOKUP(K36,$AZ$1:$BI$1,$AZ$37:$BI$37)-IF(O36="",0,O36),"")</f>
        <v/>
      </c>
      <c r="AM36" s="10" t="str">
        <f t="shared" si="27"/>
        <v/>
      </c>
      <c r="AN36" s="10" t="str">
        <f>IF(AM36="","",AM36*LOOKUP(K36,$AZ$1:$BI$1,$AZ$7:$BI$7))</f>
        <v/>
      </c>
      <c r="AO36" t="str">
        <f>IF(AN36="","",AN36*LOOKUP(K36,$AZ$1:$BI$1,$AZ$8:$BI$8))</f>
        <v/>
      </c>
      <c r="AP36" t="str">
        <f>IF(AO36="","",AO36/LOOKUP(K36,$AZ$1:$BI$1,$AZ$42:$BI$42))</f>
        <v/>
      </c>
      <c r="AQ36" t="str">
        <f>IF(AO36="","",IF(LOOKUP(K36,$AZ$1:$BI$1,$AZ$37:$BI$37)=0,0.25,MAX(MIN(AP36,2.5),0.5)))</f>
        <v/>
      </c>
      <c r="AR36" t="str">
        <f t="shared" si="28"/>
        <v/>
      </c>
      <c r="AS36" t="str">
        <f t="shared" si="29"/>
        <v/>
      </c>
      <c r="AT36" t="str">
        <f t="shared" si="30"/>
        <v/>
      </c>
      <c r="AU36" t="str">
        <f>IF(OR(AT36="",AT36=0),"",INDEX($AY$1:$BI$5,MATCH(AT36,$AY$1:$AY$5,0),MATCH(K36,$AY$1:$BI$1,0)))</f>
        <v/>
      </c>
      <c r="AV36" t="str">
        <f t="shared" si="31"/>
        <v/>
      </c>
      <c r="AW36" t="str">
        <f t="shared" si="32"/>
        <v/>
      </c>
      <c r="AY36" t="s">
        <v>19</v>
      </c>
      <c r="AZ36">
        <f>SIGN(SUMIF($K:$K,AZ1,$K:$K))</f>
        <v>1</v>
      </c>
      <c r="BA36">
        <f ca="1">SIGN(SUMIF($K:$K,BA1,$K:$K))</f>
        <v>1</v>
      </c>
      <c r="BB36">
        <f ca="1">SIGN(SUMIF($K:$K,BB1,$K:$K))</f>
        <v>1</v>
      </c>
      <c r="BC36">
        <f ca="1">SIGN(SUMIF($K:$K,BC1,$K:$K))</f>
        <v>1</v>
      </c>
      <c r="BD36">
        <f ca="1">SIGN(SUMIF($K:$K,BD1,$K:$K))</f>
        <v>0</v>
      </c>
      <c r="BE36">
        <f ca="1">SIGN(SUMIF($K:$K,BE1,$K:$K))</f>
        <v>0</v>
      </c>
      <c r="BF36">
        <f ca="1">SIGN(SUMIF($K:$K,BF1,$K:$K))</f>
        <v>0</v>
      </c>
      <c r="BG36">
        <f ca="1">SIGN(SUMIF($K:$K,BG1,$K:$K))</f>
        <v>0</v>
      </c>
      <c r="BH36">
        <f ca="1">SIGN(SUMIF($K:$K,BH1,$K:$K))</f>
        <v>0</v>
      </c>
      <c r="BI36">
        <f ca="1">SIGN(SUMIF($K:$K,BI1,$K:$K))</f>
        <v>0</v>
      </c>
    </row>
    <row r="37" spans="2:61">
      <c r="E37" s="4" t="str">
        <f t="shared" si="1"/>
        <v/>
      </c>
      <c r="H37" s="17"/>
      <c r="I37" s="17"/>
      <c r="L37" s="23"/>
      <c r="N37" t="str">
        <f t="shared" si="13"/>
        <v/>
      </c>
      <c r="O37" t="str">
        <f t="shared" si="14"/>
        <v/>
      </c>
      <c r="P37" t="str">
        <f t="shared" si="15"/>
        <v/>
      </c>
      <c r="Q37" s="10" t="str">
        <f t="shared" si="46"/>
        <v/>
      </c>
      <c r="R37" s="10" t="str">
        <f t="shared" si="16"/>
        <v/>
      </c>
      <c r="S37" s="10" t="str">
        <f t="shared" si="17"/>
        <v/>
      </c>
      <c r="T37" s="10" t="str">
        <f t="shared" si="34"/>
        <v/>
      </c>
      <c r="U37" s="10" t="str">
        <f t="shared" si="35"/>
        <v/>
      </c>
      <c r="V37" s="10" t="str">
        <f t="shared" si="36"/>
        <v/>
      </c>
      <c r="W37" s="10" t="str">
        <f t="shared" si="18"/>
        <v/>
      </c>
      <c r="X37" s="10" t="str">
        <f t="shared" si="19"/>
        <v/>
      </c>
      <c r="Y37" s="10" t="str">
        <f t="shared" si="20"/>
        <v/>
      </c>
      <c r="Z37" s="8" t="str">
        <f t="shared" si="21"/>
        <v/>
      </c>
      <c r="AA37" s="15" t="str">
        <f t="shared" si="22"/>
        <v/>
      </c>
      <c r="AB37" s="15" t="str">
        <f t="shared" si="23"/>
        <v/>
      </c>
      <c r="AC37" s="15" t="str">
        <f t="shared" si="24"/>
        <v/>
      </c>
      <c r="AD37" s="15" t="str">
        <f t="shared" si="25"/>
        <v/>
      </c>
      <c r="AE37" s="15" t="str">
        <f t="shared" si="26"/>
        <v/>
      </c>
      <c r="AF37" s="15" t="str">
        <f t="shared" si="38"/>
        <v/>
      </c>
      <c r="AG37" s="15" t="str">
        <f t="shared" si="39"/>
        <v/>
      </c>
      <c r="AH37" s="15" t="str">
        <f t="shared" si="40"/>
        <v/>
      </c>
      <c r="AI37" s="15" t="str">
        <f t="shared" si="41"/>
        <v/>
      </c>
      <c r="AJ37" s="15" t="str">
        <f t="shared" si="42"/>
        <v/>
      </c>
      <c r="AK37" s="15" t="str">
        <f t="shared" si="43"/>
        <v/>
      </c>
      <c r="AL37" t="str">
        <f>IF(P37=1,LOOKUP(K37,$AZ$1:$BI$1,$AZ$37:$BI$37)-IF(O37="",0,O37),"")</f>
        <v/>
      </c>
      <c r="AM37" s="10" t="str">
        <f t="shared" si="27"/>
        <v/>
      </c>
      <c r="AN37" s="10" t="str">
        <f>IF(AM37="","",AM37*LOOKUP(K37,$AZ$1:$BI$1,$AZ$7:$BI$7))</f>
        <v/>
      </c>
      <c r="AO37" t="str">
        <f>IF(AN37="","",AN37*LOOKUP(K37,$AZ$1:$BI$1,$AZ$8:$BI$8))</f>
        <v/>
      </c>
      <c r="AP37" t="str">
        <f>IF(AO37="","",AO37/LOOKUP(K37,$AZ$1:$BI$1,$AZ$42:$BI$42))</f>
        <v/>
      </c>
      <c r="AQ37" t="str">
        <f>IF(AO37="","",IF(LOOKUP(K37,$AZ$1:$BI$1,$AZ$37:$BI$37)=0,0.25,MAX(MIN(AP37,2.5),0.5)))</f>
        <v/>
      </c>
      <c r="AR37" t="str">
        <f t="shared" si="28"/>
        <v/>
      </c>
      <c r="AS37" t="str">
        <f t="shared" si="29"/>
        <v/>
      </c>
      <c r="AT37" t="str">
        <f t="shared" si="30"/>
        <v/>
      </c>
      <c r="AU37" t="str">
        <f>IF(OR(AT37="",AT37=0),"",INDEX($AY$1:$BI$5,MATCH(AT37,$AY$1:$AY$5,0),MATCH(K37,$AY$1:$BI$1,0)))</f>
        <v/>
      </c>
      <c r="AV37" t="str">
        <f t="shared" si="31"/>
        <v/>
      </c>
      <c r="AW37" t="str">
        <f t="shared" si="32"/>
        <v/>
      </c>
      <c r="AY37" t="s">
        <v>15</v>
      </c>
      <c r="AZ37">
        <f>SUMIFS($O:$O,$K:$K,AZ1,$M:$M,"")</f>
        <v>5</v>
      </c>
      <c r="BA37">
        <f ca="1">SUMIFS($O:$O,$K:$K,BA1,$M:$M,"")</f>
        <v>7</v>
      </c>
      <c r="BB37">
        <f ca="1">SUMIFS($O:$O,$K:$K,BB1,$M:$M,"")</f>
        <v>1</v>
      </c>
      <c r="BC37">
        <f ca="1">SUMIFS($O:$O,$K:$K,BC1,$M:$M,"")</f>
        <v>3</v>
      </c>
      <c r="BD37">
        <f ca="1">SUMIFS($O:$O,$K:$K,BD1,$M:$M,"")</f>
        <v>0</v>
      </c>
      <c r="BE37">
        <f ca="1">SUMIFS($O:$O,$K:$K,BE1,$M:$M,"")</f>
        <v>0</v>
      </c>
      <c r="BF37">
        <f ca="1">SUMIFS($O:$O,$K:$K,BF1,$M:$M,"")</f>
        <v>0</v>
      </c>
      <c r="BG37">
        <f ca="1">SUMIFS($O:$O,$K:$K,BG1,$M:$M,"")</f>
        <v>0</v>
      </c>
      <c r="BH37">
        <f ca="1">SUMIFS($O:$O,$K:$K,BH1,$M:$M,"")</f>
        <v>0</v>
      </c>
      <c r="BI37">
        <f ca="1">SUMIFS($O:$O,$K:$K,BI1,$M:$M,"")</f>
        <v>0</v>
      </c>
    </row>
    <row r="38" spans="2:61">
      <c r="B38" t="s">
        <v>123</v>
      </c>
      <c r="C38" s="22" t="str">
        <f ca="1">CONCATENATE(ROUNDDOWN(C50/(60*60*6),0),"d:",ROUNDDOWN(MOD(C50,60*60*6)/3600,0),"h:",ROUNDDOWN(MOD(C50,3600)/60,0),"m:",ROUNDDOWN(MOD(C50,60),0),"s")</f>
        <v>0d:4h:0m:44s</v>
      </c>
      <c r="E38" s="4" t="str">
        <f t="shared" si="1"/>
        <v/>
      </c>
      <c r="H38" s="17"/>
      <c r="I38" s="17"/>
      <c r="L38" s="23"/>
      <c r="N38" t="str">
        <f t="shared" si="13"/>
        <v/>
      </c>
      <c r="O38" t="str">
        <f t="shared" si="14"/>
        <v/>
      </c>
      <c r="P38" t="str">
        <f t="shared" si="15"/>
        <v/>
      </c>
      <c r="Q38" s="10" t="str">
        <f t="shared" si="46"/>
        <v/>
      </c>
      <c r="R38" s="10" t="str">
        <f t="shared" si="16"/>
        <v/>
      </c>
      <c r="S38" s="10" t="str">
        <f t="shared" si="17"/>
        <v/>
      </c>
      <c r="T38" s="10" t="str">
        <f t="shared" si="34"/>
        <v/>
      </c>
      <c r="U38" s="10" t="str">
        <f t="shared" si="35"/>
        <v/>
      </c>
      <c r="V38" s="10" t="str">
        <f t="shared" si="36"/>
        <v/>
      </c>
      <c r="W38" s="10" t="str">
        <f t="shared" si="18"/>
        <v/>
      </c>
      <c r="X38" s="10" t="str">
        <f t="shared" si="19"/>
        <v/>
      </c>
      <c r="Y38" s="10" t="str">
        <f t="shared" si="20"/>
        <v/>
      </c>
      <c r="Z38" s="8" t="str">
        <f t="shared" si="21"/>
        <v/>
      </c>
      <c r="AA38" s="15" t="str">
        <f t="shared" si="22"/>
        <v/>
      </c>
      <c r="AB38" s="15" t="str">
        <f t="shared" si="23"/>
        <v/>
      </c>
      <c r="AC38" s="15" t="str">
        <f t="shared" si="24"/>
        <v/>
      </c>
      <c r="AD38" s="15" t="str">
        <f t="shared" si="25"/>
        <v/>
      </c>
      <c r="AE38" s="15" t="str">
        <f t="shared" si="26"/>
        <v/>
      </c>
      <c r="AF38" s="15" t="str">
        <f t="shared" si="38"/>
        <v/>
      </c>
      <c r="AG38" s="15" t="str">
        <f t="shared" si="39"/>
        <v/>
      </c>
      <c r="AH38" s="15" t="str">
        <f t="shared" si="40"/>
        <v/>
      </c>
      <c r="AI38" s="15" t="str">
        <f t="shared" si="41"/>
        <v/>
      </c>
      <c r="AJ38" s="15" t="str">
        <f t="shared" si="42"/>
        <v/>
      </c>
      <c r="AK38" s="15" t="str">
        <f t="shared" si="43"/>
        <v/>
      </c>
      <c r="AL38" t="str">
        <f>IF(P38=1,LOOKUP(K38,$AZ$1:$BI$1,$AZ$37:$BI$37)-IF(O38="",0,O38),"")</f>
        <v/>
      </c>
      <c r="AM38" s="10" t="str">
        <f t="shared" si="27"/>
        <v/>
      </c>
      <c r="AN38" s="10" t="str">
        <f>IF(AM38="","",AM38*LOOKUP(K38,$AZ$1:$BI$1,$AZ$7:$BI$7))</f>
        <v/>
      </c>
      <c r="AO38" t="str">
        <f>IF(AN38="","",AN38*LOOKUP(K38,$AZ$1:$BI$1,$AZ$8:$BI$8))</f>
        <v/>
      </c>
      <c r="AP38" t="str">
        <f>IF(AO38="","",AO38/LOOKUP(K38,$AZ$1:$BI$1,$AZ$42:$BI$42))</f>
        <v/>
      </c>
      <c r="AQ38" t="str">
        <f>IF(AO38="","",IF(LOOKUP(K38,$AZ$1:$BI$1,$AZ$37:$BI$37)=0,0.25,MAX(MIN(AP38,2.5),0.5)))</f>
        <v/>
      </c>
      <c r="AR38" t="str">
        <f t="shared" si="28"/>
        <v/>
      </c>
      <c r="AS38" t="str">
        <f t="shared" si="29"/>
        <v/>
      </c>
      <c r="AT38" t="str">
        <f t="shared" si="30"/>
        <v/>
      </c>
      <c r="AU38" t="str">
        <f>IF(OR(AT38="",AT38=0),"",INDEX($AY$1:$BI$5,MATCH(AT38,$AY$1:$AY$5,0),MATCH(K38,$AY$1:$BI$1,0)))</f>
        <v/>
      </c>
      <c r="AV38" t="str">
        <f t="shared" si="31"/>
        <v/>
      </c>
      <c r="AW38" t="str">
        <f t="shared" si="32"/>
        <v/>
      </c>
      <c r="AY38" t="s">
        <v>12</v>
      </c>
      <c r="AZ38">
        <f>2*AZ5+SUMIFS($P:$P,$K:$K,AZ1,$M:$M,"")</f>
        <v>16</v>
      </c>
      <c r="BA38">
        <f ca="1">2*BA5+SUMIFS($P:$P,$K:$K,BA1,$M:$M,"")</f>
        <v>20</v>
      </c>
      <c r="BB38">
        <f ca="1">2*BB5+SUMIFS($P:$P,$K:$K,BB1,$M:$M,"")</f>
        <v>10</v>
      </c>
      <c r="BC38">
        <f ca="1">2*BC5+SUMIFS($P:$P,$K:$K,BC1,$M:$M,"")</f>
        <v>3</v>
      </c>
      <c r="BD38">
        <f ca="1">2*BD5+SUMIFS($P:$P,$K:$K,BD1,$M:$M,"")</f>
        <v>0</v>
      </c>
      <c r="BE38">
        <f ca="1">2*BE5+SUMIFS($P:$P,$K:$K,BE1,$M:$M,"")</f>
        <v>0</v>
      </c>
      <c r="BF38">
        <f ca="1">2*BF5+SUMIFS($P:$P,$K:$K,BF1,$M:$M,"")</f>
        <v>0</v>
      </c>
      <c r="BG38">
        <f ca="1">2*BG5+SUMIFS($P:$P,$K:$K,BG1,$M:$M,"")</f>
        <v>0</v>
      </c>
      <c r="BH38">
        <f ca="1">2*BH5+SUMIFS($P:$P,$K:$K,BH1,$M:$M,"")</f>
        <v>0</v>
      </c>
      <c r="BI38">
        <f ca="1">2*BI5+SUMIFS($P:$P,$K:$K,BI1,$M:$M,"")</f>
        <v>0</v>
      </c>
    </row>
    <row r="39" spans="2:61">
      <c r="B39" t="s">
        <v>124</v>
      </c>
      <c r="C39" s="22" t="str">
        <f ca="1">CONCATENATE(ROUNDDOWN(C51/(60*60*6),0),"d:",ROUNDDOWN(MOD(C51,60*60*6)/3600,0),"h:",ROUNDDOWN(MOD(C51,3600)/60,0),"m:",ROUNDDOWN(MOD(C51,60),0),"s")</f>
        <v>0d:5h:1m:22s</v>
      </c>
      <c r="E39" s="4">
        <f t="shared" ca="1" si="1"/>
        <v>1.2599999999999998</v>
      </c>
      <c r="F39" s="5" t="s">
        <v>32</v>
      </c>
      <c r="G39" s="19">
        <v>0</v>
      </c>
      <c r="H39" s="17">
        <v>0.2</v>
      </c>
      <c r="I39" s="17"/>
      <c r="J39" s="21">
        <v>1</v>
      </c>
      <c r="K39" s="5">
        <v>4</v>
      </c>
      <c r="L39" s="23"/>
      <c r="N39">
        <f t="shared" si="13"/>
        <v>1.8</v>
      </c>
      <c r="O39">
        <f t="shared" si="14"/>
        <v>1</v>
      </c>
      <c r="P39">
        <f t="shared" si="15"/>
        <v>1</v>
      </c>
      <c r="Q39" s="10">
        <f t="shared" ca="1" si="46"/>
        <v>-1.6166666666666665</v>
      </c>
      <c r="R39" s="10">
        <f t="shared" ca="1" si="16"/>
        <v>2.6774999999999997E-2</v>
      </c>
      <c r="S39" s="10">
        <f t="shared" ca="1" si="17"/>
        <v>0</v>
      </c>
      <c r="T39" s="10">
        <f t="shared" ca="1" si="34"/>
        <v>0</v>
      </c>
      <c r="U39" s="10">
        <f t="shared" ca="1" si="35"/>
        <v>0</v>
      </c>
      <c r="V39" s="10">
        <f t="shared" ca="1" si="36"/>
        <v>0</v>
      </c>
      <c r="W39" s="10">
        <f t="shared" ca="1" si="18"/>
        <v>0</v>
      </c>
      <c r="X39" s="10">
        <f t="shared" ca="1" si="19"/>
        <v>0</v>
      </c>
      <c r="Y39" s="10">
        <f t="shared" ca="1" si="20"/>
        <v>0</v>
      </c>
      <c r="Z39" s="8">
        <f t="shared" ca="1" si="21"/>
        <v>0</v>
      </c>
      <c r="AA39" s="15">
        <f t="shared" ca="1" si="22"/>
        <v>0</v>
      </c>
      <c r="AB39" s="15">
        <f t="shared" ca="1" si="23"/>
        <v>0</v>
      </c>
      <c r="AC39" s="15">
        <f t="shared" ca="1" si="24"/>
        <v>-5.3549999999999989E-7</v>
      </c>
      <c r="AD39" s="15">
        <f t="shared" ca="1" si="25"/>
        <v>5.3549999999999989E-7</v>
      </c>
      <c r="AE39" s="15">
        <f t="shared" ca="1" si="26"/>
        <v>0</v>
      </c>
      <c r="AF39" s="15">
        <f t="shared" ca="1" si="38"/>
        <v>-1.0817575525E-5</v>
      </c>
      <c r="AG39" s="15">
        <f t="shared" ca="1" si="39"/>
        <v>-3.5215918463259999E-3</v>
      </c>
      <c r="AH39" s="15">
        <f t="shared" ca="1" si="40"/>
        <v>-2.0807576966E-5</v>
      </c>
      <c r="AI39" s="15">
        <f t="shared" ca="1" si="41"/>
        <v>3.0298531298469998E-3</v>
      </c>
      <c r="AJ39" s="15">
        <f t="shared" ca="1" si="42"/>
        <v>7.8028413620000008E-6</v>
      </c>
      <c r="AK39" s="15">
        <f t="shared" ca="1" si="43"/>
        <v>2.2876512175999999E-5</v>
      </c>
      <c r="AL39">
        <f ca="1">IF(P39=1,LOOKUP(K39,$AZ$1:$BI$1,$AZ$37:$BI$37)-IF(O39="",0,O39),"")</f>
        <v>2</v>
      </c>
      <c r="AM39" s="10">
        <f t="shared" ca="1" si="27"/>
        <v>2.8</v>
      </c>
      <c r="AN39" s="10">
        <f ca="1">IF(AM39="","",AM39*LOOKUP(K39,$AZ$1:$BI$1,$AZ$7:$BI$7))</f>
        <v>4.1999999999999993</v>
      </c>
      <c r="AO39">
        <f ca="1">IF(AN39="","",AN39*LOOKUP(K39,$AZ$1:$BI$1,$AZ$8:$BI$8))</f>
        <v>6.2999999999999989</v>
      </c>
      <c r="AP39">
        <f ca="1">IF(AO39="","",AO39/LOOKUP(K39,$AZ$1:$BI$1,$AZ$42:$BI$42))</f>
        <v>1.2599999999999998</v>
      </c>
      <c r="AQ39">
        <f ca="1">IF(AO39="","",IF(LOOKUP(K39,$AZ$1:$BI$1,$AZ$37:$BI$37)=0,0.25,MAX(MIN(AP39,2.5),0.5)))</f>
        <v>1.2599999999999998</v>
      </c>
      <c r="AR39">
        <f t="shared" si="28"/>
        <v>0</v>
      </c>
      <c r="AS39">
        <f t="shared" si="29"/>
        <v>1</v>
      </c>
      <c r="AT39">
        <f t="shared" si="30"/>
        <v>0</v>
      </c>
      <c r="AU39" t="str">
        <f>IF(OR(AT39="",AT39=0),"",INDEX($AY$1:$BI$5,MATCH(AT39,$AY$1:$AY$5,0),MATCH(K39,$AY$1:$BI$1,0)))</f>
        <v/>
      </c>
      <c r="AV39" t="str">
        <f t="shared" si="31"/>
        <v/>
      </c>
      <c r="AW39">
        <f t="shared" ca="1" si="32"/>
        <v>1.2599999999999998</v>
      </c>
      <c r="AY39" t="s">
        <v>13</v>
      </c>
      <c r="AZ39">
        <f>SUMIFS($P:$P,$K:$K,AZ1,$M:$M,"")*2+AZ5</f>
        <v>14</v>
      </c>
      <c r="BA39">
        <f ca="1">SUMIFS($P:$P,$K:$K,BA1,$M:$M,"")*2+BA5</f>
        <v>16</v>
      </c>
      <c r="BB39">
        <f ca="1">SUMIFS($P:$P,$K:$K,BB1,$M:$M,"")*2+BB5</f>
        <v>11</v>
      </c>
      <c r="BC39">
        <f ca="1">SUMIFS($P:$P,$K:$K,BC1,$M:$M,"")*2+BC5</f>
        <v>6</v>
      </c>
      <c r="BD39">
        <f ca="1">SUMIFS($P:$P,$K:$K,BD1,$M:$M,"")*2+BD5</f>
        <v>0</v>
      </c>
      <c r="BE39">
        <f ca="1">SUMIFS($P:$P,$K:$K,BE1,$M:$M,"")*2+BE5</f>
        <v>0</v>
      </c>
      <c r="BF39">
        <f ca="1">SUMIFS($P:$P,$K:$K,BF1,$M:$M,"")*2+BF5</f>
        <v>0</v>
      </c>
      <c r="BG39">
        <f ca="1">SUMIFS($P:$P,$K:$K,BG1,$M:$M,"")*2+BG5</f>
        <v>0</v>
      </c>
      <c r="BH39">
        <f ca="1">SUMIFS($P:$P,$K:$K,BH1,$M:$M,"")*2+BH5</f>
        <v>0</v>
      </c>
      <c r="BI39">
        <f ca="1">SUMIFS($P:$P,$K:$K,BI1,$M:$M,"")*2+BI5</f>
        <v>0</v>
      </c>
    </row>
    <row r="40" spans="2:61">
      <c r="B40" t="s">
        <v>125</v>
      </c>
      <c r="C40" s="22" t="str">
        <f ca="1">CONCATENATE(ROUNDDOWN(C52/(60*60*6),0),"d:",ROUNDDOWN(MOD(C52,60*60*6)/3600,0),"h:",ROUNDDOWN(MOD(C52,3600)/60,0),"m:",ROUNDDOWN(MOD(C52,60),0),"s")</f>
        <v>0d:5h:28m:46s</v>
      </c>
      <c r="E40" s="4" t="str">
        <f t="shared" si="1"/>
        <v/>
      </c>
      <c r="H40" s="17"/>
      <c r="I40" s="17"/>
      <c r="L40" s="23"/>
      <c r="N40" t="str">
        <f t="shared" si="13"/>
        <v/>
      </c>
      <c r="O40" t="str">
        <f t="shared" si="14"/>
        <v/>
      </c>
      <c r="P40" t="str">
        <f t="shared" si="15"/>
        <v/>
      </c>
      <c r="Q40" s="10" t="str">
        <f t="shared" si="46"/>
        <v/>
      </c>
      <c r="R40" s="10" t="str">
        <f t="shared" si="16"/>
        <v/>
      </c>
      <c r="S40" s="10" t="str">
        <f t="shared" si="17"/>
        <v/>
      </c>
      <c r="T40" s="10" t="str">
        <f t="shared" si="34"/>
        <v/>
      </c>
      <c r="U40" s="10" t="str">
        <f t="shared" si="35"/>
        <v/>
      </c>
      <c r="V40" s="10" t="str">
        <f t="shared" si="36"/>
        <v/>
      </c>
      <c r="W40" s="10" t="str">
        <f t="shared" si="18"/>
        <v/>
      </c>
      <c r="X40" s="10" t="str">
        <f t="shared" si="19"/>
        <v/>
      </c>
      <c r="Y40" s="10" t="str">
        <f t="shared" si="20"/>
        <v/>
      </c>
      <c r="Z40" s="8" t="str">
        <f t="shared" si="21"/>
        <v/>
      </c>
      <c r="AA40" s="15" t="str">
        <f t="shared" si="22"/>
        <v/>
      </c>
      <c r="AB40" s="15" t="str">
        <f t="shared" si="23"/>
        <v/>
      </c>
      <c r="AC40" s="15" t="str">
        <f t="shared" si="24"/>
        <v/>
      </c>
      <c r="AD40" s="15" t="str">
        <f t="shared" si="25"/>
        <v/>
      </c>
      <c r="AE40" s="15" t="str">
        <f t="shared" si="26"/>
        <v/>
      </c>
      <c r="AF40" s="15" t="str">
        <f t="shared" si="38"/>
        <v/>
      </c>
      <c r="AG40" s="15" t="str">
        <f t="shared" si="39"/>
        <v/>
      </c>
      <c r="AH40" s="15" t="str">
        <f t="shared" si="40"/>
        <v/>
      </c>
      <c r="AI40" s="15" t="str">
        <f t="shared" si="41"/>
        <v/>
      </c>
      <c r="AJ40" s="15" t="str">
        <f t="shared" si="42"/>
        <v/>
      </c>
      <c r="AK40" s="15" t="str">
        <f t="shared" si="43"/>
        <v/>
      </c>
      <c r="AL40" t="str">
        <f>IF(P40=1,LOOKUP(K40,$AZ$1:$BI$1,$AZ$37:$BI$37)-IF(O40="",0,O40),"")</f>
        <v/>
      </c>
      <c r="AM40" s="10" t="str">
        <f t="shared" si="27"/>
        <v/>
      </c>
      <c r="AN40" s="10" t="str">
        <f>IF(AM40="","",AM40*LOOKUP(K40,$AZ$1:$BI$1,$AZ$7:$BI$7))</f>
        <v/>
      </c>
      <c r="AO40" t="str">
        <f>IF(AN40="","",AN40*LOOKUP(K40,$AZ$1:$BI$1,$AZ$8:$BI$8))</f>
        <v/>
      </c>
      <c r="AP40" t="str">
        <f>IF(AO40="","",AO40/LOOKUP(K40,$AZ$1:$BI$1,$AZ$42:$BI$42))</f>
        <v/>
      </c>
      <c r="AQ40" t="str">
        <f>IF(AO40="","",IF(LOOKUP(K40,$AZ$1:$BI$1,$AZ$37:$BI$37)=0,0.25,MAX(MIN(AP40,2.5),0.5)))</f>
        <v/>
      </c>
      <c r="AR40" t="str">
        <f t="shared" si="28"/>
        <v/>
      </c>
      <c r="AS40" t="str">
        <f t="shared" si="29"/>
        <v/>
      </c>
      <c r="AT40" t="str">
        <f t="shared" si="30"/>
        <v/>
      </c>
      <c r="AU40" t="str">
        <f>IF(OR(AT40="",AT40=0),"",INDEX($AY$1:$BI$5,MATCH(AT40,$AY$1:$AY$5,0),MATCH(K40,$AY$1:$BI$1,0)))</f>
        <v/>
      </c>
      <c r="AV40" t="str">
        <f t="shared" si="31"/>
        <v/>
      </c>
      <c r="AW40" t="str">
        <f t="shared" si="32"/>
        <v/>
      </c>
      <c r="AY40" t="s">
        <v>14</v>
      </c>
      <c r="AZ40">
        <f>AZ39+AZ2</f>
        <v>14</v>
      </c>
      <c r="BA40">
        <f ca="1">BA39+BA2</f>
        <v>16</v>
      </c>
      <c r="BB40">
        <f ca="1">BB39+BB2</f>
        <v>11</v>
      </c>
      <c r="BC40">
        <f ca="1">BC39+BC2</f>
        <v>6</v>
      </c>
      <c r="BD40">
        <f ca="1">BD39+BD2</f>
        <v>0</v>
      </c>
      <c r="BE40">
        <f ca="1">BE39+BE2</f>
        <v>0</v>
      </c>
      <c r="BF40">
        <f ca="1">BF39+BF2</f>
        <v>0</v>
      </c>
      <c r="BG40">
        <f ca="1">BG39+BG2</f>
        <v>0</v>
      </c>
      <c r="BH40">
        <f ca="1">BH39+BH2</f>
        <v>0</v>
      </c>
      <c r="BI40">
        <f ca="1">BI39+BI2</f>
        <v>0</v>
      </c>
    </row>
    <row r="41" spans="2:61">
      <c r="B41" t="s">
        <v>126</v>
      </c>
      <c r="C41" s="22" t="str">
        <f ca="1">CONCATENATE(ROUNDDOWN(C53/(60*60*6),0),"d:",ROUNDDOWN(MOD(C53,60*60*6)/3600,0),"h:",ROUNDDOWN(MOD(C53,3600)/60,0),"m:",ROUNDDOWN(MOD(C53,60),0),"s")</f>
        <v>0d:5h:55m:43s</v>
      </c>
      <c r="E41" s="4">
        <f t="shared" ca="1" si="1"/>
        <v>0.25</v>
      </c>
      <c r="F41" s="5" t="s">
        <v>84</v>
      </c>
      <c r="G41" s="19">
        <v>7.1</v>
      </c>
      <c r="H41" s="17">
        <v>1</v>
      </c>
      <c r="I41" s="17"/>
      <c r="J41" s="21">
        <v>1</v>
      </c>
      <c r="K41" s="5">
        <v>4</v>
      </c>
      <c r="L41" s="23">
        <v>0.25</v>
      </c>
      <c r="N41">
        <f t="shared" si="13"/>
        <v>1</v>
      </c>
      <c r="O41">
        <f t="shared" si="14"/>
        <v>1</v>
      </c>
      <c r="P41">
        <f t="shared" si="15"/>
        <v>1</v>
      </c>
      <c r="Q41" s="10">
        <f t="shared" ca="1" si="46"/>
        <v>-0.66666666666666674</v>
      </c>
      <c r="R41" s="10">
        <f t="shared" ca="1" si="16"/>
        <v>-2.1249999999999999E-4</v>
      </c>
      <c r="S41" s="10">
        <f t="shared" ca="1" si="17"/>
        <v>0</v>
      </c>
      <c r="T41" s="10">
        <f t="shared" ca="1" si="34"/>
        <v>0</v>
      </c>
      <c r="U41" s="10">
        <f t="shared" ca="1" si="35"/>
        <v>0</v>
      </c>
      <c r="V41" s="10">
        <f t="shared" ca="1" si="36"/>
        <v>0</v>
      </c>
      <c r="W41" s="10">
        <f t="shared" ca="1" si="18"/>
        <v>0</v>
      </c>
      <c r="X41" s="10">
        <f t="shared" ca="1" si="19"/>
        <v>0</v>
      </c>
      <c r="Y41" s="10">
        <f t="shared" ca="1" si="20"/>
        <v>0</v>
      </c>
      <c r="Z41" s="8">
        <f t="shared" ca="1" si="21"/>
        <v>0</v>
      </c>
      <c r="AA41" s="15">
        <f t="shared" ca="1" si="22"/>
        <v>-5.3125000000000001E-8</v>
      </c>
      <c r="AB41" s="15">
        <f t="shared" ca="1" si="23"/>
        <v>-5.3125000000000001E-8</v>
      </c>
      <c r="AC41" s="15">
        <f t="shared" ca="1" si="24"/>
        <v>0</v>
      </c>
      <c r="AD41" s="15">
        <f t="shared" ca="1" si="25"/>
        <v>1.0625E-7</v>
      </c>
      <c r="AE41" s="15">
        <f t="shared" ca="1" si="26"/>
        <v>0</v>
      </c>
      <c r="AF41" s="15">
        <f t="shared" ca="1" si="38"/>
        <v>-1.0817575525E-5</v>
      </c>
      <c r="AG41" s="15">
        <f t="shared" ca="1" si="39"/>
        <v>-3.5215918463259999E-3</v>
      </c>
      <c r="AH41" s="15">
        <f t="shared" ca="1" si="40"/>
        <v>4.6608972403840007E-3</v>
      </c>
      <c r="AI41" s="15">
        <f t="shared" ca="1" si="41"/>
        <v>3.0298531298469998E-3</v>
      </c>
      <c r="AJ41" s="15">
        <f t="shared" ca="1" si="42"/>
        <v>7.8028413620000008E-6</v>
      </c>
      <c r="AK41" s="15">
        <f t="shared" ca="1" si="43"/>
        <v>-5.1243387274239995E-3</v>
      </c>
      <c r="AL41">
        <f ca="1">IF(P41=1,LOOKUP(K41,$AZ$1:$BI$1,$AZ$37:$BI$37)-IF(O41="",0,O41),"")</f>
        <v>2</v>
      </c>
      <c r="AM41" s="10">
        <f t="shared" ca="1" si="27"/>
        <v>2</v>
      </c>
      <c r="AN41" s="10">
        <f ca="1">IF(AM41="","",AM41*LOOKUP(K41,$AZ$1:$BI$1,$AZ$7:$BI$7))</f>
        <v>3</v>
      </c>
      <c r="AO41">
        <f ca="1">IF(AN41="","",AN41*LOOKUP(K41,$AZ$1:$BI$1,$AZ$8:$BI$8))</f>
        <v>4.5</v>
      </c>
      <c r="AP41">
        <f ca="1">IF(AO41="","",AO41/LOOKUP(K41,$AZ$1:$BI$1,$AZ$42:$BI$42))</f>
        <v>0.9</v>
      </c>
      <c r="AQ41">
        <f ca="1">IF(AO41="","",IF(LOOKUP(K41,$AZ$1:$BI$1,$AZ$37:$BI$37)=0,0.25,MAX(MIN(AP41,2.5),0.5)))</f>
        <v>0.9</v>
      </c>
      <c r="AR41">
        <f t="shared" si="28"/>
        <v>7</v>
      </c>
      <c r="AS41">
        <f t="shared" si="29"/>
        <v>1</v>
      </c>
      <c r="AT41" t="str">
        <f t="shared" si="30"/>
        <v>Agriculture Module</v>
      </c>
      <c r="AU41">
        <f ca="1">IF(OR(AT41="",AT41=0),"",INDEX($AY$1:$BI$5,MATCH(AT41,$AY$1:$AY$5,0),MATCH(K41,$AY$1:$BI$1,0)))</f>
        <v>10</v>
      </c>
      <c r="AV41">
        <f t="shared" ca="1" si="31"/>
        <v>9</v>
      </c>
      <c r="AW41">
        <f t="shared" ca="1" si="32"/>
        <v>9.9</v>
      </c>
      <c r="AY41" t="s">
        <v>16</v>
      </c>
      <c r="AZ41" s="7">
        <f t="shared" ref="AZ41" si="54">AZ38+AZ40/4</f>
        <v>19.5</v>
      </c>
      <c r="BA41" s="7">
        <f t="shared" ref="BA41" ca="1" si="55">BA38+BA40/4</f>
        <v>24</v>
      </c>
      <c r="BB41" s="7">
        <f t="shared" ref="BB41" ca="1" si="56">BB38+BB40/4</f>
        <v>12.75</v>
      </c>
      <c r="BC41" s="7">
        <f t="shared" ref="BC41" ca="1" si="57">BC38+BC40/4</f>
        <v>4.5</v>
      </c>
      <c r="BD41" s="7">
        <f t="shared" ref="BD41" ca="1" si="58">BD38+BD40/4</f>
        <v>0</v>
      </c>
      <c r="BE41" s="7">
        <f t="shared" ref="BE41" ca="1" si="59">BE38+BE40/4</f>
        <v>0</v>
      </c>
      <c r="BF41" s="7">
        <f t="shared" ref="BF41" ca="1" si="60">BF38+BF40/4</f>
        <v>0</v>
      </c>
      <c r="BG41" s="7">
        <f t="shared" ref="BG41" ca="1" si="61">BG38+BG40/4</f>
        <v>0</v>
      </c>
      <c r="BH41" s="7">
        <f t="shared" ref="BH41" ca="1" si="62">BH38+BH40/4</f>
        <v>0</v>
      </c>
      <c r="BI41" s="7">
        <f t="shared" ref="BI41" ca="1" si="63">BI38+BI40/4</f>
        <v>0</v>
      </c>
    </row>
    <row r="42" spans="2:61">
      <c r="E42" s="4">
        <f t="shared" ca="1" si="1"/>
        <v>9.9</v>
      </c>
      <c r="F42" s="5" t="s">
        <v>85</v>
      </c>
      <c r="G42" s="19">
        <v>7.2</v>
      </c>
      <c r="H42" s="17">
        <f>IF(H41="","",H41)</f>
        <v>1</v>
      </c>
      <c r="I42" s="17" t="str">
        <f>IF(I41="","",I41)</f>
        <v/>
      </c>
      <c r="J42" s="21">
        <v>1</v>
      </c>
      <c r="K42" s="5">
        <v>4</v>
      </c>
      <c r="L42" s="23"/>
      <c r="M42" s="5">
        <v>1</v>
      </c>
      <c r="N42">
        <f t="shared" si="13"/>
        <v>1</v>
      </c>
      <c r="O42">
        <f t="shared" si="14"/>
        <v>1</v>
      </c>
      <c r="P42">
        <f t="shared" si="15"/>
        <v>1</v>
      </c>
      <c r="Q42" s="10">
        <f t="shared" ca="1" si="46"/>
        <v>-49.5</v>
      </c>
      <c r="R42" s="10">
        <f t="shared" ca="1" si="16"/>
        <v>-8.4150000000000006E-3</v>
      </c>
      <c r="S42" s="10">
        <f t="shared" ca="1" si="17"/>
        <v>0</v>
      </c>
      <c r="T42" s="10">
        <f t="shared" ca="1" si="34"/>
        <v>0</v>
      </c>
      <c r="U42" s="10">
        <f t="shared" ca="1" si="35"/>
        <v>0</v>
      </c>
      <c r="V42" s="10">
        <f t="shared" ca="1" si="36"/>
        <v>0</v>
      </c>
      <c r="W42" s="10">
        <f t="shared" ca="1" si="18"/>
        <v>0</v>
      </c>
      <c r="X42" s="10">
        <f t="shared" ca="1" si="19"/>
        <v>0</v>
      </c>
      <c r="Y42" s="10">
        <f t="shared" ca="1" si="20"/>
        <v>0</v>
      </c>
      <c r="Z42" s="8">
        <f t="shared" ca="1" si="21"/>
        <v>2.1418799539500003E-4</v>
      </c>
      <c r="AA42" s="15">
        <f t="shared" ca="1" si="22"/>
        <v>-2.10375E-6</v>
      </c>
      <c r="AB42" s="15">
        <f t="shared" ca="1" si="23"/>
        <v>-2.10375E-6</v>
      </c>
      <c r="AC42" s="15">
        <f t="shared" ca="1" si="24"/>
        <v>0</v>
      </c>
      <c r="AD42" s="15">
        <f t="shared" ca="1" si="25"/>
        <v>4.2074999999999999E-6</v>
      </c>
      <c r="AE42" s="15">
        <f t="shared" ca="1" si="26"/>
        <v>-1.5449625896760003E-4</v>
      </c>
      <c r="AF42" s="15">
        <f t="shared" ca="1" si="38"/>
        <v>0</v>
      </c>
      <c r="AG42" s="15">
        <f t="shared" ca="1" si="39"/>
        <v>6.97275185572548E-2</v>
      </c>
      <c r="AH42" s="15">
        <f t="shared" ca="1" si="40"/>
        <v>-4.1199002392680004E-4</v>
      </c>
      <c r="AI42" s="15">
        <f t="shared" ca="1" si="41"/>
        <v>-5.9991091970970599E-2</v>
      </c>
      <c r="AJ42" s="15">
        <f t="shared" ca="1" si="42"/>
        <v>0</v>
      </c>
      <c r="AK42" s="15">
        <f t="shared" ca="1" si="43"/>
        <v>4.5295494108479997E-4</v>
      </c>
      <c r="AL42">
        <f ca="1">IF(P42=1,LOOKUP(K42,$AZ$1:$BI$1,$AZ$37:$BI$37)-IF(O42="",0,O42),"")</f>
        <v>2</v>
      </c>
      <c r="AM42" s="10">
        <f t="shared" ca="1" si="27"/>
        <v>2</v>
      </c>
      <c r="AN42" s="10">
        <f ca="1">IF(AM42="","",AM42*LOOKUP(K42,$AZ$1:$BI$1,$AZ$7:$BI$7))</f>
        <v>3</v>
      </c>
      <c r="AO42">
        <f ca="1">IF(AN42="","",AN42*LOOKUP(K42,$AZ$1:$BI$1,$AZ$8:$BI$8))</f>
        <v>4.5</v>
      </c>
      <c r="AP42">
        <f ca="1">IF(AO42="","",AO42/LOOKUP(K42,$AZ$1:$BI$1,$AZ$42:$BI$42))</f>
        <v>0.9</v>
      </c>
      <c r="AQ42">
        <f ca="1">IF(AO42="","",IF(LOOKUP(K42,$AZ$1:$BI$1,$AZ$37:$BI$37)=0,0.25,MAX(MIN(AP42,2.5),0.5)))</f>
        <v>0.9</v>
      </c>
      <c r="AR42">
        <f t="shared" si="28"/>
        <v>7</v>
      </c>
      <c r="AS42">
        <f t="shared" si="29"/>
        <v>1</v>
      </c>
      <c r="AT42" t="str">
        <f t="shared" si="30"/>
        <v>Agriculture Module</v>
      </c>
      <c r="AU42">
        <f ca="1">IF(OR(AT42="",AT42=0),"",INDEX($AY$1:$BI$5,MATCH(AT42,$AY$1:$AY$5,0),MATCH(K42,$AY$1:$BI$1,0)))</f>
        <v>10</v>
      </c>
      <c r="AV42">
        <f t="shared" ca="1" si="31"/>
        <v>9</v>
      </c>
      <c r="AW42">
        <f t="shared" ca="1" si="32"/>
        <v>9.9</v>
      </c>
      <c r="AY42" t="s">
        <v>18</v>
      </c>
      <c r="AZ42" s="7">
        <f>SUMIF($K:$K,AZ1,$J:$J)</f>
        <v>10</v>
      </c>
      <c r="BA42" s="7">
        <f ca="1">SUMIF($K:$K,BA1,$J:$J)</f>
        <v>18</v>
      </c>
      <c r="BB42" s="7">
        <f ca="1">SUMIF($K:$K,BB1,$J:$J)</f>
        <v>7</v>
      </c>
      <c r="BC42" s="7">
        <f ca="1">SUMIF($K:$K,BC1,$J:$J)</f>
        <v>5</v>
      </c>
      <c r="BD42" s="7">
        <f ca="1">SUMIF($K:$K,BD1,$J:$J)</f>
        <v>0</v>
      </c>
      <c r="BE42" s="7">
        <f ca="1">SUMIF($K:$K,BE1,$J:$J)</f>
        <v>0</v>
      </c>
      <c r="BF42" s="7">
        <f ca="1">SUMIF($K:$K,BF1,$J:$J)</f>
        <v>0</v>
      </c>
      <c r="BG42" s="7">
        <f ca="1">SUMIF($K:$K,BG1,$J:$J)</f>
        <v>0</v>
      </c>
      <c r="BH42" s="7">
        <f ca="1">SUMIF($K:$K,BH1,$J:$J)</f>
        <v>0</v>
      </c>
      <c r="BI42" s="7">
        <f ca="1">SUMIF($K:$K,BI1,$J:$J)</f>
        <v>0</v>
      </c>
    </row>
    <row r="43" spans="2:61">
      <c r="B43" t="s">
        <v>127</v>
      </c>
      <c r="C43" s="22" t="str">
        <f ca="1">CONCATENATE(ROUNDDOWN(C55/(60*60*6),0),"d:",ROUNDDOWN(MOD(C55,60*60*6)/3600,0),"h:",ROUNDDOWN(MOD(C55,3600)/60,0),"m:",ROUNDDOWN(MOD(C55,60),0),"s")</f>
        <v>3d:2h:1m:57s</v>
      </c>
      <c r="E43" s="4">
        <f t="shared" ca="1" si="1"/>
        <v>9.9</v>
      </c>
      <c r="F43" s="5" t="s">
        <v>86</v>
      </c>
      <c r="G43" s="19">
        <v>7.3</v>
      </c>
      <c r="H43" s="17">
        <f>IF(H42="","",H42)</f>
        <v>1</v>
      </c>
      <c r="I43" s="17" t="str">
        <f>IF(I42="","",I42)</f>
        <v/>
      </c>
      <c r="J43" s="21">
        <v>0</v>
      </c>
      <c r="K43" s="5">
        <v>4</v>
      </c>
      <c r="L43" s="23"/>
      <c r="M43" s="5">
        <v>1</v>
      </c>
      <c r="N43">
        <f t="shared" si="13"/>
        <v>1</v>
      </c>
      <c r="O43">
        <f t="shared" si="14"/>
        <v>1</v>
      </c>
      <c r="P43">
        <f t="shared" si="15"/>
        <v>1</v>
      </c>
      <c r="Q43" s="10">
        <f t="shared" ca="1" si="46"/>
        <v>0</v>
      </c>
      <c r="R43" s="10">
        <f t="shared" ca="1" si="16"/>
        <v>0</v>
      </c>
      <c r="S43" s="10">
        <f t="shared" ca="1" si="17"/>
        <v>0</v>
      </c>
      <c r="T43" s="10">
        <f t="shared" ca="1" si="34"/>
        <v>0</v>
      </c>
      <c r="U43" s="10">
        <f t="shared" ca="1" si="35"/>
        <v>0</v>
      </c>
      <c r="V43" s="10">
        <f t="shared" ca="1" si="36"/>
        <v>0</v>
      </c>
      <c r="W43" s="10">
        <f t="shared" ca="1" si="18"/>
        <v>0</v>
      </c>
      <c r="X43" s="10">
        <f t="shared" ca="1" si="19"/>
        <v>0</v>
      </c>
      <c r="Y43" s="10">
        <f t="shared" ca="1" si="20"/>
        <v>0</v>
      </c>
      <c r="Z43" s="8">
        <f t="shared" ca="1" si="21"/>
        <v>0</v>
      </c>
      <c r="AA43" s="15">
        <f t="shared" ca="1" si="22"/>
        <v>0</v>
      </c>
      <c r="AB43" s="15">
        <f t="shared" ca="1" si="23"/>
        <v>0</v>
      </c>
      <c r="AC43" s="15">
        <f t="shared" ca="1" si="24"/>
        <v>0</v>
      </c>
      <c r="AD43" s="15">
        <f t="shared" ca="1" si="25"/>
        <v>0</v>
      </c>
      <c r="AE43" s="15">
        <f t="shared" ca="1" si="26"/>
        <v>0</v>
      </c>
      <c r="AF43" s="15">
        <f t="shared" ca="1" si="38"/>
        <v>0</v>
      </c>
      <c r="AG43" s="15">
        <f t="shared" ca="1" si="39"/>
        <v>0</v>
      </c>
      <c r="AH43" s="15">
        <f t="shared" ca="1" si="40"/>
        <v>0</v>
      </c>
      <c r="AI43" s="15">
        <f t="shared" ca="1" si="41"/>
        <v>0</v>
      </c>
      <c r="AJ43" s="15">
        <f t="shared" ca="1" si="42"/>
        <v>0</v>
      </c>
      <c r="AK43" s="15">
        <f t="shared" ca="1" si="43"/>
        <v>0</v>
      </c>
      <c r="AL43">
        <f ca="1">IF(P43=1,LOOKUP(K43,$AZ$1:$BI$1,$AZ$37:$BI$37)-IF(O43="",0,O43),"")</f>
        <v>2</v>
      </c>
      <c r="AM43" s="10">
        <f t="shared" ca="1" si="27"/>
        <v>2</v>
      </c>
      <c r="AN43" s="10">
        <f ca="1">IF(AM43="","",AM43*LOOKUP(K43,$AZ$1:$BI$1,$AZ$7:$BI$7))</f>
        <v>3</v>
      </c>
      <c r="AO43">
        <f ca="1">IF(AN43="","",AN43*LOOKUP(K43,$AZ$1:$BI$1,$AZ$8:$BI$8))</f>
        <v>4.5</v>
      </c>
      <c r="AP43">
        <f ca="1">IF(AO43="","",AO43/LOOKUP(K43,$AZ$1:$BI$1,$AZ$42:$BI$42))</f>
        <v>0.9</v>
      </c>
      <c r="AQ43">
        <f ca="1">IF(AO43="","",IF(LOOKUP(K43,$AZ$1:$BI$1,$AZ$37:$BI$37)=0,0.25,MAX(MIN(AP43,2.5),0.5)))</f>
        <v>0.9</v>
      </c>
      <c r="AR43">
        <f t="shared" si="28"/>
        <v>7</v>
      </c>
      <c r="AS43">
        <f t="shared" si="29"/>
        <v>1</v>
      </c>
      <c r="AT43" t="str">
        <f t="shared" si="30"/>
        <v>Agriculture Module</v>
      </c>
      <c r="AU43">
        <f ca="1">IF(OR(AT43="",AT43=0),"",INDEX($AY$1:$BI$5,MATCH(AT43,$AY$1:$AY$5,0),MATCH(K43,$AY$1:$BI$1,0)))</f>
        <v>10</v>
      </c>
      <c r="AV43">
        <f t="shared" ca="1" si="31"/>
        <v>9</v>
      </c>
      <c r="AW43">
        <f t="shared" ca="1" si="32"/>
        <v>9.9</v>
      </c>
      <c r="AY43" t="s">
        <v>17</v>
      </c>
      <c r="AZ43">
        <f>AZ4*2</f>
        <v>8</v>
      </c>
      <c r="BA43">
        <f>BA4*2</f>
        <v>12</v>
      </c>
      <c r="BB43">
        <f>BB4*2</f>
        <v>4</v>
      </c>
      <c r="BC43">
        <f>BC4*2</f>
        <v>20</v>
      </c>
      <c r="BD43">
        <f>BD4*2</f>
        <v>0</v>
      </c>
      <c r="BE43">
        <f>BE4*2</f>
        <v>0</v>
      </c>
      <c r="BF43">
        <f>BF4*2</f>
        <v>0</v>
      </c>
      <c r="BG43">
        <f>BG4*2</f>
        <v>0</v>
      </c>
      <c r="BH43">
        <f>BH4*2</f>
        <v>0</v>
      </c>
      <c r="BI43">
        <f>BI4*2</f>
        <v>0</v>
      </c>
    </row>
    <row r="44" spans="2:61">
      <c r="B44" t="s">
        <v>128</v>
      </c>
      <c r="C44" s="22" t="str">
        <f ca="1">CONCATENATE(ROUNDDOWN(C56/(60*60*6),0),"d:",ROUNDDOWN(MOD(C56,60*60*6)/3600,0),"h:",ROUNDDOWN(MOD(C56,3600)/60,0),"m:",ROUNDDOWN(MOD(C56,60),0),"s")</f>
        <v>10d:0h:48m:59s</v>
      </c>
      <c r="E44" s="4" t="str">
        <f t="shared" si="1"/>
        <v/>
      </c>
      <c r="H44" s="17"/>
      <c r="I44" s="17"/>
      <c r="L44" s="23"/>
      <c r="N44" t="str">
        <f t="shared" si="13"/>
        <v/>
      </c>
      <c r="O44" t="str">
        <f t="shared" si="14"/>
        <v/>
      </c>
      <c r="P44" t="str">
        <f t="shared" si="15"/>
        <v/>
      </c>
      <c r="Q44" s="10" t="str">
        <f t="shared" si="46"/>
        <v/>
      </c>
      <c r="R44" s="10" t="str">
        <f t="shared" si="16"/>
        <v/>
      </c>
      <c r="S44" s="10" t="str">
        <f t="shared" si="17"/>
        <v/>
      </c>
      <c r="T44" s="10" t="str">
        <f t="shared" si="34"/>
        <v/>
      </c>
      <c r="U44" s="10" t="str">
        <f t="shared" si="35"/>
        <v/>
      </c>
      <c r="V44" s="10" t="str">
        <f t="shared" si="36"/>
        <v/>
      </c>
      <c r="W44" s="10" t="str">
        <f t="shared" si="18"/>
        <v/>
      </c>
      <c r="X44" s="10" t="str">
        <f t="shared" si="19"/>
        <v/>
      </c>
      <c r="Y44" s="10" t="str">
        <f t="shared" si="20"/>
        <v/>
      </c>
      <c r="Z44" s="8" t="str">
        <f t="shared" si="21"/>
        <v/>
      </c>
      <c r="AA44" s="15" t="str">
        <f t="shared" si="22"/>
        <v/>
      </c>
      <c r="AB44" s="15" t="str">
        <f t="shared" si="23"/>
        <v/>
      </c>
      <c r="AC44" s="15" t="str">
        <f t="shared" si="24"/>
        <v/>
      </c>
      <c r="AD44" s="15" t="str">
        <f t="shared" si="25"/>
        <v/>
      </c>
      <c r="AE44" s="15" t="str">
        <f t="shared" si="26"/>
        <v/>
      </c>
      <c r="AF44" s="15" t="str">
        <f t="shared" si="38"/>
        <v/>
      </c>
      <c r="AG44" s="15" t="str">
        <f t="shared" si="39"/>
        <v/>
      </c>
      <c r="AH44" s="15" t="str">
        <f t="shared" si="40"/>
        <v/>
      </c>
      <c r="AI44" s="15" t="str">
        <f t="shared" si="41"/>
        <v/>
      </c>
      <c r="AJ44" s="15" t="str">
        <f t="shared" si="42"/>
        <v/>
      </c>
      <c r="AK44" s="15" t="str">
        <f t="shared" si="43"/>
        <v/>
      </c>
      <c r="AL44" t="str">
        <f>IF(P44=1,LOOKUP(K44,$AZ$1:$BI$1,$AZ$37:$BI$37)-IF(O44="",0,O44),"")</f>
        <v/>
      </c>
      <c r="AM44" s="10" t="str">
        <f t="shared" si="27"/>
        <v/>
      </c>
      <c r="AN44" s="10" t="str">
        <f>IF(AM44="","",AM44*LOOKUP(K44,$AZ$1:$BI$1,$AZ$7:$BI$7))</f>
        <v/>
      </c>
      <c r="AO44" t="str">
        <f>IF(AN44="","",AN44*LOOKUP(K44,$AZ$1:$BI$1,$AZ$8:$BI$8))</f>
        <v/>
      </c>
      <c r="AP44" t="str">
        <f>IF(AO44="","",AO44/LOOKUP(K44,$AZ$1:$BI$1,$AZ$42:$BI$42))</f>
        <v/>
      </c>
      <c r="AQ44" t="str">
        <f>IF(AO44="","",IF(LOOKUP(K44,$AZ$1:$BI$1,$AZ$37:$BI$37)=0,0.25,MAX(MIN(AP44,2.5),0.5)))</f>
        <v/>
      </c>
      <c r="AR44" t="str">
        <f t="shared" si="28"/>
        <v/>
      </c>
      <c r="AS44" t="str">
        <f t="shared" si="29"/>
        <v/>
      </c>
      <c r="AT44" t="str">
        <f t="shared" si="30"/>
        <v/>
      </c>
      <c r="AU44" t="str">
        <f>IF(OR(AT44="",AT44=0),"",INDEX($AY$1:$BI$5,MATCH(AT44,$AY$1:$AY$5,0),MATCH(K44,$AY$1:$BI$1,0)))</f>
        <v/>
      </c>
      <c r="AV44" t="str">
        <f t="shared" si="31"/>
        <v/>
      </c>
      <c r="AW44" t="str">
        <f t="shared" si="32"/>
        <v/>
      </c>
      <c r="AY44" t="s">
        <v>11</v>
      </c>
      <c r="AZ44">
        <f>AZ3+AZ4+AZ5+SUMIFS($P:$P,$K:$K,AZ1,$M:$M,"")+SUM(AZ28:AZ34)</f>
        <v>20</v>
      </c>
      <c r="BA44">
        <f ca="1">BA3+BA4+BA5+SUMIFS($P:$P,$K:$K,BA1,$M:$M,"")+SUM(BA28:BA34)</f>
        <v>24</v>
      </c>
      <c r="BB44">
        <f ca="1">BB3+BB4+BB5+SUMIFS($P:$P,$K:$K,BB1,$M:$M,"")+SUM(BB28:BB34)</f>
        <v>15</v>
      </c>
      <c r="BC44">
        <f ca="1">BC3+BC4+BC5+SUMIFS($P:$P,$K:$K,BC1,$M:$M,"")+SUM(BC28:BC34)</f>
        <v>26</v>
      </c>
      <c r="BD44">
        <f ca="1">BD3+BD4+BD5+SUMIFS($P:$P,$K:$K,BD1,$M:$M,"")+SUM(BD28:BD34)</f>
        <v>0</v>
      </c>
      <c r="BE44">
        <f ca="1">BE3+BE4+BE5+SUMIFS($P:$P,$K:$K,BE1,$M:$M,"")+SUM(BE28:BE34)</f>
        <v>0</v>
      </c>
      <c r="BF44">
        <f ca="1">BF3+BF4+BF5+SUMIFS($P:$P,$K:$K,BF1,$M:$M,"")+SUM(BF28:BF34)</f>
        <v>0</v>
      </c>
      <c r="BG44">
        <f ca="1">BG3+BG4+BG5+SUMIFS($P:$P,$K:$K,BG1,$M:$M,"")+SUM(BG28:BG34)</f>
        <v>0</v>
      </c>
      <c r="BH44">
        <f ca="1">BH3+BH4+BH5+SUMIFS($P:$P,$K:$K,BH1,$M:$M,"")+SUM(BH28:BH34)</f>
        <v>0</v>
      </c>
      <c r="BI44">
        <f ca="1">BI3+BI4+BI5+SUMIFS($P:$P,$K:$K,BI1,$M:$M,"")+SUM(BI28:BI34)</f>
        <v>0</v>
      </c>
    </row>
    <row r="45" spans="2:61">
      <c r="B45" t="s">
        <v>129</v>
      </c>
      <c r="C45" s="22" t="str">
        <f ca="1">CONCATENATE(ROUNDDOWN(C57/(60*60*6),0),"d:",ROUNDDOWN(MOD(C57,60*60*6)/3600,0),"h:",ROUNDDOWN(MOD(C57,3600)/60,0),"m:",ROUNDDOWN(MOD(C57,60),0),"s")</f>
        <v>12d:0h:43m:8s</v>
      </c>
      <c r="E45" s="4">
        <f t="shared" ca="1" si="1"/>
        <v>9.9</v>
      </c>
      <c r="F45" s="5" t="s">
        <v>82</v>
      </c>
      <c r="G45" s="19">
        <v>8.1</v>
      </c>
      <c r="H45" s="17">
        <v>1</v>
      </c>
      <c r="I45" s="17"/>
      <c r="J45" s="21">
        <v>1</v>
      </c>
      <c r="K45" s="5">
        <v>4</v>
      </c>
      <c r="L45" s="23"/>
      <c r="N45">
        <f t="shared" si="13"/>
        <v>1</v>
      </c>
      <c r="O45">
        <f t="shared" si="14"/>
        <v>1</v>
      </c>
      <c r="P45">
        <f t="shared" si="15"/>
        <v>1</v>
      </c>
      <c r="Q45" s="10">
        <f t="shared" ca="1" si="46"/>
        <v>-12.416666666666666</v>
      </c>
      <c r="R45" s="10">
        <f t="shared" ca="1" si="16"/>
        <v>-8.4150000000000006E-3</v>
      </c>
      <c r="S45" s="10">
        <f t="shared" ca="1" si="17"/>
        <v>0</v>
      </c>
      <c r="T45" s="10">
        <f t="shared" ca="1" si="34"/>
        <v>0</v>
      </c>
      <c r="U45" s="10">
        <f t="shared" ca="1" si="35"/>
        <v>0</v>
      </c>
      <c r="V45" s="10">
        <f t="shared" ca="1" si="36"/>
        <v>0</v>
      </c>
      <c r="W45" s="10">
        <f t="shared" ca="1" si="18"/>
        <v>0</v>
      </c>
      <c r="X45" s="10">
        <f t="shared" ca="1" si="19"/>
        <v>0</v>
      </c>
      <c r="Y45" s="10">
        <f t="shared" ca="1" si="20"/>
        <v>0</v>
      </c>
      <c r="Z45" s="8">
        <f t="shared" ca="1" si="21"/>
        <v>0</v>
      </c>
      <c r="AA45" s="15">
        <f t="shared" ca="1" si="22"/>
        <v>-2.10375E-6</v>
      </c>
      <c r="AB45" s="15">
        <f t="shared" ca="1" si="23"/>
        <v>-2.10375E-6</v>
      </c>
      <c r="AC45" s="15">
        <f t="shared" ca="1" si="24"/>
        <v>0</v>
      </c>
      <c r="AD45" s="15">
        <f t="shared" ca="1" si="25"/>
        <v>4.2074999999999999E-6</v>
      </c>
      <c r="AE45" s="15">
        <f t="shared" ca="1" si="26"/>
        <v>1.5449625896760003E-4</v>
      </c>
      <c r="AF45" s="15">
        <f t="shared" ca="1" si="38"/>
        <v>-1.0817575525E-5</v>
      </c>
      <c r="AG45" s="15">
        <f t="shared" ca="1" si="39"/>
        <v>-3.5215918463259999E-3</v>
      </c>
      <c r="AH45" s="15">
        <f t="shared" ca="1" si="40"/>
        <v>-2.0807576966E-5</v>
      </c>
      <c r="AI45" s="15">
        <f t="shared" ca="1" si="41"/>
        <v>3.0298531298469998E-3</v>
      </c>
      <c r="AJ45" s="15">
        <f t="shared" ca="1" si="42"/>
        <v>-1.4669341760560002E-4</v>
      </c>
      <c r="AK45" s="15">
        <f t="shared" ca="1" si="43"/>
        <v>2.2876512175999999E-5</v>
      </c>
      <c r="AL45">
        <f ca="1">IF(P45=1,LOOKUP(K45,$AZ$1:$BI$1,$AZ$37:$BI$37)-IF(O45="",0,O45),"")</f>
        <v>2</v>
      </c>
      <c r="AM45" s="10">
        <f t="shared" ca="1" si="27"/>
        <v>2</v>
      </c>
      <c r="AN45" s="10">
        <f ca="1">IF(AM45="","",AM45*LOOKUP(K45,$AZ$1:$BI$1,$AZ$7:$BI$7))</f>
        <v>3</v>
      </c>
      <c r="AO45">
        <f ca="1">IF(AN45="","",AN45*LOOKUP(K45,$AZ$1:$BI$1,$AZ$8:$BI$8))</f>
        <v>4.5</v>
      </c>
      <c r="AP45">
        <f ca="1">IF(AO45="","",AO45/LOOKUP(K45,$AZ$1:$BI$1,$AZ$42:$BI$42))</f>
        <v>0.9</v>
      </c>
      <c r="AQ45">
        <f ca="1">IF(AO45="","",IF(LOOKUP(K45,$AZ$1:$BI$1,$AZ$37:$BI$37)=0,0.25,MAX(MIN(AP45,2.5),0.5)))</f>
        <v>0.9</v>
      </c>
      <c r="AR45">
        <f t="shared" si="28"/>
        <v>8</v>
      </c>
      <c r="AS45">
        <f t="shared" si="29"/>
        <v>1</v>
      </c>
      <c r="AT45" t="str">
        <f t="shared" si="30"/>
        <v>Habitation Dome</v>
      </c>
      <c r="AU45">
        <f ca="1">IF(OR(AT45="",AT45=0),"",INDEX($AY$1:$BI$5,MATCH(AT45,$AY$1:$AY$5,0),MATCH(K45,$AY$1:$BI$1,0)))</f>
        <v>10</v>
      </c>
      <c r="AV45">
        <f t="shared" ca="1" si="31"/>
        <v>9</v>
      </c>
      <c r="AW45">
        <f t="shared" ca="1" si="32"/>
        <v>9.9</v>
      </c>
      <c r="AY45" t="s">
        <v>104</v>
      </c>
      <c r="AZ45">
        <f>SUMIFS($P:$P,$M:$M,"",$K:$K,AZ$1,$AR:$AR,7)</f>
        <v>0</v>
      </c>
      <c r="BA45">
        <f ca="1">SUMIFS($P:$P,$M:$M,"",$K:$K,BA$1,$AR:$AR,7)</f>
        <v>0</v>
      </c>
      <c r="BB45">
        <f ca="1">SUMIFS($P:$P,$M:$M,"",$K:$K,BB$1,$AR:$AR,7)</f>
        <v>0</v>
      </c>
      <c r="BC45">
        <f ca="1">SUMIFS($P:$P,$M:$M,"",$K:$K,BC$1,$AR:$AR,7)</f>
        <v>1</v>
      </c>
      <c r="BD45">
        <f ca="1">SUMIFS($P:$P,$M:$M,"",$K:$K,BD$1,$AR:$AR,7)</f>
        <v>0</v>
      </c>
      <c r="BE45">
        <f ca="1">SUMIFS($P:$P,$M:$M,"",$K:$K,BE$1,$AR:$AR,7)</f>
        <v>0</v>
      </c>
      <c r="BF45">
        <f ca="1">SUMIFS($P:$P,$M:$M,"",$K:$K,BF$1,$AR:$AR,7)</f>
        <v>0</v>
      </c>
      <c r="BG45">
        <f ca="1">SUMIFS($P:$P,$M:$M,"",$K:$K,BG$1,$AR:$AR,7)</f>
        <v>0</v>
      </c>
      <c r="BH45">
        <f ca="1">SUMIFS($P:$P,$M:$M,"",$K:$K,BH$1,$AR:$AR,7)</f>
        <v>0</v>
      </c>
      <c r="BI45">
        <f ca="1">SUMIFS($P:$P,$M:$M,"",$K:$K,BI$1,$AR:$AR,7)</f>
        <v>0</v>
      </c>
    </row>
    <row r="46" spans="2:61">
      <c r="B46" t="s">
        <v>130</v>
      </c>
      <c r="C46" s="22" t="str">
        <f ca="1">CONCATENATE(ROUNDDOWN(C58/(60*60*6),0),"d:",ROUNDDOWN(MOD(C58,60*60*6)/3600,0),"h:",ROUNDDOWN(MOD(C58,3600)/60,0),"m:",ROUNDDOWN(MOD(C58,60),0),"s")</f>
        <v>0d:5h:55m:43s</v>
      </c>
      <c r="E46" s="4">
        <f t="shared" ca="1" si="1"/>
        <v>9.9</v>
      </c>
      <c r="F46" s="5" t="s">
        <v>83</v>
      </c>
      <c r="G46" s="19">
        <v>8.1999999999999993</v>
      </c>
      <c r="H46" s="17">
        <f>IF(H45="","",H45)</f>
        <v>1</v>
      </c>
      <c r="I46" s="17" t="str">
        <f>IF(I45="","",I45)</f>
        <v/>
      </c>
      <c r="J46" s="21">
        <v>1</v>
      </c>
      <c r="K46" s="5">
        <v>4</v>
      </c>
      <c r="L46" s="23"/>
      <c r="M46" s="5">
        <v>1</v>
      </c>
      <c r="N46">
        <f t="shared" si="13"/>
        <v>1</v>
      </c>
      <c r="O46">
        <f t="shared" si="14"/>
        <v>1</v>
      </c>
      <c r="P46">
        <f t="shared" si="15"/>
        <v>1</v>
      </c>
      <c r="Q46" s="10">
        <f t="shared" ca="1" si="46"/>
        <v>-24.75</v>
      </c>
      <c r="R46" s="10">
        <f t="shared" ca="1" si="16"/>
        <v>-8.4150000000000006E-3</v>
      </c>
      <c r="S46" s="10">
        <f t="shared" ca="1" si="17"/>
        <v>0</v>
      </c>
      <c r="T46" s="10">
        <f t="shared" ca="1" si="34"/>
        <v>0</v>
      </c>
      <c r="U46" s="10">
        <f t="shared" ca="1" si="35"/>
        <v>0</v>
      </c>
      <c r="V46" s="10">
        <f t="shared" ca="1" si="36"/>
        <v>0</v>
      </c>
      <c r="W46" s="10">
        <f t="shared" ca="1" si="18"/>
        <v>0</v>
      </c>
      <c r="X46" s="10">
        <f t="shared" ca="1" si="19"/>
        <v>0</v>
      </c>
      <c r="Y46" s="10">
        <f t="shared" ca="1" si="20"/>
        <v>0</v>
      </c>
      <c r="Z46" s="8">
        <f t="shared" ca="1" si="21"/>
        <v>-2.1418799539500003E-4</v>
      </c>
      <c r="AA46" s="15">
        <f t="shared" ca="1" si="22"/>
        <v>-2.10375E-6</v>
      </c>
      <c r="AB46" s="15">
        <f t="shared" ca="1" si="23"/>
        <v>-2.10375E-6</v>
      </c>
      <c r="AC46" s="15">
        <f t="shared" ca="1" si="24"/>
        <v>0</v>
      </c>
      <c r="AD46" s="15">
        <f t="shared" ca="1" si="25"/>
        <v>4.2074999999999999E-6</v>
      </c>
      <c r="AE46" s="15">
        <f t="shared" ca="1" si="26"/>
        <v>0</v>
      </c>
      <c r="AF46" s="15">
        <f t="shared" ca="1" si="38"/>
        <v>2.1418799539500003E-4</v>
      </c>
      <c r="AG46" s="15">
        <f t="shared" ca="1" si="39"/>
        <v>0</v>
      </c>
      <c r="AH46" s="15">
        <f t="shared" ca="1" si="40"/>
        <v>0</v>
      </c>
      <c r="AI46" s="15">
        <f t="shared" ca="1" si="41"/>
        <v>0</v>
      </c>
      <c r="AJ46" s="15">
        <f t="shared" ca="1" si="42"/>
        <v>0</v>
      </c>
      <c r="AK46" s="15">
        <f t="shared" ca="1" si="43"/>
        <v>0</v>
      </c>
      <c r="AL46">
        <f ca="1">IF(P46=1,LOOKUP(K46,$AZ$1:$BI$1,$AZ$37:$BI$37)-IF(O46="",0,O46),"")</f>
        <v>2</v>
      </c>
      <c r="AM46" s="10">
        <f t="shared" ca="1" si="27"/>
        <v>2</v>
      </c>
      <c r="AN46" s="10">
        <f ca="1">IF(AM46="","",AM46*LOOKUP(K46,$AZ$1:$BI$1,$AZ$7:$BI$7))</f>
        <v>3</v>
      </c>
      <c r="AO46">
        <f ca="1">IF(AN46="","",AN46*LOOKUP(K46,$AZ$1:$BI$1,$AZ$8:$BI$8))</f>
        <v>4.5</v>
      </c>
      <c r="AP46">
        <f ca="1">IF(AO46="","",AO46/LOOKUP(K46,$AZ$1:$BI$1,$AZ$42:$BI$42))</f>
        <v>0.9</v>
      </c>
      <c r="AQ46">
        <f ca="1">IF(AO46="","",IF(LOOKUP(K46,$AZ$1:$BI$1,$AZ$37:$BI$37)=0,0.25,MAX(MIN(AP46,2.5),0.5)))</f>
        <v>0.9</v>
      </c>
      <c r="AR46">
        <f t="shared" si="28"/>
        <v>8</v>
      </c>
      <c r="AS46">
        <f t="shared" si="29"/>
        <v>1</v>
      </c>
      <c r="AT46" t="str">
        <f t="shared" si="30"/>
        <v>Habitation Dome</v>
      </c>
      <c r="AU46">
        <f ca="1">IF(OR(AT46="",AT46=0),"",INDEX($AY$1:$BI$5,MATCH(AT46,$AY$1:$AY$5,0),MATCH(K46,$AY$1:$BI$1,0)))</f>
        <v>10</v>
      </c>
      <c r="AV46">
        <f t="shared" ca="1" si="31"/>
        <v>9</v>
      </c>
      <c r="AW46">
        <f t="shared" ca="1" si="32"/>
        <v>9.9</v>
      </c>
      <c r="AY46" t="s">
        <v>88</v>
      </c>
      <c r="AZ46">
        <f>SUMIFS($P:$P,$M:$M,"",$K:$K,AZ$1,$AR:$AR,8)</f>
        <v>0</v>
      </c>
      <c r="BA46">
        <f ca="1">SUMIFS($P:$P,$M:$M,"",$K:$K,BA$1,$AR:$AR,8)</f>
        <v>0</v>
      </c>
      <c r="BB46">
        <f ca="1">SUMIFS($P:$P,$M:$M,"",$K:$K,BB$1,$AR:$AR,8)</f>
        <v>0</v>
      </c>
      <c r="BC46">
        <f ca="1">SUMIFS($P:$P,$M:$M,"",$K:$K,BC$1,$AR:$AR,8)</f>
        <v>1</v>
      </c>
      <c r="BD46">
        <f ca="1">SUMIFS($P:$P,$M:$M,"",$K:$K,BD$1,$AR:$AR,8)</f>
        <v>0</v>
      </c>
      <c r="BE46">
        <f ca="1">SUMIFS($P:$P,$M:$M,"",$K:$K,BE$1,$AR:$AR,8)</f>
        <v>0</v>
      </c>
      <c r="BF46">
        <f ca="1">SUMIFS($P:$P,$M:$M,"",$K:$K,BF$1,$AR:$AR,8)</f>
        <v>0</v>
      </c>
      <c r="BG46">
        <f ca="1">SUMIFS($P:$P,$M:$M,"",$K:$K,BG$1,$AR:$AR,8)</f>
        <v>0</v>
      </c>
      <c r="BH46">
        <f ca="1">SUMIFS($P:$P,$M:$M,"",$K:$K,BH$1,$AR:$AR,8)</f>
        <v>0</v>
      </c>
      <c r="BI46">
        <f ca="1">SUMIFS($P:$P,$M:$M,"",$K:$K,BI$1,$AR:$AR,8)</f>
        <v>0</v>
      </c>
    </row>
    <row r="47" spans="2:61">
      <c r="E47" s="4" t="str">
        <f t="shared" si="1"/>
        <v/>
      </c>
      <c r="H47" s="17"/>
      <c r="I47" s="17"/>
      <c r="L47" s="23"/>
      <c r="N47" t="str">
        <f t="shared" si="13"/>
        <v/>
      </c>
      <c r="O47" t="str">
        <f t="shared" si="14"/>
        <v/>
      </c>
      <c r="P47" t="str">
        <f t="shared" si="15"/>
        <v/>
      </c>
      <c r="Q47" s="10" t="str">
        <f t="shared" si="46"/>
        <v/>
      </c>
      <c r="R47" s="10" t="str">
        <f t="shared" si="16"/>
        <v/>
      </c>
      <c r="S47" s="10" t="str">
        <f t="shared" si="17"/>
        <v/>
      </c>
      <c r="T47" s="10" t="str">
        <f t="shared" si="34"/>
        <v/>
      </c>
      <c r="U47" s="10" t="str">
        <f t="shared" si="35"/>
        <v/>
      </c>
      <c r="V47" s="10" t="str">
        <f t="shared" si="36"/>
        <v/>
      </c>
      <c r="W47" s="10" t="str">
        <f t="shared" si="18"/>
        <v/>
      </c>
      <c r="X47" s="10" t="str">
        <f t="shared" si="19"/>
        <v/>
      </c>
      <c r="Y47" s="10" t="str">
        <f t="shared" si="20"/>
        <v/>
      </c>
      <c r="Z47" s="8" t="str">
        <f t="shared" si="21"/>
        <v/>
      </c>
      <c r="AA47" s="15" t="str">
        <f t="shared" si="22"/>
        <v/>
      </c>
      <c r="AB47" s="15" t="str">
        <f t="shared" si="23"/>
        <v/>
      </c>
      <c r="AC47" s="15" t="str">
        <f t="shared" si="24"/>
        <v/>
      </c>
      <c r="AD47" s="15" t="str">
        <f t="shared" si="25"/>
        <v/>
      </c>
      <c r="AE47" s="15" t="str">
        <f t="shared" si="26"/>
        <v/>
      </c>
      <c r="AF47" s="15" t="str">
        <f t="shared" si="38"/>
        <v/>
      </c>
      <c r="AG47" s="15" t="str">
        <f t="shared" si="39"/>
        <v/>
      </c>
      <c r="AH47" s="15" t="str">
        <f t="shared" si="40"/>
        <v/>
      </c>
      <c r="AI47" s="15" t="str">
        <f t="shared" si="41"/>
        <v/>
      </c>
      <c r="AJ47" s="15" t="str">
        <f t="shared" si="42"/>
        <v/>
      </c>
      <c r="AK47" s="15" t="str">
        <f t="shared" si="43"/>
        <v/>
      </c>
      <c r="AL47" t="str">
        <f>IF(P47=1,LOOKUP(K47,$AZ$1:$BI$1,$AZ$37:$BI$37)-IF(O47="",0,O47),"")</f>
        <v/>
      </c>
      <c r="AM47" s="10" t="str">
        <f t="shared" si="27"/>
        <v/>
      </c>
      <c r="AN47" s="10" t="str">
        <f>IF(AM47="","",AM47*LOOKUP(K47,$AZ$1:$BI$1,$AZ$7:$BI$7))</f>
        <v/>
      </c>
      <c r="AO47" t="str">
        <f>IF(AN47="","",AN47*LOOKUP(K47,$AZ$1:$BI$1,$AZ$8:$BI$8))</f>
        <v/>
      </c>
      <c r="AP47" t="str">
        <f>IF(AO47="","",AO47/LOOKUP(K47,$AZ$1:$BI$1,$AZ$42:$BI$42))</f>
        <v/>
      </c>
      <c r="AQ47" t="str">
        <f>IF(AO47="","",IF(LOOKUP(K47,$AZ$1:$BI$1,$AZ$37:$BI$37)=0,0.25,MAX(MIN(AP47,2.5),0.5)))</f>
        <v/>
      </c>
      <c r="AR47" t="str">
        <f t="shared" si="28"/>
        <v/>
      </c>
      <c r="AS47" t="str">
        <f t="shared" si="29"/>
        <v/>
      </c>
      <c r="AT47" t="str">
        <f t="shared" si="30"/>
        <v/>
      </c>
      <c r="AU47" t="str">
        <f>IF(OR(AT47="",AT47=0),"",INDEX($AY$1:$BI$5,MATCH(AT47,$AY$1:$AY$5,0),MATCH(K47,$AY$1:$BI$1,0)))</f>
        <v/>
      </c>
      <c r="AV47" t="str">
        <f t="shared" si="31"/>
        <v/>
      </c>
      <c r="AW47" t="str">
        <f t="shared" si="32"/>
        <v/>
      </c>
    </row>
    <row r="48" spans="2:61">
      <c r="B48" s="32" t="s">
        <v>23</v>
      </c>
      <c r="C48" s="32"/>
      <c r="E48" s="4" t="str">
        <f t="shared" si="1"/>
        <v/>
      </c>
      <c r="H48" s="17"/>
      <c r="I48" s="17"/>
      <c r="L48" s="23"/>
      <c r="N48" t="str">
        <f t="shared" si="13"/>
        <v/>
      </c>
      <c r="O48" t="str">
        <f t="shared" si="14"/>
        <v/>
      </c>
      <c r="P48" t="str">
        <f t="shared" si="15"/>
        <v/>
      </c>
      <c r="Q48" s="10" t="str">
        <f t="shared" si="46"/>
        <v/>
      </c>
      <c r="R48" s="10" t="str">
        <f t="shared" si="16"/>
        <v/>
      </c>
      <c r="S48" s="10" t="str">
        <f t="shared" si="17"/>
        <v/>
      </c>
      <c r="T48" s="10" t="str">
        <f t="shared" si="34"/>
        <v/>
      </c>
      <c r="U48" s="10" t="str">
        <f t="shared" si="35"/>
        <v/>
      </c>
      <c r="V48" s="10" t="str">
        <f t="shared" si="36"/>
        <v/>
      </c>
      <c r="W48" s="10" t="str">
        <f t="shared" si="18"/>
        <v/>
      </c>
      <c r="X48" s="10" t="str">
        <f t="shared" si="19"/>
        <v/>
      </c>
      <c r="Y48" s="10" t="str">
        <f t="shared" si="20"/>
        <v/>
      </c>
      <c r="Z48" s="8" t="str">
        <f t="shared" si="21"/>
        <v/>
      </c>
      <c r="AA48" s="15" t="str">
        <f t="shared" si="22"/>
        <v/>
      </c>
      <c r="AB48" s="15" t="str">
        <f t="shared" si="23"/>
        <v/>
      </c>
      <c r="AC48" s="15" t="str">
        <f t="shared" si="24"/>
        <v/>
      </c>
      <c r="AD48" s="15" t="str">
        <f t="shared" si="25"/>
        <v/>
      </c>
      <c r="AE48" s="15" t="str">
        <f t="shared" si="26"/>
        <v/>
      </c>
      <c r="AF48" s="15" t="str">
        <f t="shared" si="38"/>
        <v/>
      </c>
      <c r="AG48" s="15" t="str">
        <f t="shared" si="39"/>
        <v/>
      </c>
      <c r="AH48" s="15" t="str">
        <f t="shared" si="40"/>
        <v/>
      </c>
      <c r="AI48" s="15" t="str">
        <f t="shared" si="41"/>
        <v/>
      </c>
      <c r="AJ48" s="15" t="str">
        <f t="shared" si="42"/>
        <v/>
      </c>
      <c r="AK48" s="15" t="str">
        <f t="shared" si="43"/>
        <v/>
      </c>
      <c r="AL48" t="str">
        <f>IF(P48=1,LOOKUP(K48,$AZ$1:$BI$1,$AZ$37:$BI$37)-IF(O48="",0,O48),"")</f>
        <v/>
      </c>
      <c r="AM48" s="10" t="str">
        <f t="shared" si="27"/>
        <v/>
      </c>
      <c r="AN48" s="10" t="str">
        <f>IF(AM48="","",AM48*LOOKUP(K48,$AZ$1:$BI$1,$AZ$7:$BI$7))</f>
        <v/>
      </c>
      <c r="AO48" t="str">
        <f>IF(AN48="","",AN48*LOOKUP(K48,$AZ$1:$BI$1,$AZ$8:$BI$8))</f>
        <v/>
      </c>
      <c r="AP48" t="str">
        <f>IF(AO48="","",AO48/LOOKUP(K48,$AZ$1:$BI$1,$AZ$42:$BI$42))</f>
        <v/>
      </c>
      <c r="AQ48" t="str">
        <f>IF(AO48="","",IF(LOOKUP(K48,$AZ$1:$BI$1,$AZ$37:$BI$37)=0,0.25,MAX(MIN(AP48,2.5),0.5)))</f>
        <v/>
      </c>
      <c r="AR48" t="str">
        <f t="shared" si="28"/>
        <v/>
      </c>
      <c r="AS48" t="str">
        <f t="shared" si="29"/>
        <v/>
      </c>
      <c r="AT48" t="str">
        <f t="shared" si="30"/>
        <v/>
      </c>
      <c r="AU48" t="str">
        <f>IF(OR(AT48="",AT48=0),"",INDEX($AY$1:$BI$5,MATCH(AT48,$AY$1:$AY$5,0),MATCH(K48,$AY$1:$BI$1,0)))</f>
        <v/>
      </c>
      <c r="AV48" t="str">
        <f t="shared" si="31"/>
        <v/>
      </c>
      <c r="AW48" t="str">
        <f t="shared" si="32"/>
        <v/>
      </c>
    </row>
    <row r="49" spans="1:49">
      <c r="E49" s="4" t="str">
        <f t="shared" si="1"/>
        <v/>
      </c>
      <c r="H49" s="17"/>
      <c r="I49" s="17"/>
      <c r="L49" s="23"/>
      <c r="N49" t="str">
        <f t="shared" si="13"/>
        <v/>
      </c>
      <c r="O49" t="str">
        <f t="shared" si="14"/>
        <v/>
      </c>
      <c r="P49" t="str">
        <f t="shared" si="15"/>
        <v/>
      </c>
      <c r="Q49" s="10" t="str">
        <f t="shared" si="46"/>
        <v/>
      </c>
      <c r="R49" s="10" t="str">
        <f t="shared" si="16"/>
        <v/>
      </c>
      <c r="S49" s="10" t="str">
        <f t="shared" si="17"/>
        <v/>
      </c>
      <c r="T49" s="10" t="str">
        <f t="shared" si="34"/>
        <v/>
      </c>
      <c r="U49" s="10" t="str">
        <f t="shared" si="35"/>
        <v/>
      </c>
      <c r="V49" s="10" t="str">
        <f t="shared" si="36"/>
        <v/>
      </c>
      <c r="W49" s="10" t="str">
        <f t="shared" si="18"/>
        <v/>
      </c>
      <c r="X49" s="10" t="str">
        <f t="shared" si="19"/>
        <v/>
      </c>
      <c r="Y49" s="10" t="str">
        <f t="shared" si="20"/>
        <v/>
      </c>
      <c r="Z49" s="8" t="str">
        <f t="shared" si="21"/>
        <v/>
      </c>
      <c r="AA49" s="15" t="str">
        <f t="shared" si="22"/>
        <v/>
      </c>
      <c r="AB49" s="15" t="str">
        <f t="shared" si="23"/>
        <v/>
      </c>
      <c r="AC49" s="15" t="str">
        <f t="shared" si="24"/>
        <v/>
      </c>
      <c r="AD49" s="15" t="str">
        <f t="shared" si="25"/>
        <v/>
      </c>
      <c r="AE49" s="15" t="str">
        <f t="shared" si="26"/>
        <v/>
      </c>
      <c r="AF49" s="15" t="str">
        <f t="shared" si="38"/>
        <v/>
      </c>
      <c r="AG49" s="15" t="str">
        <f t="shared" si="39"/>
        <v/>
      </c>
      <c r="AH49" s="15" t="str">
        <f t="shared" si="40"/>
        <v/>
      </c>
      <c r="AI49" s="15" t="str">
        <f t="shared" si="41"/>
        <v/>
      </c>
      <c r="AJ49" s="15" t="str">
        <f t="shared" si="42"/>
        <v/>
      </c>
      <c r="AK49" s="15" t="str">
        <f t="shared" si="43"/>
        <v/>
      </c>
      <c r="AL49" t="str">
        <f>IF(P49=1,LOOKUP(K49,$AZ$1:$BI$1,$AZ$37:$BI$37)-IF(O49="",0,O49),"")</f>
        <v/>
      </c>
      <c r="AM49" s="10" t="str">
        <f t="shared" si="27"/>
        <v/>
      </c>
      <c r="AN49" s="10" t="str">
        <f>IF(AM49="","",AM49*LOOKUP(K49,$AZ$1:$BI$1,$AZ$7:$BI$7))</f>
        <v/>
      </c>
      <c r="AO49" t="str">
        <f>IF(AN49="","",AN49*LOOKUP(K49,$AZ$1:$BI$1,$AZ$8:$BI$8))</f>
        <v/>
      </c>
      <c r="AP49" t="str">
        <f>IF(AO49="","",AO49/LOOKUP(K49,$AZ$1:$BI$1,$AZ$42:$BI$42))</f>
        <v/>
      </c>
      <c r="AQ49" t="str">
        <f>IF(AO49="","",IF(LOOKUP(K49,$AZ$1:$BI$1,$AZ$37:$BI$37)=0,0.25,MAX(MIN(AP49,2.5),0.5)))</f>
        <v/>
      </c>
      <c r="AR49" t="str">
        <f t="shared" si="28"/>
        <v/>
      </c>
      <c r="AS49" t="str">
        <f t="shared" si="29"/>
        <v/>
      </c>
      <c r="AT49" t="str">
        <f t="shared" si="30"/>
        <v/>
      </c>
      <c r="AU49" t="str">
        <f>IF(OR(AT49="",AT49=0),"",INDEX($AY$1:$BI$5,MATCH(AT49,$AY$1:$AY$5,0),MATCH(K49,$AY$1:$BI$1,0)))</f>
        <v/>
      </c>
      <c r="AV49" t="str">
        <f t="shared" si="31"/>
        <v/>
      </c>
      <c r="AW49" t="str">
        <f t="shared" si="32"/>
        <v/>
      </c>
    </row>
    <row r="50" spans="1:49">
      <c r="B50" t="s">
        <v>141</v>
      </c>
      <c r="C50" s="36">
        <f ca="1">$C$36/C60*6</f>
        <v>14444.831186912636</v>
      </c>
      <c r="E50" s="4" t="str">
        <f t="shared" si="1"/>
        <v/>
      </c>
      <c r="H50" s="17"/>
      <c r="I50" s="17"/>
      <c r="L50" s="23"/>
      <c r="N50" t="str">
        <f t="shared" si="13"/>
        <v/>
      </c>
      <c r="O50" t="str">
        <f t="shared" si="14"/>
        <v/>
      </c>
      <c r="P50" t="str">
        <f t="shared" si="15"/>
        <v/>
      </c>
      <c r="Q50" s="10" t="str">
        <f t="shared" si="46"/>
        <v/>
      </c>
      <c r="R50" s="10" t="str">
        <f t="shared" si="16"/>
        <v/>
      </c>
      <c r="S50" s="10" t="str">
        <f t="shared" si="17"/>
        <v/>
      </c>
      <c r="T50" s="10" t="str">
        <f t="shared" si="34"/>
        <v/>
      </c>
      <c r="U50" s="10" t="str">
        <f t="shared" si="35"/>
        <v/>
      </c>
      <c r="V50" s="10" t="str">
        <f t="shared" si="36"/>
        <v/>
      </c>
      <c r="W50" s="10" t="str">
        <f t="shared" si="18"/>
        <v/>
      </c>
      <c r="X50" s="10" t="str">
        <f t="shared" si="19"/>
        <v/>
      </c>
      <c r="Y50" s="10" t="str">
        <f t="shared" si="20"/>
        <v/>
      </c>
      <c r="Z50" s="8" t="str">
        <f t="shared" si="21"/>
        <v/>
      </c>
      <c r="AA50" s="15" t="str">
        <f t="shared" si="22"/>
        <v/>
      </c>
      <c r="AB50" s="15" t="str">
        <f t="shared" si="23"/>
        <v/>
      </c>
      <c r="AC50" s="15" t="str">
        <f t="shared" si="24"/>
        <v/>
      </c>
      <c r="AD50" s="15" t="str">
        <f t="shared" si="25"/>
        <v/>
      </c>
      <c r="AE50" s="15" t="str">
        <f t="shared" si="26"/>
        <v/>
      </c>
      <c r="AF50" s="15" t="str">
        <f t="shared" si="38"/>
        <v/>
      </c>
      <c r="AG50" s="15" t="str">
        <f t="shared" si="39"/>
        <v/>
      </c>
      <c r="AH50" s="15" t="str">
        <f t="shared" si="40"/>
        <v/>
      </c>
      <c r="AI50" s="15" t="str">
        <f t="shared" si="41"/>
        <v/>
      </c>
      <c r="AJ50" s="15" t="str">
        <f t="shared" si="42"/>
        <v/>
      </c>
      <c r="AK50" s="15" t="str">
        <f t="shared" si="43"/>
        <v/>
      </c>
      <c r="AL50" t="str">
        <f>IF(P50=1,LOOKUP(K50,$AZ$1:$BI$1,$AZ$37:$BI$37)-IF(O50="",0,O50),"")</f>
        <v/>
      </c>
      <c r="AM50" s="10" t="str">
        <f t="shared" si="27"/>
        <v/>
      </c>
      <c r="AN50" s="10" t="str">
        <f>IF(AM50="","",AM50*LOOKUP(K50,$AZ$1:$BI$1,$AZ$7:$BI$7))</f>
        <v/>
      </c>
      <c r="AO50" t="str">
        <f>IF(AN50="","",AN50*LOOKUP(K50,$AZ$1:$BI$1,$AZ$8:$BI$8))</f>
        <v/>
      </c>
      <c r="AP50" t="str">
        <f>IF(AO50="","",AO50/LOOKUP(K50,$AZ$1:$BI$1,$AZ$42:$BI$42))</f>
        <v/>
      </c>
      <c r="AQ50" t="str">
        <f>IF(AO50="","",IF(LOOKUP(K50,$AZ$1:$BI$1,$AZ$37:$BI$37)=0,0.25,MAX(MIN(AP50,2.5),0.5)))</f>
        <v/>
      </c>
      <c r="AR50" t="str">
        <f t="shared" si="28"/>
        <v/>
      </c>
      <c r="AS50" t="str">
        <f t="shared" si="29"/>
        <v/>
      </c>
      <c r="AT50" t="str">
        <f t="shared" si="30"/>
        <v/>
      </c>
      <c r="AU50" t="str">
        <f>IF(OR(AT50="",AT50=0),"",INDEX($AY$1:$BI$5,MATCH(AT50,$AY$1:$AY$5,0),MATCH(K50,$AY$1:$BI$1,0)))</f>
        <v/>
      </c>
      <c r="AV50" t="str">
        <f t="shared" si="31"/>
        <v/>
      </c>
      <c r="AW50" t="str">
        <f t="shared" si="32"/>
        <v/>
      </c>
    </row>
    <row r="51" spans="1:49">
      <c r="B51" t="s">
        <v>142</v>
      </c>
      <c r="C51" s="36">
        <f ca="1">$C$36/C61*6</f>
        <v>18082.788671023962</v>
      </c>
      <c r="E51" s="4" t="str">
        <f t="shared" si="1"/>
        <v/>
      </c>
      <c r="H51" s="17"/>
      <c r="I51" s="17"/>
      <c r="L51" s="23"/>
      <c r="N51" t="str">
        <f t="shared" si="13"/>
        <v/>
      </c>
      <c r="O51" t="str">
        <f t="shared" si="14"/>
        <v/>
      </c>
      <c r="P51" t="str">
        <f t="shared" si="15"/>
        <v/>
      </c>
      <c r="Q51" s="10" t="str">
        <f t="shared" si="46"/>
        <v/>
      </c>
      <c r="R51" s="10" t="str">
        <f t="shared" si="16"/>
        <v/>
      </c>
      <c r="S51" s="10" t="str">
        <f t="shared" si="17"/>
        <v/>
      </c>
      <c r="T51" s="10" t="str">
        <f t="shared" si="34"/>
        <v/>
      </c>
      <c r="U51" s="10" t="str">
        <f t="shared" si="35"/>
        <v/>
      </c>
      <c r="V51" s="10" t="str">
        <f t="shared" si="36"/>
        <v/>
      </c>
      <c r="W51" s="10" t="str">
        <f t="shared" si="18"/>
        <v/>
      </c>
      <c r="X51" s="10" t="str">
        <f t="shared" si="19"/>
        <v/>
      </c>
      <c r="Y51" s="10" t="str">
        <f t="shared" si="20"/>
        <v/>
      </c>
      <c r="Z51" s="8" t="str">
        <f t="shared" si="21"/>
        <v/>
      </c>
      <c r="AA51" s="15" t="str">
        <f t="shared" si="22"/>
        <v/>
      </c>
      <c r="AB51" s="15" t="str">
        <f t="shared" si="23"/>
        <v/>
      </c>
      <c r="AC51" s="15" t="str">
        <f t="shared" si="24"/>
        <v/>
      </c>
      <c r="AD51" s="15" t="str">
        <f t="shared" si="25"/>
        <v/>
      </c>
      <c r="AE51" s="15" t="str">
        <f t="shared" si="26"/>
        <v/>
      </c>
      <c r="AF51" s="15" t="str">
        <f t="shared" si="38"/>
        <v/>
      </c>
      <c r="AG51" s="15" t="str">
        <f t="shared" si="39"/>
        <v/>
      </c>
      <c r="AH51" s="15" t="str">
        <f t="shared" si="40"/>
        <v/>
      </c>
      <c r="AI51" s="15" t="str">
        <f t="shared" si="41"/>
        <v/>
      </c>
      <c r="AJ51" s="15" t="str">
        <f t="shared" si="42"/>
        <v/>
      </c>
      <c r="AK51" s="15" t="str">
        <f t="shared" si="43"/>
        <v/>
      </c>
      <c r="AL51" t="str">
        <f>IF(P51=1,LOOKUP(K51,$AZ$1:$BI$1,$AZ$37:$BI$37)-IF(O51="",0,O51),"")</f>
        <v/>
      </c>
      <c r="AM51" s="10" t="str">
        <f t="shared" si="27"/>
        <v/>
      </c>
      <c r="AN51" s="10" t="str">
        <f>IF(AM51="","",AM51*LOOKUP(K51,$AZ$1:$BI$1,$AZ$7:$BI$7))</f>
        <v/>
      </c>
      <c r="AO51" t="str">
        <f>IF(AN51="","",AN51*LOOKUP(K51,$AZ$1:$BI$1,$AZ$8:$BI$8))</f>
        <v/>
      </c>
      <c r="AP51" t="str">
        <f>IF(AO51="","",AO51/LOOKUP(K51,$AZ$1:$BI$1,$AZ$42:$BI$42))</f>
        <v/>
      </c>
      <c r="AQ51" t="str">
        <f>IF(AO51="","",IF(LOOKUP(K51,$AZ$1:$BI$1,$AZ$37:$BI$37)=0,0.25,MAX(MIN(AP51,2.5),0.5)))</f>
        <v/>
      </c>
      <c r="AR51" t="str">
        <f t="shared" si="28"/>
        <v/>
      </c>
      <c r="AS51" t="str">
        <f t="shared" si="29"/>
        <v/>
      </c>
      <c r="AT51" t="str">
        <f t="shared" si="30"/>
        <v/>
      </c>
      <c r="AU51" t="str">
        <f>IF(OR(AT51="",AT51=0),"",INDEX($AY$1:$BI$5,MATCH(AT51,$AY$1:$AY$5,0),MATCH(K51,$AY$1:$BI$1,0)))</f>
        <v/>
      </c>
      <c r="AV51" t="str">
        <f t="shared" si="31"/>
        <v/>
      </c>
      <c r="AW51" t="str">
        <f t="shared" si="32"/>
        <v/>
      </c>
    </row>
    <row r="52" spans="1:49">
      <c r="B52" t="s">
        <v>143</v>
      </c>
      <c r="C52" s="36">
        <f ca="1">$C$36/C62*6</f>
        <v>19726.678550207962</v>
      </c>
      <c r="E52" s="4" t="str">
        <f t="shared" si="1"/>
        <v/>
      </c>
      <c r="H52" s="17"/>
      <c r="I52" s="17"/>
      <c r="L52" s="23"/>
      <c r="N52" t="str">
        <f t="shared" si="13"/>
        <v/>
      </c>
      <c r="O52" t="str">
        <f t="shared" si="14"/>
        <v/>
      </c>
      <c r="P52" t="str">
        <f t="shared" si="15"/>
        <v/>
      </c>
      <c r="Q52" s="10" t="str">
        <f t="shared" si="46"/>
        <v/>
      </c>
      <c r="R52" s="10" t="str">
        <f t="shared" si="16"/>
        <v/>
      </c>
      <c r="S52" s="10" t="str">
        <f t="shared" si="17"/>
        <v/>
      </c>
      <c r="T52" s="10" t="str">
        <f t="shared" si="34"/>
        <v/>
      </c>
      <c r="U52" s="10" t="str">
        <f t="shared" si="35"/>
        <v/>
      </c>
      <c r="V52" s="10" t="str">
        <f t="shared" si="36"/>
        <v/>
      </c>
      <c r="W52" s="10" t="str">
        <f t="shared" si="18"/>
        <v/>
      </c>
      <c r="X52" s="10" t="str">
        <f t="shared" si="19"/>
        <v/>
      </c>
      <c r="Y52" s="10" t="str">
        <f t="shared" si="20"/>
        <v/>
      </c>
      <c r="Z52" s="8" t="str">
        <f t="shared" si="21"/>
        <v/>
      </c>
      <c r="AA52" s="15" t="str">
        <f t="shared" si="22"/>
        <v/>
      </c>
      <c r="AB52" s="15" t="str">
        <f t="shared" si="23"/>
        <v/>
      </c>
      <c r="AC52" s="15" t="str">
        <f t="shared" si="24"/>
        <v/>
      </c>
      <c r="AD52" s="15" t="str">
        <f t="shared" si="25"/>
        <v/>
      </c>
      <c r="AE52" s="15" t="str">
        <f t="shared" si="26"/>
        <v/>
      </c>
      <c r="AF52" s="15" t="str">
        <f t="shared" si="38"/>
        <v/>
      </c>
      <c r="AG52" s="15" t="str">
        <f t="shared" si="39"/>
        <v/>
      </c>
      <c r="AH52" s="15" t="str">
        <f t="shared" si="40"/>
        <v/>
      </c>
      <c r="AI52" s="15" t="str">
        <f t="shared" si="41"/>
        <v/>
      </c>
      <c r="AJ52" s="15" t="str">
        <f t="shared" si="42"/>
        <v/>
      </c>
      <c r="AK52" s="15" t="str">
        <f t="shared" si="43"/>
        <v/>
      </c>
      <c r="AL52" t="str">
        <f>IF(P52=1,LOOKUP(K52,$AZ$1:$BI$1,$AZ$37:$BI$37)-IF(O52="",0,O52),"")</f>
        <v/>
      </c>
      <c r="AM52" s="10" t="str">
        <f t="shared" si="27"/>
        <v/>
      </c>
      <c r="AN52" s="10" t="str">
        <f>IF(AM52="","",AM52*LOOKUP(K52,$AZ$1:$BI$1,$AZ$7:$BI$7))</f>
        <v/>
      </c>
      <c r="AO52" t="str">
        <f>IF(AN52="","",AN52*LOOKUP(K52,$AZ$1:$BI$1,$AZ$8:$BI$8))</f>
        <v/>
      </c>
      <c r="AP52" t="str">
        <f>IF(AO52="","",AO52/LOOKUP(K52,$AZ$1:$BI$1,$AZ$42:$BI$42))</f>
        <v/>
      </c>
      <c r="AQ52" t="str">
        <f>IF(AO52="","",IF(LOOKUP(K52,$AZ$1:$BI$1,$AZ$37:$BI$37)=0,0.25,MAX(MIN(AP52,2.5),0.5)))</f>
        <v/>
      </c>
      <c r="AR52" t="str">
        <f t="shared" si="28"/>
        <v/>
      </c>
      <c r="AS52" t="str">
        <f t="shared" si="29"/>
        <v/>
      </c>
      <c r="AT52" t="str">
        <f t="shared" si="30"/>
        <v/>
      </c>
      <c r="AU52" t="str">
        <f>IF(OR(AT52="",AT52=0),"",INDEX($AY$1:$BI$5,MATCH(AT52,$AY$1:$AY$5,0),MATCH(K52,$AY$1:$BI$1,0)))</f>
        <v/>
      </c>
      <c r="AV52" t="str">
        <f t="shared" si="31"/>
        <v/>
      </c>
      <c r="AW52" t="str">
        <f t="shared" si="32"/>
        <v/>
      </c>
    </row>
    <row r="53" spans="1:49">
      <c r="B53" t="s">
        <v>144</v>
      </c>
      <c r="C53" s="36">
        <f ca="1">$C$36/C63*6</f>
        <v>21343.619414979112</v>
      </c>
      <c r="E53" s="4" t="str">
        <f t="shared" si="1"/>
        <v/>
      </c>
      <c r="H53" s="17"/>
      <c r="I53" s="17"/>
      <c r="L53" s="23"/>
      <c r="N53" t="str">
        <f t="shared" si="13"/>
        <v/>
      </c>
      <c r="O53" t="str">
        <f t="shared" si="14"/>
        <v/>
      </c>
      <c r="P53" t="str">
        <f t="shared" si="15"/>
        <v/>
      </c>
      <c r="Q53" s="10" t="str">
        <f t="shared" si="46"/>
        <v/>
      </c>
      <c r="R53" s="10" t="str">
        <f t="shared" si="16"/>
        <v/>
      </c>
      <c r="S53" s="10" t="str">
        <f t="shared" si="17"/>
        <v/>
      </c>
      <c r="T53" s="10" t="str">
        <f t="shared" si="34"/>
        <v/>
      </c>
      <c r="U53" s="10" t="str">
        <f t="shared" si="35"/>
        <v/>
      </c>
      <c r="V53" s="10" t="str">
        <f t="shared" si="36"/>
        <v/>
      </c>
      <c r="W53" s="10" t="str">
        <f t="shared" si="18"/>
        <v/>
      </c>
      <c r="X53" s="10" t="str">
        <f t="shared" si="19"/>
        <v/>
      </c>
      <c r="Y53" s="10" t="str">
        <f t="shared" si="20"/>
        <v/>
      </c>
      <c r="Z53" s="8" t="str">
        <f t="shared" si="21"/>
        <v/>
      </c>
      <c r="AA53" s="15" t="str">
        <f t="shared" si="22"/>
        <v/>
      </c>
      <c r="AB53" s="15" t="str">
        <f t="shared" si="23"/>
        <v/>
      </c>
      <c r="AC53" s="15" t="str">
        <f t="shared" si="24"/>
        <v/>
      </c>
      <c r="AD53" s="15" t="str">
        <f t="shared" si="25"/>
        <v/>
      </c>
      <c r="AE53" s="15" t="str">
        <f t="shared" si="26"/>
        <v/>
      </c>
      <c r="AF53" s="15" t="str">
        <f t="shared" si="38"/>
        <v/>
      </c>
      <c r="AG53" s="15" t="str">
        <f t="shared" si="39"/>
        <v/>
      </c>
      <c r="AH53" s="15" t="str">
        <f t="shared" si="40"/>
        <v/>
      </c>
      <c r="AI53" s="15" t="str">
        <f t="shared" si="41"/>
        <v/>
      </c>
      <c r="AJ53" s="15" t="str">
        <f t="shared" si="42"/>
        <v/>
      </c>
      <c r="AK53" s="15" t="str">
        <f t="shared" si="43"/>
        <v/>
      </c>
      <c r="AL53" t="str">
        <f>IF(P53=1,LOOKUP(K53,$AZ$1:$BI$1,$AZ$37:$BI$37)-IF(O53="",0,O53),"")</f>
        <v/>
      </c>
      <c r="AM53" s="10" t="str">
        <f t="shared" si="27"/>
        <v/>
      </c>
      <c r="AN53" s="10" t="str">
        <f>IF(AM53="","",AM53*LOOKUP(K53,$AZ$1:$BI$1,$AZ$7:$BI$7))</f>
        <v/>
      </c>
      <c r="AO53" t="str">
        <f>IF(AN53="","",AN53*LOOKUP(K53,$AZ$1:$BI$1,$AZ$8:$BI$8))</f>
        <v/>
      </c>
      <c r="AP53" t="str">
        <f>IF(AO53="","",AO53/LOOKUP(K53,$AZ$1:$BI$1,$AZ$42:$BI$42))</f>
        <v/>
      </c>
      <c r="AQ53" t="str">
        <f>IF(AO53="","",IF(LOOKUP(K53,$AZ$1:$BI$1,$AZ$37:$BI$37)=0,0.25,MAX(MIN(AP53,2.5),0.5)))</f>
        <v/>
      </c>
      <c r="AR53" t="str">
        <f t="shared" si="28"/>
        <v/>
      </c>
      <c r="AS53" t="str">
        <f t="shared" si="29"/>
        <v/>
      </c>
      <c r="AT53" t="str">
        <f t="shared" si="30"/>
        <v/>
      </c>
      <c r="AU53" t="str">
        <f>IF(OR(AT53="",AT53=0),"",INDEX($AY$1:$BI$5,MATCH(AT53,$AY$1:$AY$5,0),MATCH(K53,$AY$1:$BI$1,0)))</f>
        <v/>
      </c>
      <c r="AV53" t="str">
        <f t="shared" si="31"/>
        <v/>
      </c>
      <c r="AW53" t="str">
        <f t="shared" si="32"/>
        <v/>
      </c>
    </row>
    <row r="54" spans="1:49">
      <c r="E54" s="4" t="str">
        <f t="shared" si="1"/>
        <v/>
      </c>
      <c r="H54" s="17"/>
      <c r="I54" s="17"/>
      <c r="L54" s="23"/>
      <c r="N54" t="str">
        <f t="shared" si="13"/>
        <v/>
      </c>
      <c r="O54" t="str">
        <f t="shared" si="14"/>
        <v/>
      </c>
      <c r="P54" t="str">
        <f t="shared" si="15"/>
        <v/>
      </c>
      <c r="Q54" s="10" t="str">
        <f t="shared" si="46"/>
        <v/>
      </c>
      <c r="R54" s="10" t="str">
        <f t="shared" si="16"/>
        <v/>
      </c>
      <c r="S54" s="10" t="str">
        <f t="shared" si="17"/>
        <v/>
      </c>
      <c r="T54" s="10" t="str">
        <f t="shared" si="34"/>
        <v/>
      </c>
      <c r="U54" s="10" t="str">
        <f t="shared" si="35"/>
        <v/>
      </c>
      <c r="V54" s="10" t="str">
        <f t="shared" si="36"/>
        <v/>
      </c>
      <c r="W54" s="10" t="str">
        <f t="shared" si="18"/>
        <v/>
      </c>
      <c r="X54" s="10" t="str">
        <f t="shared" si="19"/>
        <v/>
      </c>
      <c r="Y54" s="10" t="str">
        <f t="shared" si="20"/>
        <v/>
      </c>
      <c r="Z54" s="8" t="str">
        <f t="shared" si="21"/>
        <v/>
      </c>
      <c r="AA54" s="15" t="str">
        <f t="shared" si="22"/>
        <v/>
      </c>
      <c r="AB54" s="15" t="str">
        <f t="shared" si="23"/>
        <v/>
      </c>
      <c r="AC54" s="15" t="str">
        <f t="shared" si="24"/>
        <v/>
      </c>
      <c r="AD54" s="15" t="str">
        <f t="shared" si="25"/>
        <v/>
      </c>
      <c r="AE54" s="15" t="str">
        <f t="shared" si="26"/>
        <v/>
      </c>
      <c r="AF54" s="15" t="str">
        <f t="shared" si="38"/>
        <v/>
      </c>
      <c r="AG54" s="15" t="str">
        <f t="shared" si="39"/>
        <v/>
      </c>
      <c r="AH54" s="15" t="str">
        <f t="shared" si="40"/>
        <v/>
      </c>
      <c r="AI54" s="15" t="str">
        <f t="shared" si="41"/>
        <v/>
      </c>
      <c r="AJ54" s="15" t="str">
        <f t="shared" si="42"/>
        <v/>
      </c>
      <c r="AK54" s="15" t="str">
        <f t="shared" si="43"/>
        <v/>
      </c>
      <c r="AL54" t="str">
        <f>IF(P54=1,LOOKUP(K54,$AZ$1:$BI$1,$AZ$37:$BI$37)-IF(O54="",0,O54),"")</f>
        <v/>
      </c>
      <c r="AM54" s="10" t="str">
        <f t="shared" si="27"/>
        <v/>
      </c>
      <c r="AN54" s="10" t="str">
        <f>IF(AM54="","",AM54*LOOKUP(K54,$AZ$1:$BI$1,$AZ$7:$BI$7))</f>
        <v/>
      </c>
      <c r="AO54" t="str">
        <f>IF(AN54="","",AN54*LOOKUP(K54,$AZ$1:$BI$1,$AZ$8:$BI$8))</f>
        <v/>
      </c>
      <c r="AP54" t="str">
        <f>IF(AO54="","",AO54/LOOKUP(K54,$AZ$1:$BI$1,$AZ$42:$BI$42))</f>
        <v/>
      </c>
      <c r="AQ54" t="str">
        <f>IF(AO54="","",IF(LOOKUP(K54,$AZ$1:$BI$1,$AZ$37:$BI$37)=0,0.25,MAX(MIN(AP54,2.5),0.5)))</f>
        <v/>
      </c>
      <c r="AR54" t="str">
        <f t="shared" si="28"/>
        <v/>
      </c>
      <c r="AS54" t="str">
        <f t="shared" si="29"/>
        <v/>
      </c>
      <c r="AT54" t="str">
        <f t="shared" si="30"/>
        <v/>
      </c>
      <c r="AU54" t="str">
        <f>IF(OR(AT54="",AT54=0),"",INDEX($AY$1:$BI$5,MATCH(AT54,$AY$1:$AY$5,0),MATCH(K54,$AY$1:$BI$1,0)))</f>
        <v/>
      </c>
      <c r="AV54" t="str">
        <f t="shared" si="31"/>
        <v/>
      </c>
      <c r="AW54" t="str">
        <f t="shared" si="32"/>
        <v/>
      </c>
    </row>
    <row r="55" spans="1:49">
      <c r="B55" t="s">
        <v>145</v>
      </c>
      <c r="C55" s="10">
        <f ca="1">$C$36/C12*6</f>
        <v>72117.473281779574</v>
      </c>
      <c r="E55" s="4" t="str">
        <f t="shared" si="1"/>
        <v/>
      </c>
      <c r="H55" s="17"/>
      <c r="I55" s="17"/>
      <c r="L55" s="23"/>
      <c r="N55" t="str">
        <f t="shared" si="13"/>
        <v/>
      </c>
      <c r="O55" t="str">
        <f t="shared" si="14"/>
        <v/>
      </c>
      <c r="P55" t="str">
        <f t="shared" si="15"/>
        <v/>
      </c>
      <c r="Q55" s="10" t="str">
        <f t="shared" si="46"/>
        <v/>
      </c>
      <c r="R55" s="10" t="str">
        <f t="shared" si="16"/>
        <v/>
      </c>
      <c r="S55" s="10" t="str">
        <f t="shared" si="17"/>
        <v/>
      </c>
      <c r="T55" s="10" t="str">
        <f t="shared" si="34"/>
        <v/>
      </c>
      <c r="U55" s="10" t="str">
        <f t="shared" si="35"/>
        <v/>
      </c>
      <c r="V55" s="10" t="str">
        <f t="shared" si="36"/>
        <v/>
      </c>
      <c r="W55" s="10" t="str">
        <f t="shared" si="18"/>
        <v/>
      </c>
      <c r="X55" s="10" t="str">
        <f t="shared" si="19"/>
        <v/>
      </c>
      <c r="Y55" s="10" t="str">
        <f t="shared" si="20"/>
        <v/>
      </c>
      <c r="Z55" s="8" t="str">
        <f t="shared" si="21"/>
        <v/>
      </c>
      <c r="AA55" s="15" t="str">
        <f t="shared" si="22"/>
        <v/>
      </c>
      <c r="AB55" s="15" t="str">
        <f t="shared" si="23"/>
        <v/>
      </c>
      <c r="AC55" s="15" t="str">
        <f t="shared" si="24"/>
        <v/>
      </c>
      <c r="AD55" s="15" t="str">
        <f t="shared" si="25"/>
        <v/>
      </c>
      <c r="AE55" s="15" t="str">
        <f t="shared" si="26"/>
        <v/>
      </c>
      <c r="AF55" s="15" t="str">
        <f t="shared" si="38"/>
        <v/>
      </c>
      <c r="AG55" s="15" t="str">
        <f t="shared" si="39"/>
        <v/>
      </c>
      <c r="AH55" s="15" t="str">
        <f t="shared" si="40"/>
        <v/>
      </c>
      <c r="AI55" s="15" t="str">
        <f t="shared" si="41"/>
        <v/>
      </c>
      <c r="AJ55" s="15" t="str">
        <f t="shared" si="42"/>
        <v/>
      </c>
      <c r="AK55" s="15" t="str">
        <f t="shared" si="43"/>
        <v/>
      </c>
      <c r="AL55" t="str">
        <f>IF(P55=1,LOOKUP(K55,$AZ$1:$BI$1,$AZ$37:$BI$37)-IF(O55="",0,O55),"")</f>
        <v/>
      </c>
      <c r="AM55" s="10" t="str">
        <f t="shared" si="27"/>
        <v/>
      </c>
      <c r="AN55" s="10" t="str">
        <f>IF(AM55="","",AM55*LOOKUP(K55,$AZ$1:$BI$1,$AZ$7:$BI$7))</f>
        <v/>
      </c>
      <c r="AO55" t="str">
        <f>IF(AN55="","",AN55*LOOKUP(K55,$AZ$1:$BI$1,$AZ$8:$BI$8))</f>
        <v/>
      </c>
      <c r="AP55" t="str">
        <f>IF(AO55="","",AO55/LOOKUP(K55,$AZ$1:$BI$1,$AZ$42:$BI$42))</f>
        <v/>
      </c>
      <c r="AQ55" t="str">
        <f>IF(AO55="","",IF(LOOKUP(K55,$AZ$1:$BI$1,$AZ$37:$BI$37)=0,0.25,MAX(MIN(AP55,2.5),0.5)))</f>
        <v/>
      </c>
      <c r="AR55" t="str">
        <f t="shared" si="28"/>
        <v/>
      </c>
      <c r="AS55" t="str">
        <f t="shared" si="29"/>
        <v/>
      </c>
      <c r="AT55" t="str">
        <f t="shared" si="30"/>
        <v/>
      </c>
      <c r="AU55" t="str">
        <f>IF(OR(AT55="",AT55=0),"",INDEX($AY$1:$BI$5,MATCH(AT55,$AY$1:$AY$5,0),MATCH(K55,$AY$1:$BI$1,0)))</f>
        <v/>
      </c>
      <c r="AV55" t="str">
        <f t="shared" si="31"/>
        <v/>
      </c>
      <c r="AW55" t="str">
        <f t="shared" si="32"/>
        <v/>
      </c>
    </row>
    <row r="56" spans="1:49">
      <c r="B56" t="s">
        <v>146</v>
      </c>
      <c r="C56" s="10">
        <f ca="1">$C$36/C13*6</f>
        <v>218939.59377472935</v>
      </c>
      <c r="E56" s="4" t="str">
        <f t="shared" si="1"/>
        <v/>
      </c>
      <c r="H56" s="17"/>
      <c r="I56" s="17"/>
      <c r="L56" s="23"/>
      <c r="N56" t="str">
        <f t="shared" si="13"/>
        <v/>
      </c>
      <c r="O56" t="str">
        <f t="shared" si="14"/>
        <v/>
      </c>
      <c r="P56" t="str">
        <f t="shared" si="15"/>
        <v/>
      </c>
      <c r="Q56" s="10" t="str">
        <f t="shared" si="46"/>
        <v/>
      </c>
      <c r="R56" s="10" t="str">
        <f t="shared" si="16"/>
        <v/>
      </c>
      <c r="S56" s="10" t="str">
        <f t="shared" si="17"/>
        <v/>
      </c>
      <c r="T56" s="10" t="str">
        <f t="shared" si="34"/>
        <v/>
      </c>
      <c r="U56" s="10" t="str">
        <f t="shared" si="35"/>
        <v/>
      </c>
      <c r="V56" s="10" t="str">
        <f t="shared" si="36"/>
        <v/>
      </c>
      <c r="W56" s="10" t="str">
        <f t="shared" si="18"/>
        <v/>
      </c>
      <c r="X56" s="10" t="str">
        <f t="shared" si="19"/>
        <v/>
      </c>
      <c r="Y56" s="10" t="str">
        <f t="shared" si="20"/>
        <v/>
      </c>
      <c r="Z56" s="8" t="str">
        <f t="shared" si="21"/>
        <v/>
      </c>
      <c r="AA56" s="15" t="str">
        <f t="shared" si="22"/>
        <v/>
      </c>
      <c r="AB56" s="15" t="str">
        <f t="shared" si="23"/>
        <v/>
      </c>
      <c r="AC56" s="15" t="str">
        <f t="shared" si="24"/>
        <v/>
      </c>
      <c r="AD56" s="15" t="str">
        <f t="shared" si="25"/>
        <v/>
      </c>
      <c r="AE56" s="15" t="str">
        <f t="shared" si="26"/>
        <v/>
      </c>
      <c r="AF56" s="15" t="str">
        <f t="shared" si="38"/>
        <v/>
      </c>
      <c r="AG56" s="15" t="str">
        <f t="shared" si="39"/>
        <v/>
      </c>
      <c r="AH56" s="15" t="str">
        <f t="shared" si="40"/>
        <v/>
      </c>
      <c r="AI56" s="15" t="str">
        <f t="shared" si="41"/>
        <v/>
      </c>
      <c r="AJ56" s="15" t="str">
        <f t="shared" si="42"/>
        <v/>
      </c>
      <c r="AK56" s="15" t="str">
        <f t="shared" si="43"/>
        <v/>
      </c>
      <c r="AL56" t="str">
        <f>IF(P56=1,LOOKUP(K56,$AZ$1:$BI$1,$AZ$37:$BI$37)-IF(O56="",0,O56),"")</f>
        <v/>
      </c>
      <c r="AM56" s="10" t="str">
        <f t="shared" si="27"/>
        <v/>
      </c>
      <c r="AN56" s="10" t="str">
        <f>IF(AM56="","",AM56*LOOKUP(K56,$AZ$1:$BI$1,$AZ$7:$BI$7))</f>
        <v/>
      </c>
      <c r="AO56" t="str">
        <f>IF(AN56="","",AN56*LOOKUP(K56,$AZ$1:$BI$1,$AZ$8:$BI$8))</f>
        <v/>
      </c>
      <c r="AP56" t="str">
        <f>IF(AO56="","",AO56/LOOKUP(K56,$AZ$1:$BI$1,$AZ$42:$BI$42))</f>
        <v/>
      </c>
      <c r="AQ56" t="str">
        <f>IF(AO56="","",IF(LOOKUP(K56,$AZ$1:$BI$1,$AZ$37:$BI$37)=0,0.25,MAX(MIN(AP56,2.5),0.5)))</f>
        <v/>
      </c>
      <c r="AR56" t="str">
        <f t="shared" si="28"/>
        <v/>
      </c>
      <c r="AS56" t="str">
        <f t="shared" si="29"/>
        <v/>
      </c>
      <c r="AT56" t="str">
        <f t="shared" si="30"/>
        <v/>
      </c>
      <c r="AU56" t="str">
        <f>IF(OR(AT56="",AT56=0),"",INDEX($AY$1:$BI$5,MATCH(AT56,$AY$1:$AY$5,0),MATCH(K56,$AY$1:$BI$1,0)))</f>
        <v/>
      </c>
      <c r="AV56" t="str">
        <f t="shared" si="31"/>
        <v/>
      </c>
      <c r="AW56" t="str">
        <f t="shared" si="32"/>
        <v/>
      </c>
    </row>
    <row r="57" spans="1:49">
      <c r="B57" t="s">
        <v>147</v>
      </c>
      <c r="C57" s="10">
        <f ca="1">$C$36/C14*6</f>
        <v>261788.36145718262</v>
      </c>
      <c r="E57" s="4" t="str">
        <f t="shared" si="1"/>
        <v/>
      </c>
      <c r="H57" s="17"/>
      <c r="I57" s="17"/>
      <c r="L57" s="23"/>
      <c r="N57" t="str">
        <f t="shared" si="13"/>
        <v/>
      </c>
      <c r="O57" t="str">
        <f t="shared" si="14"/>
        <v/>
      </c>
      <c r="P57" t="str">
        <f t="shared" si="15"/>
        <v/>
      </c>
      <c r="Q57" s="10" t="str">
        <f t="shared" si="46"/>
        <v/>
      </c>
      <c r="R57" s="10" t="str">
        <f t="shared" si="16"/>
        <v/>
      </c>
      <c r="S57" s="10" t="str">
        <f t="shared" si="17"/>
        <v/>
      </c>
      <c r="T57" s="10" t="str">
        <f t="shared" si="34"/>
        <v/>
      </c>
      <c r="U57" s="10" t="str">
        <f t="shared" si="35"/>
        <v/>
      </c>
      <c r="V57" s="10" t="str">
        <f t="shared" si="36"/>
        <v/>
      </c>
      <c r="W57" s="10" t="str">
        <f t="shared" si="18"/>
        <v/>
      </c>
      <c r="X57" s="10" t="str">
        <f t="shared" si="19"/>
        <v/>
      </c>
      <c r="Y57" s="10" t="str">
        <f t="shared" si="20"/>
        <v/>
      </c>
      <c r="Z57" s="8" t="str">
        <f t="shared" si="21"/>
        <v/>
      </c>
      <c r="AA57" s="15" t="str">
        <f t="shared" si="22"/>
        <v/>
      </c>
      <c r="AB57" s="15" t="str">
        <f t="shared" si="23"/>
        <v/>
      </c>
      <c r="AC57" s="15" t="str">
        <f t="shared" si="24"/>
        <v/>
      </c>
      <c r="AD57" s="15" t="str">
        <f t="shared" si="25"/>
        <v/>
      </c>
      <c r="AE57" s="15" t="str">
        <f t="shared" si="26"/>
        <v/>
      </c>
      <c r="AF57" s="15" t="str">
        <f t="shared" si="38"/>
        <v/>
      </c>
      <c r="AG57" s="15" t="str">
        <f t="shared" si="39"/>
        <v/>
      </c>
      <c r="AH57" s="15" t="str">
        <f t="shared" si="40"/>
        <v/>
      </c>
      <c r="AI57" s="15" t="str">
        <f t="shared" si="41"/>
        <v/>
      </c>
      <c r="AJ57" s="15" t="str">
        <f t="shared" si="42"/>
        <v/>
      </c>
      <c r="AK57" s="15" t="str">
        <f t="shared" si="43"/>
        <v/>
      </c>
      <c r="AL57" t="str">
        <f>IF(P57=1,LOOKUP(K57,$AZ$1:$BI$1,$AZ$37:$BI$37)-IF(O57="",0,O57),"")</f>
        <v/>
      </c>
      <c r="AM57" s="10" t="str">
        <f t="shared" si="27"/>
        <v/>
      </c>
      <c r="AN57" s="10" t="str">
        <f>IF(AM57="","",AM57*LOOKUP(K57,$AZ$1:$BI$1,$AZ$7:$BI$7))</f>
        <v/>
      </c>
      <c r="AO57" t="str">
        <f>IF(AN57="","",AN57*LOOKUP(K57,$AZ$1:$BI$1,$AZ$8:$BI$8))</f>
        <v/>
      </c>
      <c r="AP57" t="str">
        <f>IF(AO57="","",AO57/LOOKUP(K57,$AZ$1:$BI$1,$AZ$42:$BI$42))</f>
        <v/>
      </c>
      <c r="AQ57" t="str">
        <f>IF(AO57="","",IF(LOOKUP(K57,$AZ$1:$BI$1,$AZ$37:$BI$37)=0,0.25,MAX(MIN(AP57,2.5),0.5)))</f>
        <v/>
      </c>
      <c r="AR57" t="str">
        <f t="shared" si="28"/>
        <v/>
      </c>
      <c r="AS57" t="str">
        <f t="shared" si="29"/>
        <v/>
      </c>
      <c r="AT57" t="str">
        <f t="shared" si="30"/>
        <v/>
      </c>
      <c r="AU57" t="str">
        <f>IF(OR(AT57="",AT57=0),"",INDEX($AY$1:$BI$5,MATCH(AT57,$AY$1:$AY$5,0),MATCH(K57,$AY$1:$BI$1,0)))</f>
        <v/>
      </c>
      <c r="AV57" t="str">
        <f t="shared" si="31"/>
        <v/>
      </c>
      <c r="AW57" t="str">
        <f t="shared" si="32"/>
        <v/>
      </c>
    </row>
    <row r="58" spans="1:49">
      <c r="A58" s="1"/>
      <c r="B58" t="s">
        <v>148</v>
      </c>
      <c r="C58" s="10">
        <f ca="1">$C$36/C15*6</f>
        <v>21343.619414979112</v>
      </c>
      <c r="D58" s="1"/>
      <c r="E58" s="4" t="str">
        <f t="shared" si="1"/>
        <v/>
      </c>
      <c r="H58" s="17"/>
      <c r="I58" s="17"/>
      <c r="L58" s="23"/>
      <c r="N58" t="str">
        <f t="shared" si="13"/>
        <v/>
      </c>
      <c r="O58" t="str">
        <f t="shared" si="14"/>
        <v/>
      </c>
      <c r="P58" t="str">
        <f t="shared" si="15"/>
        <v/>
      </c>
      <c r="Q58" s="10" t="str">
        <f t="shared" si="46"/>
        <v/>
      </c>
      <c r="R58" s="10" t="str">
        <f t="shared" si="16"/>
        <v/>
      </c>
      <c r="S58" s="10" t="str">
        <f t="shared" si="17"/>
        <v/>
      </c>
      <c r="T58" s="10" t="str">
        <f t="shared" si="34"/>
        <v/>
      </c>
      <c r="U58" s="10" t="str">
        <f t="shared" si="35"/>
        <v/>
      </c>
      <c r="V58" s="10" t="str">
        <f t="shared" si="36"/>
        <v/>
      </c>
      <c r="W58" s="10" t="str">
        <f t="shared" si="18"/>
        <v/>
      </c>
      <c r="X58" s="10" t="str">
        <f t="shared" si="19"/>
        <v/>
      </c>
      <c r="Y58" s="10" t="str">
        <f t="shared" si="20"/>
        <v/>
      </c>
      <c r="Z58" s="8" t="str">
        <f t="shared" si="21"/>
        <v/>
      </c>
      <c r="AA58" s="15" t="str">
        <f t="shared" si="22"/>
        <v/>
      </c>
      <c r="AB58" s="15" t="str">
        <f t="shared" si="23"/>
        <v/>
      </c>
      <c r="AC58" s="15" t="str">
        <f t="shared" si="24"/>
        <v/>
      </c>
      <c r="AD58" s="15" t="str">
        <f t="shared" si="25"/>
        <v/>
      </c>
      <c r="AE58" s="15" t="str">
        <f t="shared" si="26"/>
        <v/>
      </c>
      <c r="AF58" s="15" t="str">
        <f t="shared" si="38"/>
        <v/>
      </c>
      <c r="AG58" s="15" t="str">
        <f t="shared" si="39"/>
        <v/>
      </c>
      <c r="AH58" s="15" t="str">
        <f t="shared" si="40"/>
        <v/>
      </c>
      <c r="AI58" s="15" t="str">
        <f t="shared" si="41"/>
        <v/>
      </c>
      <c r="AJ58" s="15" t="str">
        <f t="shared" si="42"/>
        <v/>
      </c>
      <c r="AK58" s="15" t="str">
        <f t="shared" si="43"/>
        <v/>
      </c>
      <c r="AL58" t="str">
        <f>IF(P58=1,LOOKUP(K58,$AZ$1:$BI$1,$AZ$37:$BI$37)-IF(O58="",0,O58),"")</f>
        <v/>
      </c>
      <c r="AM58" s="10" t="str">
        <f t="shared" si="27"/>
        <v/>
      </c>
      <c r="AN58" s="10" t="str">
        <f>IF(AM58="","",AM58*LOOKUP(K58,$AZ$1:$BI$1,$AZ$7:$BI$7))</f>
        <v/>
      </c>
      <c r="AO58" t="str">
        <f>IF(AN58="","",AN58*LOOKUP(K58,$AZ$1:$BI$1,$AZ$8:$BI$8))</f>
        <v/>
      </c>
      <c r="AP58" t="str">
        <f>IF(AO58="","",AO58/LOOKUP(K58,$AZ$1:$BI$1,$AZ$42:$BI$42))</f>
        <v/>
      </c>
      <c r="AQ58" t="str">
        <f>IF(AO58="","",IF(LOOKUP(K58,$AZ$1:$BI$1,$AZ$37:$BI$37)=0,0.25,MAX(MIN(AP58,2.5),0.5)))</f>
        <v/>
      </c>
      <c r="AR58" t="str">
        <f t="shared" si="28"/>
        <v/>
      </c>
      <c r="AS58" t="str">
        <f t="shared" si="29"/>
        <v/>
      </c>
      <c r="AT58" t="str">
        <f t="shared" si="30"/>
        <v/>
      </c>
      <c r="AU58" t="str">
        <f>IF(OR(AT58="",AT58=0),"",INDEX($AY$1:$BI$5,MATCH(AT58,$AY$1:$AY$5,0),MATCH(K58,$AY$1:$BI$1,0)))</f>
        <v/>
      </c>
      <c r="AV58" t="str">
        <f t="shared" si="31"/>
        <v/>
      </c>
      <c r="AW58" t="str">
        <f t="shared" si="32"/>
        <v/>
      </c>
    </row>
    <row r="59" spans="1:49">
      <c r="E59" s="4" t="str">
        <f t="shared" si="1"/>
        <v/>
      </c>
      <c r="H59" s="17"/>
      <c r="I59" s="17"/>
      <c r="L59" s="23"/>
      <c r="N59" t="str">
        <f t="shared" si="13"/>
        <v/>
      </c>
      <c r="O59" t="str">
        <f t="shared" si="14"/>
        <v/>
      </c>
      <c r="P59" t="str">
        <f t="shared" si="15"/>
        <v/>
      </c>
      <c r="Q59" s="10" t="str">
        <f t="shared" si="46"/>
        <v/>
      </c>
      <c r="R59" s="10" t="str">
        <f t="shared" si="16"/>
        <v/>
      </c>
      <c r="S59" s="10" t="str">
        <f t="shared" si="17"/>
        <v/>
      </c>
      <c r="T59" s="10" t="str">
        <f t="shared" si="34"/>
        <v/>
      </c>
      <c r="U59" s="10" t="str">
        <f t="shared" si="35"/>
        <v/>
      </c>
      <c r="V59" s="10" t="str">
        <f t="shared" si="36"/>
        <v/>
      </c>
      <c r="W59" s="10" t="str">
        <f t="shared" si="18"/>
        <v/>
      </c>
      <c r="X59" s="10" t="str">
        <f t="shared" si="19"/>
        <v/>
      </c>
      <c r="Y59" s="10" t="str">
        <f t="shared" si="20"/>
        <v/>
      </c>
      <c r="Z59" s="8" t="str">
        <f t="shared" si="21"/>
        <v/>
      </c>
      <c r="AA59" s="15" t="str">
        <f t="shared" si="22"/>
        <v/>
      </c>
      <c r="AB59" s="15" t="str">
        <f t="shared" si="23"/>
        <v/>
      </c>
      <c r="AC59" s="15" t="str">
        <f t="shared" si="24"/>
        <v/>
      </c>
      <c r="AD59" s="15" t="str">
        <f t="shared" si="25"/>
        <v/>
      </c>
      <c r="AE59" s="15" t="str">
        <f t="shared" si="26"/>
        <v/>
      </c>
      <c r="AF59" s="15" t="str">
        <f t="shared" si="38"/>
        <v/>
      </c>
      <c r="AG59" s="15" t="str">
        <f t="shared" si="39"/>
        <v/>
      </c>
      <c r="AH59" s="15" t="str">
        <f t="shared" si="40"/>
        <v/>
      </c>
      <c r="AI59" s="15" t="str">
        <f t="shared" si="41"/>
        <v/>
      </c>
      <c r="AJ59" s="15" t="str">
        <f t="shared" si="42"/>
        <v/>
      </c>
      <c r="AK59" s="15" t="str">
        <f t="shared" si="43"/>
        <v/>
      </c>
      <c r="AL59" t="str">
        <f>IF(P59=1,LOOKUP(K59,$AZ$1:$BI$1,$AZ$37:$BI$37)-IF(O59="",0,O59),"")</f>
        <v/>
      </c>
      <c r="AM59" s="10" t="str">
        <f t="shared" si="27"/>
        <v/>
      </c>
      <c r="AN59" s="10" t="str">
        <f>IF(AM59="","",AM59*LOOKUP(K59,$AZ$1:$BI$1,$AZ$7:$BI$7))</f>
        <v/>
      </c>
      <c r="AO59" t="str">
        <f>IF(AN59="","",AN59*LOOKUP(K59,$AZ$1:$BI$1,$AZ$8:$BI$8))</f>
        <v/>
      </c>
      <c r="AP59" t="str">
        <f>IF(AO59="","",AO59/LOOKUP(K59,$AZ$1:$BI$1,$AZ$42:$BI$42))</f>
        <v/>
      </c>
      <c r="AQ59" t="str">
        <f>IF(AO59="","",IF(LOOKUP(K59,$AZ$1:$BI$1,$AZ$37:$BI$37)=0,0.25,MAX(MIN(AP59,2.5),0.5)))</f>
        <v/>
      </c>
      <c r="AR59" t="str">
        <f t="shared" si="28"/>
        <v/>
      </c>
      <c r="AS59" t="str">
        <f t="shared" si="29"/>
        <v/>
      </c>
      <c r="AT59" t="str">
        <f t="shared" si="30"/>
        <v/>
      </c>
      <c r="AU59" t="str">
        <f>IF(OR(AT59="",AT59=0),"",INDEX($AY$1:$BI$5,MATCH(AT59,$AY$1:$AY$5,0),MATCH(K59,$AY$1:$BI$1,0)))</f>
        <v/>
      </c>
      <c r="AV59" t="str">
        <f t="shared" si="31"/>
        <v/>
      </c>
      <c r="AW59" t="str">
        <f t="shared" si="32"/>
        <v/>
      </c>
    </row>
    <row r="60" spans="1:49">
      <c r="B60" t="s">
        <v>118</v>
      </c>
      <c r="C60">
        <f ca="1">SUMIF(V:V,"&gt;0",V:V)</f>
        <v>0.17237999999999998</v>
      </c>
      <c r="E60" s="4" t="str">
        <f t="shared" si="1"/>
        <v/>
      </c>
      <c r="H60" s="17"/>
      <c r="I60" s="17"/>
      <c r="L60" s="23"/>
      <c r="N60" t="str">
        <f t="shared" si="13"/>
        <v/>
      </c>
      <c r="O60" t="str">
        <f t="shared" si="14"/>
        <v/>
      </c>
      <c r="P60" t="str">
        <f t="shared" si="15"/>
        <v/>
      </c>
      <c r="Q60" s="10" t="str">
        <f t="shared" si="46"/>
        <v/>
      </c>
      <c r="R60" s="10" t="str">
        <f t="shared" si="16"/>
        <v/>
      </c>
      <c r="S60" s="10" t="str">
        <f t="shared" si="17"/>
        <v/>
      </c>
      <c r="T60" s="10" t="str">
        <f t="shared" si="34"/>
        <v/>
      </c>
      <c r="U60" s="10" t="str">
        <f t="shared" si="35"/>
        <v/>
      </c>
      <c r="V60" s="10" t="str">
        <f t="shared" si="36"/>
        <v/>
      </c>
      <c r="W60" s="10" t="str">
        <f t="shared" si="18"/>
        <v/>
      </c>
      <c r="X60" s="10" t="str">
        <f t="shared" si="19"/>
        <v/>
      </c>
      <c r="Y60" s="10" t="str">
        <f t="shared" si="20"/>
        <v/>
      </c>
      <c r="Z60" s="8" t="str">
        <f t="shared" si="21"/>
        <v/>
      </c>
      <c r="AA60" s="15" t="str">
        <f t="shared" si="22"/>
        <v/>
      </c>
      <c r="AB60" s="15" t="str">
        <f t="shared" si="23"/>
        <v/>
      </c>
      <c r="AC60" s="15" t="str">
        <f t="shared" si="24"/>
        <v/>
      </c>
      <c r="AD60" s="15" t="str">
        <f t="shared" si="25"/>
        <v/>
      </c>
      <c r="AE60" s="15" t="str">
        <f t="shared" si="26"/>
        <v/>
      </c>
      <c r="AF60" s="15" t="str">
        <f t="shared" si="38"/>
        <v/>
      </c>
      <c r="AG60" s="15" t="str">
        <f t="shared" si="39"/>
        <v/>
      </c>
      <c r="AH60" s="15" t="str">
        <f t="shared" si="40"/>
        <v/>
      </c>
      <c r="AI60" s="15" t="str">
        <f t="shared" si="41"/>
        <v/>
      </c>
      <c r="AJ60" s="15" t="str">
        <f t="shared" si="42"/>
        <v/>
      </c>
      <c r="AK60" s="15" t="str">
        <f t="shared" si="43"/>
        <v/>
      </c>
      <c r="AL60" t="str">
        <f>IF(P60=1,LOOKUP(K60,$AZ$1:$BI$1,$AZ$37:$BI$37)-IF(O60="",0,O60),"")</f>
        <v/>
      </c>
      <c r="AM60" s="10" t="str">
        <f t="shared" si="27"/>
        <v/>
      </c>
      <c r="AN60" s="10" t="str">
        <f>IF(AM60="","",AM60*LOOKUP(K60,$AZ$1:$BI$1,$AZ$7:$BI$7))</f>
        <v/>
      </c>
      <c r="AO60" t="str">
        <f>IF(AN60="","",AN60*LOOKUP(K60,$AZ$1:$BI$1,$AZ$8:$BI$8))</f>
        <v/>
      </c>
      <c r="AP60" t="str">
        <f>IF(AO60="","",AO60/LOOKUP(K60,$AZ$1:$BI$1,$AZ$42:$BI$42))</f>
        <v/>
      </c>
      <c r="AQ60" t="str">
        <f>IF(AO60="","",IF(LOOKUP(K60,$AZ$1:$BI$1,$AZ$37:$BI$37)=0,0.25,MAX(MIN(AP60,2.5),0.5)))</f>
        <v/>
      </c>
      <c r="AR60" t="str">
        <f t="shared" si="28"/>
        <v/>
      </c>
      <c r="AS60" t="str">
        <f t="shared" si="29"/>
        <v/>
      </c>
      <c r="AT60" t="str">
        <f t="shared" si="30"/>
        <v/>
      </c>
      <c r="AU60" t="str">
        <f>IF(OR(AT60="",AT60=0),"",INDEX($AY$1:$BI$5,MATCH(AT60,$AY$1:$AY$5,0),MATCH(K60,$AY$1:$BI$1,0)))</f>
        <v/>
      </c>
      <c r="AV60" t="str">
        <f t="shared" si="31"/>
        <v/>
      </c>
      <c r="AW60" t="str">
        <f t="shared" si="32"/>
        <v/>
      </c>
    </row>
    <row r="61" spans="1:49">
      <c r="B61" t="s">
        <v>119</v>
      </c>
      <c r="C61">
        <f ca="1">SUMIF(W:W,"&gt;0",W:W)</f>
        <v>0.13770000000000002</v>
      </c>
      <c r="E61" s="4" t="str">
        <f t="shared" si="1"/>
        <v/>
      </c>
      <c r="H61" s="17"/>
      <c r="I61" s="17"/>
      <c r="L61" s="23"/>
      <c r="N61" t="str">
        <f t="shared" si="13"/>
        <v/>
      </c>
      <c r="O61" t="str">
        <f t="shared" si="14"/>
        <v/>
      </c>
      <c r="P61" t="str">
        <f t="shared" si="15"/>
        <v/>
      </c>
      <c r="Q61" s="10" t="str">
        <f t="shared" si="46"/>
        <v/>
      </c>
      <c r="R61" s="10" t="str">
        <f t="shared" si="16"/>
        <v/>
      </c>
      <c r="S61" s="10" t="str">
        <f t="shared" si="17"/>
        <v/>
      </c>
      <c r="T61" s="10" t="str">
        <f t="shared" si="34"/>
        <v/>
      </c>
      <c r="U61" s="10" t="str">
        <f t="shared" si="35"/>
        <v/>
      </c>
      <c r="V61" s="10" t="str">
        <f t="shared" si="36"/>
        <v/>
      </c>
      <c r="W61" s="10" t="str">
        <f t="shared" si="18"/>
        <v/>
      </c>
      <c r="X61" s="10" t="str">
        <f t="shared" si="19"/>
        <v/>
      </c>
      <c r="Y61" s="10" t="str">
        <f t="shared" si="20"/>
        <v/>
      </c>
      <c r="Z61" s="8" t="str">
        <f t="shared" si="21"/>
        <v/>
      </c>
      <c r="AA61" s="15" t="str">
        <f t="shared" si="22"/>
        <v/>
      </c>
      <c r="AB61" s="15" t="str">
        <f t="shared" si="23"/>
        <v/>
      </c>
      <c r="AC61" s="15" t="str">
        <f t="shared" si="24"/>
        <v/>
      </c>
      <c r="AD61" s="15" t="str">
        <f t="shared" si="25"/>
        <v/>
      </c>
      <c r="AE61" s="15" t="str">
        <f t="shared" si="26"/>
        <v/>
      </c>
      <c r="AF61" s="15" t="str">
        <f t="shared" si="38"/>
        <v/>
      </c>
      <c r="AG61" s="15" t="str">
        <f t="shared" si="39"/>
        <v/>
      </c>
      <c r="AH61" s="15" t="str">
        <f t="shared" si="40"/>
        <v/>
      </c>
      <c r="AI61" s="15" t="str">
        <f t="shared" si="41"/>
        <v/>
      </c>
      <c r="AJ61" s="15" t="str">
        <f t="shared" si="42"/>
        <v/>
      </c>
      <c r="AK61" s="15" t="str">
        <f t="shared" si="43"/>
        <v/>
      </c>
      <c r="AL61" t="str">
        <f>IF(P61=1,LOOKUP(K61,$AZ$1:$BI$1,$AZ$37:$BI$37)-IF(O61="",0,O61),"")</f>
        <v/>
      </c>
      <c r="AM61" s="10" t="str">
        <f t="shared" si="27"/>
        <v/>
      </c>
      <c r="AN61" s="10" t="str">
        <f>IF(AM61="","",AM61*LOOKUP(K61,$AZ$1:$BI$1,$AZ$7:$BI$7))</f>
        <v/>
      </c>
      <c r="AO61" t="str">
        <f>IF(AN61="","",AN61*LOOKUP(K61,$AZ$1:$BI$1,$AZ$8:$BI$8))</f>
        <v/>
      </c>
      <c r="AP61" t="str">
        <f>IF(AO61="","",AO61/LOOKUP(K61,$AZ$1:$BI$1,$AZ$42:$BI$42))</f>
        <v/>
      </c>
      <c r="AQ61" t="str">
        <f>IF(AO61="","",IF(LOOKUP(K61,$AZ$1:$BI$1,$AZ$37:$BI$37)=0,0.25,MAX(MIN(AP61,2.5),0.5)))</f>
        <v/>
      </c>
      <c r="AR61" t="str">
        <f t="shared" si="28"/>
        <v/>
      </c>
      <c r="AS61" t="str">
        <f t="shared" si="29"/>
        <v/>
      </c>
      <c r="AT61" t="str">
        <f t="shared" si="30"/>
        <v/>
      </c>
      <c r="AU61" t="str">
        <f>IF(OR(AT61="",AT61=0),"",INDEX($AY$1:$BI$5,MATCH(AT61,$AY$1:$AY$5,0),MATCH(K61,$AY$1:$BI$1,0)))</f>
        <v/>
      </c>
      <c r="AV61" t="str">
        <f t="shared" si="31"/>
        <v/>
      </c>
      <c r="AW61" t="str">
        <f t="shared" si="32"/>
        <v/>
      </c>
    </row>
    <row r="62" spans="1:49">
      <c r="B62" t="s">
        <v>120</v>
      </c>
      <c r="C62">
        <f ca="1">SUMIF(X:X,"&gt;0",X:X)</f>
        <v>0.126225</v>
      </c>
      <c r="E62" s="4" t="str">
        <f t="shared" si="1"/>
        <v/>
      </c>
      <c r="H62" s="17"/>
      <c r="I62" s="17"/>
      <c r="L62" s="23"/>
      <c r="N62" t="str">
        <f t="shared" si="13"/>
        <v/>
      </c>
      <c r="O62" t="str">
        <f t="shared" si="14"/>
        <v/>
      </c>
      <c r="P62" t="str">
        <f t="shared" si="15"/>
        <v/>
      </c>
      <c r="Q62" s="10" t="str">
        <f t="shared" si="46"/>
        <v/>
      </c>
      <c r="R62" s="10" t="str">
        <f t="shared" si="16"/>
        <v/>
      </c>
      <c r="S62" s="10" t="str">
        <f t="shared" si="17"/>
        <v/>
      </c>
      <c r="T62" s="10" t="str">
        <f t="shared" si="34"/>
        <v/>
      </c>
      <c r="U62" s="10" t="str">
        <f t="shared" si="35"/>
        <v/>
      </c>
      <c r="V62" s="10" t="str">
        <f t="shared" si="36"/>
        <v/>
      </c>
      <c r="W62" s="10" t="str">
        <f t="shared" si="18"/>
        <v/>
      </c>
      <c r="X62" s="10" t="str">
        <f t="shared" si="19"/>
        <v/>
      </c>
      <c r="Y62" s="10" t="str">
        <f t="shared" si="20"/>
        <v/>
      </c>
      <c r="Z62" s="8" t="str">
        <f t="shared" si="21"/>
        <v/>
      </c>
      <c r="AA62" s="15" t="str">
        <f t="shared" si="22"/>
        <v/>
      </c>
      <c r="AB62" s="15" t="str">
        <f t="shared" si="23"/>
        <v/>
      </c>
      <c r="AC62" s="15" t="str">
        <f t="shared" si="24"/>
        <v/>
      </c>
      <c r="AD62" s="15" t="str">
        <f t="shared" si="25"/>
        <v/>
      </c>
      <c r="AE62" s="15" t="str">
        <f t="shared" si="26"/>
        <v/>
      </c>
      <c r="AF62" s="15" t="str">
        <f t="shared" si="38"/>
        <v/>
      </c>
      <c r="AG62" s="15" t="str">
        <f t="shared" si="39"/>
        <v/>
      </c>
      <c r="AH62" s="15" t="str">
        <f t="shared" si="40"/>
        <v/>
      </c>
      <c r="AI62" s="15" t="str">
        <f t="shared" si="41"/>
        <v/>
      </c>
      <c r="AJ62" s="15" t="str">
        <f t="shared" si="42"/>
        <v/>
      </c>
      <c r="AK62" s="15" t="str">
        <f t="shared" si="43"/>
        <v/>
      </c>
      <c r="AL62" t="str">
        <f>IF(P62=1,LOOKUP(K62,$AZ$1:$BI$1,$AZ$37:$BI$37)-IF(O62="",0,O62),"")</f>
        <v/>
      </c>
      <c r="AM62" s="10" t="str">
        <f t="shared" si="27"/>
        <v/>
      </c>
      <c r="AN62" s="10" t="str">
        <f>IF(AM62="","",AM62*LOOKUP(K62,$AZ$1:$BI$1,$AZ$7:$BI$7))</f>
        <v/>
      </c>
      <c r="AO62" t="str">
        <f>IF(AN62="","",AN62*LOOKUP(K62,$AZ$1:$BI$1,$AZ$8:$BI$8))</f>
        <v/>
      </c>
      <c r="AP62" t="str">
        <f>IF(AO62="","",AO62/LOOKUP(K62,$AZ$1:$BI$1,$AZ$42:$BI$42))</f>
        <v/>
      </c>
      <c r="AQ62" t="str">
        <f>IF(AO62="","",IF(LOOKUP(K62,$AZ$1:$BI$1,$AZ$37:$BI$37)=0,0.25,MAX(MIN(AP62,2.5),0.5)))</f>
        <v/>
      </c>
      <c r="AR62" t="str">
        <f t="shared" si="28"/>
        <v/>
      </c>
      <c r="AS62" t="str">
        <f t="shared" si="29"/>
        <v/>
      </c>
      <c r="AT62" t="str">
        <f t="shared" si="30"/>
        <v/>
      </c>
      <c r="AU62" t="str">
        <f>IF(OR(AT62="",AT62=0),"",INDEX($AY$1:$BI$5,MATCH(AT62,$AY$1:$AY$5,0),MATCH(K62,$AY$1:$BI$1,0)))</f>
        <v/>
      </c>
      <c r="AV62" t="str">
        <f t="shared" si="31"/>
        <v/>
      </c>
      <c r="AW62" t="str">
        <f t="shared" si="32"/>
        <v/>
      </c>
    </row>
    <row r="63" spans="1:49">
      <c r="B63" t="s">
        <v>121</v>
      </c>
      <c r="C63">
        <f ca="1">SUMIF(Y:Y,"&gt;0",Y:Y)</f>
        <v>0.11666249999999997</v>
      </c>
      <c r="E63" s="4" t="str">
        <f t="shared" si="1"/>
        <v/>
      </c>
      <c r="H63" s="17"/>
      <c r="I63" s="17"/>
      <c r="L63" s="23"/>
      <c r="N63" t="str">
        <f t="shared" si="13"/>
        <v/>
      </c>
      <c r="O63" t="str">
        <f t="shared" si="14"/>
        <v/>
      </c>
      <c r="P63" t="str">
        <f t="shared" si="15"/>
        <v/>
      </c>
      <c r="Q63" s="10" t="str">
        <f t="shared" si="46"/>
        <v/>
      </c>
      <c r="R63" s="10" t="str">
        <f t="shared" si="16"/>
        <v/>
      </c>
      <c r="S63" s="10" t="str">
        <f t="shared" si="17"/>
        <v/>
      </c>
      <c r="T63" s="10" t="str">
        <f t="shared" si="34"/>
        <v/>
      </c>
      <c r="U63" s="10" t="str">
        <f t="shared" si="35"/>
        <v/>
      </c>
      <c r="V63" s="10" t="str">
        <f t="shared" si="36"/>
        <v/>
      </c>
      <c r="W63" s="10" t="str">
        <f t="shared" si="18"/>
        <v/>
      </c>
      <c r="X63" s="10" t="str">
        <f t="shared" si="19"/>
        <v/>
      </c>
      <c r="Y63" s="10" t="str">
        <f t="shared" si="20"/>
        <v/>
      </c>
      <c r="Z63" s="8" t="str">
        <f t="shared" si="21"/>
        <v/>
      </c>
      <c r="AA63" s="15" t="str">
        <f t="shared" si="22"/>
        <v/>
      </c>
      <c r="AB63" s="15" t="str">
        <f t="shared" si="23"/>
        <v/>
      </c>
      <c r="AC63" s="15" t="str">
        <f t="shared" si="24"/>
        <v/>
      </c>
      <c r="AD63" s="15" t="str">
        <f t="shared" si="25"/>
        <v/>
      </c>
      <c r="AE63" s="15" t="str">
        <f t="shared" si="26"/>
        <v/>
      </c>
      <c r="AF63" s="15" t="str">
        <f t="shared" si="38"/>
        <v/>
      </c>
      <c r="AG63" s="15" t="str">
        <f t="shared" si="39"/>
        <v/>
      </c>
      <c r="AH63" s="15" t="str">
        <f t="shared" si="40"/>
        <v/>
      </c>
      <c r="AI63" s="15" t="str">
        <f t="shared" si="41"/>
        <v/>
      </c>
      <c r="AJ63" s="15" t="str">
        <f t="shared" si="42"/>
        <v/>
      </c>
      <c r="AK63" s="15" t="str">
        <f t="shared" si="43"/>
        <v/>
      </c>
      <c r="AL63" t="str">
        <f>IF(P63=1,LOOKUP(K63,$AZ$1:$BI$1,$AZ$37:$BI$37)-IF(O63="",0,O63),"")</f>
        <v/>
      </c>
      <c r="AM63" s="10" t="str">
        <f t="shared" si="27"/>
        <v/>
      </c>
      <c r="AN63" s="10" t="str">
        <f>IF(AM63="","",AM63*LOOKUP(K63,$AZ$1:$BI$1,$AZ$7:$BI$7))</f>
        <v/>
      </c>
      <c r="AO63" t="str">
        <f>IF(AN63="","",AN63*LOOKUP(K63,$AZ$1:$BI$1,$AZ$8:$BI$8))</f>
        <v/>
      </c>
      <c r="AP63" t="str">
        <f>IF(AO63="","",AO63/LOOKUP(K63,$AZ$1:$BI$1,$AZ$42:$BI$42))</f>
        <v/>
      </c>
      <c r="AQ63" t="str">
        <f>IF(AO63="","",IF(LOOKUP(K63,$AZ$1:$BI$1,$AZ$37:$BI$37)=0,0.25,MAX(MIN(AP63,2.5),0.5)))</f>
        <v/>
      </c>
      <c r="AR63" t="str">
        <f t="shared" si="28"/>
        <v/>
      </c>
      <c r="AS63" t="str">
        <f t="shared" si="29"/>
        <v/>
      </c>
      <c r="AT63" t="str">
        <f t="shared" si="30"/>
        <v/>
      </c>
      <c r="AU63" t="str">
        <f>IF(OR(AT63="",AT63=0),"",INDEX($AY$1:$BI$5,MATCH(AT63,$AY$1:$AY$5,0),MATCH(K63,$AY$1:$BI$1,0)))</f>
        <v/>
      </c>
      <c r="AV63" t="str">
        <f t="shared" si="31"/>
        <v/>
      </c>
      <c r="AW63" t="str">
        <f t="shared" si="32"/>
        <v/>
      </c>
    </row>
    <row r="64" spans="1:49">
      <c r="E64" s="4" t="str">
        <f t="shared" si="1"/>
        <v/>
      </c>
      <c r="H64" s="17"/>
      <c r="I64" s="17"/>
      <c r="L64" s="23"/>
      <c r="N64" t="str">
        <f t="shared" si="13"/>
        <v/>
      </c>
      <c r="O64" t="str">
        <f t="shared" si="14"/>
        <v/>
      </c>
      <c r="P64" t="str">
        <f t="shared" si="15"/>
        <v/>
      </c>
      <c r="Q64" s="10" t="str">
        <f t="shared" si="46"/>
        <v/>
      </c>
      <c r="R64" s="10" t="str">
        <f t="shared" si="16"/>
        <v/>
      </c>
      <c r="S64" s="10" t="str">
        <f t="shared" si="17"/>
        <v/>
      </c>
      <c r="T64" s="10" t="str">
        <f t="shared" si="34"/>
        <v/>
      </c>
      <c r="U64" s="10" t="str">
        <f t="shared" si="35"/>
        <v/>
      </c>
      <c r="V64" s="10" t="str">
        <f t="shared" si="36"/>
        <v/>
      </c>
      <c r="W64" s="10" t="str">
        <f t="shared" si="18"/>
        <v/>
      </c>
      <c r="X64" s="10" t="str">
        <f t="shared" si="19"/>
        <v/>
      </c>
      <c r="Y64" s="10" t="str">
        <f t="shared" si="20"/>
        <v/>
      </c>
      <c r="Z64" s="8" t="str">
        <f t="shared" si="21"/>
        <v/>
      </c>
      <c r="AA64" s="15" t="str">
        <f t="shared" si="22"/>
        <v/>
      </c>
      <c r="AB64" s="15" t="str">
        <f t="shared" si="23"/>
        <v/>
      </c>
      <c r="AC64" s="15" t="str">
        <f t="shared" si="24"/>
        <v/>
      </c>
      <c r="AD64" s="15" t="str">
        <f t="shared" si="25"/>
        <v/>
      </c>
      <c r="AE64" s="15" t="str">
        <f t="shared" si="26"/>
        <v/>
      </c>
      <c r="AF64" s="15" t="str">
        <f t="shared" si="38"/>
        <v/>
      </c>
      <c r="AG64" s="15" t="str">
        <f t="shared" si="39"/>
        <v/>
      </c>
      <c r="AH64" s="15" t="str">
        <f t="shared" si="40"/>
        <v/>
      </c>
      <c r="AI64" s="15" t="str">
        <f t="shared" si="41"/>
        <v/>
      </c>
      <c r="AJ64" s="15" t="str">
        <f t="shared" si="42"/>
        <v/>
      </c>
      <c r="AK64" s="15" t="str">
        <f t="shared" si="43"/>
        <v/>
      </c>
      <c r="AL64" t="str">
        <f>IF(P64=1,LOOKUP(K64,$AZ$1:$BI$1,$AZ$37:$BI$37)-IF(O64="",0,O64),"")</f>
        <v/>
      </c>
      <c r="AM64" s="10" t="str">
        <f t="shared" si="27"/>
        <v/>
      </c>
      <c r="AN64" s="10" t="str">
        <f>IF(AM64="","",AM64*LOOKUP(K64,$AZ$1:$BI$1,$AZ$7:$BI$7))</f>
        <v/>
      </c>
      <c r="AO64" t="str">
        <f>IF(AN64="","",AN64*LOOKUP(K64,$AZ$1:$BI$1,$AZ$8:$BI$8))</f>
        <v/>
      </c>
      <c r="AP64" t="str">
        <f>IF(AO64="","",AO64/LOOKUP(K64,$AZ$1:$BI$1,$AZ$42:$BI$42))</f>
        <v/>
      </c>
      <c r="AQ64" t="str">
        <f>IF(AO64="","",IF(LOOKUP(K64,$AZ$1:$BI$1,$AZ$37:$BI$37)=0,0.25,MAX(MIN(AP64,2.5),0.5)))</f>
        <v/>
      </c>
      <c r="AR64" t="str">
        <f t="shared" si="28"/>
        <v/>
      </c>
      <c r="AS64" t="str">
        <f t="shared" si="29"/>
        <v/>
      </c>
      <c r="AT64" t="str">
        <f t="shared" si="30"/>
        <v/>
      </c>
      <c r="AU64" t="str">
        <f>IF(OR(AT64="",AT64=0),"",INDEX($AY$1:$BI$5,MATCH(AT64,$AY$1:$AY$5,0),MATCH(K64,$AY$1:$BI$1,0)))</f>
        <v/>
      </c>
      <c r="AV64" t="str">
        <f t="shared" si="31"/>
        <v/>
      </c>
      <c r="AW64" t="str">
        <f t="shared" si="32"/>
        <v/>
      </c>
    </row>
    <row r="65" spans="5:49">
      <c r="E65" s="4" t="str">
        <f t="shared" si="1"/>
        <v/>
      </c>
      <c r="H65" s="17"/>
      <c r="I65" s="17"/>
      <c r="L65" s="23"/>
      <c r="N65" t="str">
        <f t="shared" si="13"/>
        <v/>
      </c>
      <c r="O65" t="str">
        <f t="shared" si="14"/>
        <v/>
      </c>
      <c r="P65" t="str">
        <f t="shared" si="15"/>
        <v/>
      </c>
      <c r="Q65" s="10" t="str">
        <f t="shared" si="46"/>
        <v/>
      </c>
      <c r="R65" s="10" t="str">
        <f t="shared" si="16"/>
        <v/>
      </c>
      <c r="S65" s="10" t="str">
        <f t="shared" si="17"/>
        <v/>
      </c>
      <c r="T65" s="10" t="str">
        <f t="shared" si="34"/>
        <v/>
      </c>
      <c r="U65" s="10" t="str">
        <f t="shared" si="35"/>
        <v/>
      </c>
      <c r="V65" s="10" t="str">
        <f t="shared" si="36"/>
        <v/>
      </c>
      <c r="W65" s="10" t="str">
        <f t="shared" si="18"/>
        <v/>
      </c>
      <c r="X65" s="10" t="str">
        <f t="shared" si="19"/>
        <v/>
      </c>
      <c r="Y65" s="10" t="str">
        <f t="shared" si="20"/>
        <v/>
      </c>
      <c r="Z65" s="8" t="str">
        <f t="shared" si="21"/>
        <v/>
      </c>
      <c r="AA65" s="15" t="str">
        <f t="shared" si="22"/>
        <v/>
      </c>
      <c r="AB65" s="15" t="str">
        <f t="shared" si="23"/>
        <v/>
      </c>
      <c r="AC65" s="15" t="str">
        <f t="shared" si="24"/>
        <v/>
      </c>
      <c r="AD65" s="15" t="str">
        <f t="shared" si="25"/>
        <v/>
      </c>
      <c r="AE65" s="15" t="str">
        <f t="shared" si="26"/>
        <v/>
      </c>
      <c r="AF65" s="15" t="str">
        <f t="shared" si="38"/>
        <v/>
      </c>
      <c r="AG65" s="15" t="str">
        <f t="shared" si="39"/>
        <v/>
      </c>
      <c r="AH65" s="15" t="str">
        <f t="shared" si="40"/>
        <v/>
      </c>
      <c r="AI65" s="15" t="str">
        <f t="shared" si="41"/>
        <v/>
      </c>
      <c r="AJ65" s="15" t="str">
        <f t="shared" si="42"/>
        <v/>
      </c>
      <c r="AK65" s="15" t="str">
        <f t="shared" si="43"/>
        <v/>
      </c>
      <c r="AL65" t="str">
        <f>IF(P65=1,LOOKUP(K65,$AZ$1:$BI$1,$AZ$37:$BI$37)-IF(O65="",0,O65),"")</f>
        <v/>
      </c>
      <c r="AM65" s="10" t="str">
        <f t="shared" si="27"/>
        <v/>
      </c>
      <c r="AN65" s="10" t="str">
        <f>IF(AM65="","",AM65*LOOKUP(K65,$AZ$1:$BI$1,$AZ$7:$BI$7))</f>
        <v/>
      </c>
      <c r="AO65" t="str">
        <f>IF(AN65="","",AN65*LOOKUP(K65,$AZ$1:$BI$1,$AZ$8:$BI$8))</f>
        <v/>
      </c>
      <c r="AP65" t="str">
        <f>IF(AO65="","",AO65/LOOKUP(K65,$AZ$1:$BI$1,$AZ$42:$BI$42))</f>
        <v/>
      </c>
      <c r="AQ65" t="str">
        <f>IF(AO65="","",IF(LOOKUP(K65,$AZ$1:$BI$1,$AZ$37:$BI$37)=0,0.25,MAX(MIN(AP65,2.5),0.5)))</f>
        <v/>
      </c>
      <c r="AR65" t="str">
        <f t="shared" si="28"/>
        <v/>
      </c>
      <c r="AS65" t="str">
        <f t="shared" si="29"/>
        <v/>
      </c>
      <c r="AT65" t="str">
        <f t="shared" si="30"/>
        <v/>
      </c>
      <c r="AU65" t="str">
        <f>IF(OR(AT65="",AT65=0),"",INDEX($AY$1:$BI$5,MATCH(AT65,$AY$1:$AY$5,0),MATCH(K65,$AY$1:$BI$1,0)))</f>
        <v/>
      </c>
      <c r="AV65" t="str">
        <f t="shared" si="31"/>
        <v/>
      </c>
      <c r="AW65" t="str">
        <f t="shared" si="32"/>
        <v/>
      </c>
    </row>
    <row r="66" spans="5:49">
      <c r="E66" s="4" t="str">
        <f t="shared" ref="E66:E120" si="64">IF(P66="","",MIN(L66,AW66))</f>
        <v/>
      </c>
      <c r="H66" s="17"/>
      <c r="I66" s="17"/>
      <c r="L66" s="23"/>
      <c r="N66" t="str">
        <f t="shared" si="13"/>
        <v/>
      </c>
      <c r="O66" t="str">
        <f t="shared" si="14"/>
        <v/>
      </c>
      <c r="P66" t="str">
        <f t="shared" si="15"/>
        <v/>
      </c>
      <c r="Q66" s="10" t="str">
        <f t="shared" si="46"/>
        <v/>
      </c>
      <c r="R66" s="10" t="str">
        <f t="shared" si="16"/>
        <v/>
      </c>
      <c r="S66" s="10" t="str">
        <f t="shared" si="17"/>
        <v/>
      </c>
      <c r="T66" s="10" t="str">
        <f t="shared" si="34"/>
        <v/>
      </c>
      <c r="U66" s="10" t="str">
        <f t="shared" si="35"/>
        <v/>
      </c>
      <c r="V66" s="10" t="str">
        <f t="shared" si="36"/>
        <v/>
      </c>
      <c r="W66" s="10" t="str">
        <f t="shared" si="18"/>
        <v/>
      </c>
      <c r="X66" s="10" t="str">
        <f t="shared" si="19"/>
        <v/>
      </c>
      <c r="Y66" s="10" t="str">
        <f t="shared" si="20"/>
        <v/>
      </c>
      <c r="Z66" s="8" t="str">
        <f t="shared" si="21"/>
        <v/>
      </c>
      <c r="AA66" s="15" t="str">
        <f t="shared" si="22"/>
        <v/>
      </c>
      <c r="AB66" s="15" t="str">
        <f t="shared" si="23"/>
        <v/>
      </c>
      <c r="AC66" s="15" t="str">
        <f t="shared" si="24"/>
        <v/>
      </c>
      <c r="AD66" s="15" t="str">
        <f t="shared" si="25"/>
        <v/>
      </c>
      <c r="AE66" s="15" t="str">
        <f t="shared" si="26"/>
        <v/>
      </c>
      <c r="AF66" s="15" t="str">
        <f t="shared" si="38"/>
        <v/>
      </c>
      <c r="AG66" s="15" t="str">
        <f t="shared" si="39"/>
        <v/>
      </c>
      <c r="AH66" s="15" t="str">
        <f t="shared" si="40"/>
        <v/>
      </c>
      <c r="AI66" s="15" t="str">
        <f t="shared" si="41"/>
        <v/>
      </c>
      <c r="AJ66" s="15" t="str">
        <f t="shared" si="42"/>
        <v/>
      </c>
      <c r="AK66" s="15" t="str">
        <f t="shared" si="43"/>
        <v/>
      </c>
      <c r="AL66" t="str">
        <f>IF(P66=1,LOOKUP(K66,$AZ$1:$BI$1,$AZ$37:$BI$37)-IF(O66="",0,O66),"")</f>
        <v/>
      </c>
      <c r="AM66" s="10" t="str">
        <f t="shared" si="27"/>
        <v/>
      </c>
      <c r="AN66" s="10" t="str">
        <f>IF(AM66="","",AM66*LOOKUP(K66,$AZ$1:$BI$1,$AZ$7:$BI$7))</f>
        <v/>
      </c>
      <c r="AO66" t="str">
        <f>IF(AN66="","",AN66*LOOKUP(K66,$AZ$1:$BI$1,$AZ$8:$BI$8))</f>
        <v/>
      </c>
      <c r="AP66" t="str">
        <f>IF(AO66="","",AO66/LOOKUP(K66,$AZ$1:$BI$1,$AZ$42:$BI$42))</f>
        <v/>
      </c>
      <c r="AQ66" t="str">
        <f>IF(AO66="","",IF(LOOKUP(K66,$AZ$1:$BI$1,$AZ$37:$BI$37)=0,0.25,MAX(MIN(AP66,2.5),0.5)))</f>
        <v/>
      </c>
      <c r="AR66" t="str">
        <f t="shared" si="28"/>
        <v/>
      </c>
      <c r="AS66" t="str">
        <f t="shared" si="29"/>
        <v/>
      </c>
      <c r="AT66" t="str">
        <f t="shared" si="30"/>
        <v/>
      </c>
      <c r="AU66" t="str">
        <f>IF(OR(AT66="",AT66=0),"",INDEX($AY$1:$BI$5,MATCH(AT66,$AY$1:$AY$5,0),MATCH(K66,$AY$1:$BI$1,0)))</f>
        <v/>
      </c>
      <c r="AV66" t="str">
        <f t="shared" si="31"/>
        <v/>
      </c>
      <c r="AW66" t="str">
        <f t="shared" si="32"/>
        <v/>
      </c>
    </row>
    <row r="67" spans="5:49">
      <c r="E67" s="4" t="str">
        <f t="shared" si="64"/>
        <v/>
      </c>
      <c r="H67" s="17"/>
      <c r="I67" s="17"/>
      <c r="L67" s="23"/>
      <c r="N67" t="str">
        <f t="shared" ref="N67:N120" si="65">IF(AND(H67="",I67=""),"",IF(H67="",0,2-H67)+IF(I67="",0,2-I67))</f>
        <v/>
      </c>
      <c r="O67" t="str">
        <f t="shared" ref="O67:O120" si="66">IF(COUNT(H67:I67)=0,"",COUNT(H67:I67))</f>
        <v/>
      </c>
      <c r="P67" t="str">
        <f t="shared" ref="P67:P120" si="67">IF(G67="","",1)</f>
        <v/>
      </c>
      <c r="Q67" s="10" t="str">
        <f t="shared" si="46"/>
        <v/>
      </c>
      <c r="R67" s="10" t="str">
        <f t="shared" ref="R67:R120" si="68">IF($G67="","",$J67*LOOKUP($G67,$BM:$BM,BP:BP)*$E67)</f>
        <v/>
      </c>
      <c r="S67" s="10" t="str">
        <f t="shared" ref="S67:S120" si="69">IF($G67="","",$J67*LOOKUP($G67,$BM:$BM,BQ:BQ)*$E67)</f>
        <v/>
      </c>
      <c r="T67" s="10" t="str">
        <f t="shared" si="34"/>
        <v/>
      </c>
      <c r="U67" s="10" t="str">
        <f t="shared" si="35"/>
        <v/>
      </c>
      <c r="V67" s="10" t="str">
        <f t="shared" ref="V67:V120" si="70">IF($G67="","",$J67*LOOKUP($G67,$BM:$BM,BT:BT)*$E67)</f>
        <v/>
      </c>
      <c r="W67" s="10" t="str">
        <f t="shared" ref="W67:W120" si="71">IF($G67="","",$J67*LOOKUP($G67,$BM:$BM,BU:BU)*$E67)</f>
        <v/>
      </c>
      <c r="X67" s="10" t="str">
        <f t="shared" ref="X67:X120" si="72">IF($G67="","",$J67*LOOKUP($G67,$BM:$BM,BV:BV)*$E67)</f>
        <v/>
      </c>
      <c r="Y67" s="10" t="str">
        <f t="shared" ref="Y67:Y120" si="73">IF($G67="","",$J67*LOOKUP($G67,$BM:$BM,BW:BW)*$E67)</f>
        <v/>
      </c>
      <c r="Z67" s="8" t="str">
        <f t="shared" ref="Z67:Z120" si="74">IF($G67="","",$J67*LOOKUP($G67,$BM:$BM,BY:BY)*$E67)</f>
        <v/>
      </c>
      <c r="AA67" s="15" t="str">
        <f t="shared" ref="AA67:AA120" si="75">IF($G67="","",$J67*LOOKUP($G67,$BM:$BM,BZ:BZ)*$E67)</f>
        <v/>
      </c>
      <c r="AB67" s="15" t="str">
        <f t="shared" ref="AB67:AB120" si="76">IF($G67="","",$J67*LOOKUP($G67,$BM:$BM,CA:CA)*$E67)</f>
        <v/>
      </c>
      <c r="AC67" s="15" t="str">
        <f t="shared" ref="AC67:AC120" si="77">IF($G67="","",$J67*LOOKUP($G67,$BM:$BM,CB:CB)*$E67)</f>
        <v/>
      </c>
      <c r="AD67" s="15" t="str">
        <f t="shared" ref="AD67:AD120" si="78">IF($G67="","",$J67*LOOKUP($G67,$BM:$BM,CC:CC)*$E67)</f>
        <v/>
      </c>
      <c r="AE67" s="15" t="str">
        <f t="shared" ref="AE67:AE120" si="79">IF($G67="","",$J67*LOOKUP($G67,$BM:$BM,CD:CD)*$E67)</f>
        <v/>
      </c>
      <c r="AF67" s="15" t="str">
        <f t="shared" si="38"/>
        <v/>
      </c>
      <c r="AG67" s="15" t="str">
        <f t="shared" si="39"/>
        <v/>
      </c>
      <c r="AH67" s="15" t="str">
        <f t="shared" si="40"/>
        <v/>
      </c>
      <c r="AI67" s="15" t="str">
        <f t="shared" si="41"/>
        <v/>
      </c>
      <c r="AJ67" s="15" t="str">
        <f t="shared" si="42"/>
        <v/>
      </c>
      <c r="AK67" s="15" t="str">
        <f t="shared" si="43"/>
        <v/>
      </c>
      <c r="AL67" t="str">
        <f>IF(P67=1,LOOKUP(K67,$AZ$1:$BI$1,$AZ$37:$BI$37)-IF(O67="",0,O67),"")</f>
        <v/>
      </c>
      <c r="AM67" s="10" t="str">
        <f t="shared" ref="AM67:AM120" si="80">IF(P67="","",AL67/2+IF(N67="",0,N67))</f>
        <v/>
      </c>
      <c r="AN67" s="10" t="str">
        <f>IF(AM67="","",AM67*LOOKUP(K67,$AZ$1:$BI$1,$AZ$7:$BI$7))</f>
        <v/>
      </c>
      <c r="AO67" t="str">
        <f>IF(AN67="","",AN67*LOOKUP(K67,$AZ$1:$BI$1,$AZ$8:$BI$8))</f>
        <v/>
      </c>
      <c r="AP67" t="str">
        <f>IF(AO67="","",AO67/LOOKUP(K67,$AZ$1:$BI$1,$AZ$42:$BI$42))</f>
        <v/>
      </c>
      <c r="AQ67" t="str">
        <f>IF(AO67="","",IF(LOOKUP(K67,$AZ$1:$BI$1,$AZ$37:$BI$37)=0,0.25,MAX(MIN(AP67,2.5),0.5)))</f>
        <v/>
      </c>
      <c r="AR67" t="str">
        <f t="shared" ref="AR67:AR120" si="81">IF(G67="","",ROUNDDOWN(G67,0))</f>
        <v/>
      </c>
      <c r="AS67" t="str">
        <f t="shared" ref="AS67:AS120" si="82">IF(P67="","",SUMIFS(P:P,M:M,"",AR:AR,AR67,K:K,K67))</f>
        <v/>
      </c>
      <c r="AT67" t="str">
        <f t="shared" ref="AT67:AT120" si="83">IF(P67="","",LOOKUP(G67,BM:BM,BN:BN))</f>
        <v/>
      </c>
      <c r="AU67" t="str">
        <f>IF(OR(AT67="",AT67=0),"",INDEX($AY$1:$BI$5,MATCH(AT67,$AY$1:$AY$5,0),MATCH(K67,$AY$1:$BI$1,0)))</f>
        <v/>
      </c>
      <c r="AV67" t="str">
        <f t="shared" ref="AV67:AV120" si="84">IF(AU67="","",(AU67-AS67)/AS67)</f>
        <v/>
      </c>
      <c r="AW67" t="str">
        <f t="shared" ref="AW67:AW120" si="85">IF(P67="","",MAX(0.25,AQ67+IF(AV67="",0,AV67)))</f>
        <v/>
      </c>
    </row>
    <row r="68" spans="5:49">
      <c r="E68" s="4" t="str">
        <f t="shared" si="64"/>
        <v/>
      </c>
      <c r="H68" s="17"/>
      <c r="I68" s="17"/>
      <c r="L68" s="23"/>
      <c r="N68" t="str">
        <f t="shared" si="65"/>
        <v/>
      </c>
      <c r="O68" t="str">
        <f t="shared" si="66"/>
        <v/>
      </c>
      <c r="P68" t="str">
        <f t="shared" si="67"/>
        <v/>
      </c>
      <c r="Q68" s="10" t="str">
        <f t="shared" si="46"/>
        <v/>
      </c>
      <c r="R68" s="10" t="str">
        <f t="shared" si="68"/>
        <v/>
      </c>
      <c r="S68" s="10" t="str">
        <f t="shared" si="69"/>
        <v/>
      </c>
      <c r="T68" s="10" t="str">
        <f t="shared" ref="T68:T120" si="86">IF($G68="","",$J68*LOOKUP($G68,$BM:$BM,BR:BR)*$E68)</f>
        <v/>
      </c>
      <c r="U68" s="10" t="str">
        <f t="shared" ref="U68:U120" si="87">IF($G68="","",$J68*LOOKUP($G68,$BM:$BM,BS:BS)*$E68)</f>
        <v/>
      </c>
      <c r="V68" s="10" t="str">
        <f t="shared" si="70"/>
        <v/>
      </c>
      <c r="W68" s="10" t="str">
        <f t="shared" si="71"/>
        <v/>
      </c>
      <c r="X68" s="10" t="str">
        <f t="shared" si="72"/>
        <v/>
      </c>
      <c r="Y68" s="10" t="str">
        <f t="shared" si="73"/>
        <v/>
      </c>
      <c r="Z68" s="8" t="str">
        <f t="shared" si="74"/>
        <v/>
      </c>
      <c r="AA68" s="15" t="str">
        <f t="shared" si="75"/>
        <v/>
      </c>
      <c r="AB68" s="15" t="str">
        <f t="shared" si="76"/>
        <v/>
      </c>
      <c r="AC68" s="15" t="str">
        <f t="shared" si="77"/>
        <v/>
      </c>
      <c r="AD68" s="15" t="str">
        <f t="shared" si="78"/>
        <v/>
      </c>
      <c r="AE68" s="15" t="str">
        <f t="shared" si="79"/>
        <v/>
      </c>
      <c r="AF68" s="15" t="str">
        <f t="shared" si="38"/>
        <v/>
      </c>
      <c r="AG68" s="15" t="str">
        <f t="shared" si="39"/>
        <v/>
      </c>
      <c r="AH68" s="15" t="str">
        <f t="shared" si="40"/>
        <v/>
      </c>
      <c r="AI68" s="15" t="str">
        <f t="shared" si="41"/>
        <v/>
      </c>
      <c r="AJ68" s="15" t="str">
        <f t="shared" si="42"/>
        <v/>
      </c>
      <c r="AK68" s="15" t="str">
        <f t="shared" si="43"/>
        <v/>
      </c>
      <c r="AL68" t="str">
        <f>IF(P68=1,LOOKUP(K68,$AZ$1:$BI$1,$AZ$37:$BI$37)-IF(O68="",0,O68),"")</f>
        <v/>
      </c>
      <c r="AM68" s="10" t="str">
        <f t="shared" si="80"/>
        <v/>
      </c>
      <c r="AN68" s="10" t="str">
        <f>IF(AM68="","",AM68*LOOKUP(K68,$AZ$1:$BI$1,$AZ$7:$BI$7))</f>
        <v/>
      </c>
      <c r="AO68" t="str">
        <f>IF(AN68="","",AN68*LOOKUP(K68,$AZ$1:$BI$1,$AZ$8:$BI$8))</f>
        <v/>
      </c>
      <c r="AP68" t="str">
        <f>IF(AO68="","",AO68/LOOKUP(K68,$AZ$1:$BI$1,$AZ$42:$BI$42))</f>
        <v/>
      </c>
      <c r="AQ68" t="str">
        <f>IF(AO68="","",IF(LOOKUP(K68,$AZ$1:$BI$1,$AZ$37:$BI$37)=0,0.25,MAX(MIN(AP68,2.5),0.5)))</f>
        <v/>
      </c>
      <c r="AR68" t="str">
        <f t="shared" si="81"/>
        <v/>
      </c>
      <c r="AS68" t="str">
        <f t="shared" si="82"/>
        <v/>
      </c>
      <c r="AT68" t="str">
        <f t="shared" si="83"/>
        <v/>
      </c>
      <c r="AU68" t="str">
        <f>IF(OR(AT68="",AT68=0),"",INDEX($AY$1:$BI$5,MATCH(AT68,$AY$1:$AY$5,0),MATCH(K68,$AY$1:$BI$1,0)))</f>
        <v/>
      </c>
      <c r="AV68" t="str">
        <f t="shared" si="84"/>
        <v/>
      </c>
      <c r="AW68" t="str">
        <f t="shared" si="85"/>
        <v/>
      </c>
    </row>
    <row r="69" spans="5:49">
      <c r="E69" s="4" t="str">
        <f t="shared" si="64"/>
        <v/>
      </c>
      <c r="H69" s="17"/>
      <c r="I69" s="17"/>
      <c r="L69" s="23"/>
      <c r="N69" t="str">
        <f t="shared" si="65"/>
        <v/>
      </c>
      <c r="O69" t="str">
        <f t="shared" si="66"/>
        <v/>
      </c>
      <c r="P69" t="str">
        <f t="shared" si="67"/>
        <v/>
      </c>
      <c r="Q69" s="10" t="str">
        <f t="shared" si="46"/>
        <v/>
      </c>
      <c r="R69" s="10" t="str">
        <f t="shared" si="68"/>
        <v/>
      </c>
      <c r="S69" s="10" t="str">
        <f t="shared" si="69"/>
        <v/>
      </c>
      <c r="T69" s="10" t="str">
        <f t="shared" si="86"/>
        <v/>
      </c>
      <c r="U69" s="10" t="str">
        <f t="shared" si="87"/>
        <v/>
      </c>
      <c r="V69" s="10" t="str">
        <f t="shared" si="70"/>
        <v/>
      </c>
      <c r="W69" s="10" t="str">
        <f t="shared" si="71"/>
        <v/>
      </c>
      <c r="X69" s="10" t="str">
        <f t="shared" si="72"/>
        <v/>
      </c>
      <c r="Y69" s="10" t="str">
        <f t="shared" si="73"/>
        <v/>
      </c>
      <c r="Z69" s="8" t="str">
        <f t="shared" si="74"/>
        <v/>
      </c>
      <c r="AA69" s="15" t="str">
        <f t="shared" si="75"/>
        <v/>
      </c>
      <c r="AB69" s="15" t="str">
        <f t="shared" si="76"/>
        <v/>
      </c>
      <c r="AC69" s="15" t="str">
        <f t="shared" si="77"/>
        <v/>
      </c>
      <c r="AD69" s="15" t="str">
        <f t="shared" si="78"/>
        <v/>
      </c>
      <c r="AE69" s="15" t="str">
        <f t="shared" si="79"/>
        <v/>
      </c>
      <c r="AF69" s="15" t="str">
        <f t="shared" ref="AF69:AF120" si="88">IF($G69="","",$J69*LOOKUP($G69,$BM:$BM,CE:CE)*$E69+IF($M69=1,0,IF($O69="",0,$O69*LOOKUP(100,$BM:$BM,CE:CE))))</f>
        <v/>
      </c>
      <c r="AG69" s="15" t="str">
        <f t="shared" si="39"/>
        <v/>
      </c>
      <c r="AH69" s="15" t="str">
        <f t="shared" si="40"/>
        <v/>
      </c>
      <c r="AI69" s="15" t="str">
        <f t="shared" si="41"/>
        <v/>
      </c>
      <c r="AJ69" s="15" t="str">
        <f t="shared" si="42"/>
        <v/>
      </c>
      <c r="AK69" s="15" t="str">
        <f t="shared" si="43"/>
        <v/>
      </c>
      <c r="AL69" t="str">
        <f>IF(P69=1,LOOKUP(K69,$AZ$1:$BI$1,$AZ$37:$BI$37)-IF(O69="",0,O69),"")</f>
        <v/>
      </c>
      <c r="AM69" s="10" t="str">
        <f t="shared" si="80"/>
        <v/>
      </c>
      <c r="AN69" s="10" t="str">
        <f>IF(AM69="","",AM69*LOOKUP(K69,$AZ$1:$BI$1,$AZ$7:$BI$7))</f>
        <v/>
      </c>
      <c r="AO69" t="str">
        <f>IF(AN69="","",AN69*LOOKUP(K69,$AZ$1:$BI$1,$AZ$8:$BI$8))</f>
        <v/>
      </c>
      <c r="AP69" t="str">
        <f>IF(AO69="","",AO69/LOOKUP(K69,$AZ$1:$BI$1,$AZ$42:$BI$42))</f>
        <v/>
      </c>
      <c r="AQ69" t="str">
        <f>IF(AO69="","",IF(LOOKUP(K69,$AZ$1:$BI$1,$AZ$37:$BI$37)=0,0.25,MAX(MIN(AP69,2.5),0.5)))</f>
        <v/>
      </c>
      <c r="AR69" t="str">
        <f t="shared" si="81"/>
        <v/>
      </c>
      <c r="AS69" t="str">
        <f t="shared" si="82"/>
        <v/>
      </c>
      <c r="AT69" t="str">
        <f t="shared" si="83"/>
        <v/>
      </c>
      <c r="AU69" t="str">
        <f>IF(OR(AT69="",AT69=0),"",INDEX($AY$1:$BI$5,MATCH(AT69,$AY$1:$AY$5,0),MATCH(K69,$AY$1:$BI$1,0)))</f>
        <v/>
      </c>
      <c r="AV69" t="str">
        <f t="shared" si="84"/>
        <v/>
      </c>
      <c r="AW69" t="str">
        <f t="shared" si="85"/>
        <v/>
      </c>
    </row>
    <row r="70" spans="5:49">
      <c r="E70" s="4" t="str">
        <f t="shared" si="64"/>
        <v/>
      </c>
      <c r="H70" s="17"/>
      <c r="I70" s="17"/>
      <c r="L70" s="23"/>
      <c r="N70" t="str">
        <f t="shared" si="65"/>
        <v/>
      </c>
      <c r="O70" t="str">
        <f t="shared" si="66"/>
        <v/>
      </c>
      <c r="P70" t="str">
        <f t="shared" si="67"/>
        <v/>
      </c>
      <c r="Q70" s="10" t="str">
        <f t="shared" si="46"/>
        <v/>
      </c>
      <c r="R70" s="10" t="str">
        <f t="shared" si="68"/>
        <v/>
      </c>
      <c r="S70" s="10" t="str">
        <f t="shared" si="69"/>
        <v/>
      </c>
      <c r="T70" s="10" t="str">
        <f t="shared" si="86"/>
        <v/>
      </c>
      <c r="U70" s="10" t="str">
        <f t="shared" si="87"/>
        <v/>
      </c>
      <c r="V70" s="10" t="str">
        <f t="shared" si="70"/>
        <v/>
      </c>
      <c r="W70" s="10" t="str">
        <f t="shared" si="71"/>
        <v/>
      </c>
      <c r="X70" s="10" t="str">
        <f t="shared" si="72"/>
        <v/>
      </c>
      <c r="Y70" s="10" t="str">
        <f t="shared" si="73"/>
        <v/>
      </c>
      <c r="Z70" s="8" t="str">
        <f t="shared" si="74"/>
        <v/>
      </c>
      <c r="AA70" s="15" t="str">
        <f t="shared" si="75"/>
        <v/>
      </c>
      <c r="AB70" s="15" t="str">
        <f t="shared" si="76"/>
        <v/>
      </c>
      <c r="AC70" s="15" t="str">
        <f t="shared" si="77"/>
        <v/>
      </c>
      <c r="AD70" s="15" t="str">
        <f t="shared" si="78"/>
        <v/>
      </c>
      <c r="AE70" s="15" t="str">
        <f t="shared" si="79"/>
        <v/>
      </c>
      <c r="AF70" s="15" t="str">
        <f t="shared" si="88"/>
        <v/>
      </c>
      <c r="AG70" s="15" t="str">
        <f t="shared" si="39"/>
        <v/>
      </c>
      <c r="AH70" s="15" t="str">
        <f t="shared" si="40"/>
        <v/>
      </c>
      <c r="AI70" s="15" t="str">
        <f t="shared" si="41"/>
        <v/>
      </c>
      <c r="AJ70" s="15" t="str">
        <f t="shared" si="42"/>
        <v/>
      </c>
      <c r="AK70" s="15" t="str">
        <f t="shared" si="43"/>
        <v/>
      </c>
      <c r="AL70" t="str">
        <f>IF(P70=1,LOOKUP(K70,$AZ$1:$BI$1,$AZ$37:$BI$37)-IF(O70="",0,O70),"")</f>
        <v/>
      </c>
      <c r="AM70" s="10" t="str">
        <f t="shared" si="80"/>
        <v/>
      </c>
      <c r="AN70" s="10" t="str">
        <f>IF(AM70="","",AM70*LOOKUP(K70,$AZ$1:$BI$1,$AZ$7:$BI$7))</f>
        <v/>
      </c>
      <c r="AO70" t="str">
        <f>IF(AN70="","",AN70*LOOKUP(K70,$AZ$1:$BI$1,$AZ$8:$BI$8))</f>
        <v/>
      </c>
      <c r="AP70" t="str">
        <f>IF(AO70="","",AO70/LOOKUP(K70,$AZ$1:$BI$1,$AZ$42:$BI$42))</f>
        <v/>
      </c>
      <c r="AQ70" t="str">
        <f>IF(AO70="","",IF(LOOKUP(K70,$AZ$1:$BI$1,$AZ$37:$BI$37)=0,0.25,MAX(MIN(AP70,2.5),0.5)))</f>
        <v/>
      </c>
      <c r="AR70" t="str">
        <f t="shared" si="81"/>
        <v/>
      </c>
      <c r="AS70" t="str">
        <f t="shared" si="82"/>
        <v/>
      </c>
      <c r="AT70" t="str">
        <f t="shared" si="83"/>
        <v/>
      </c>
      <c r="AU70" t="str">
        <f>IF(OR(AT70="",AT70=0),"",INDEX($AY$1:$BI$5,MATCH(AT70,$AY$1:$AY$5,0),MATCH(K70,$AY$1:$BI$1,0)))</f>
        <v/>
      </c>
      <c r="AV70" t="str">
        <f t="shared" si="84"/>
        <v/>
      </c>
      <c r="AW70" t="str">
        <f t="shared" si="85"/>
        <v/>
      </c>
    </row>
    <row r="71" spans="5:49">
      <c r="E71" s="4" t="str">
        <f t="shared" si="64"/>
        <v/>
      </c>
      <c r="H71" s="17"/>
      <c r="I71" s="17"/>
      <c r="L71" s="23"/>
      <c r="N71" t="str">
        <f t="shared" si="65"/>
        <v/>
      </c>
      <c r="O71" t="str">
        <f t="shared" si="66"/>
        <v/>
      </c>
      <c r="P71" t="str">
        <f t="shared" si="67"/>
        <v/>
      </c>
      <c r="Q71" s="10" t="str">
        <f t="shared" si="46"/>
        <v/>
      </c>
      <c r="R71" s="10" t="str">
        <f t="shared" si="68"/>
        <v/>
      </c>
      <c r="S71" s="10" t="str">
        <f t="shared" si="69"/>
        <v/>
      </c>
      <c r="T71" s="10" t="str">
        <f t="shared" si="86"/>
        <v/>
      </c>
      <c r="U71" s="10" t="str">
        <f t="shared" si="87"/>
        <v/>
      </c>
      <c r="V71" s="10" t="str">
        <f t="shared" si="70"/>
        <v/>
      </c>
      <c r="W71" s="10" t="str">
        <f t="shared" si="71"/>
        <v/>
      </c>
      <c r="X71" s="10" t="str">
        <f t="shared" si="72"/>
        <v/>
      </c>
      <c r="Y71" s="10" t="str">
        <f t="shared" si="73"/>
        <v/>
      </c>
      <c r="Z71" s="8" t="str">
        <f t="shared" si="74"/>
        <v/>
      </c>
      <c r="AA71" s="15" t="str">
        <f t="shared" si="75"/>
        <v/>
      </c>
      <c r="AB71" s="15" t="str">
        <f t="shared" si="76"/>
        <v/>
      </c>
      <c r="AC71" s="15" t="str">
        <f t="shared" si="77"/>
        <v/>
      </c>
      <c r="AD71" s="15" t="str">
        <f t="shared" si="78"/>
        <v/>
      </c>
      <c r="AE71" s="15" t="str">
        <f t="shared" si="79"/>
        <v/>
      </c>
      <c r="AF71" s="15" t="str">
        <f t="shared" si="88"/>
        <v/>
      </c>
      <c r="AG71" s="15" t="str">
        <f t="shared" ref="AG71:AG120" si="89">IF($G71="","",$J71*LOOKUP($G71,$BM:$BM,CF:CF)*$E71+IF($M71=1,0,IF($O71="",0,$O71*LOOKUP(100,$BM:$BM,CF:CF))))</f>
        <v/>
      </c>
      <c r="AH71" s="15" t="str">
        <f t="shared" ref="AH71:AH120" si="90">IF($G71="","",$J71*LOOKUP($G71,$BM:$BM,CG:CG)*$E71+IF($M71=1,0,IF($O71="",0,$O71*LOOKUP(100,$BM:$BM,CG:CG))))</f>
        <v/>
      </c>
      <c r="AI71" s="15" t="str">
        <f t="shared" ref="AI71:AI120" si="91">IF($G71="","",$J71*LOOKUP($G71,$BM:$BM,CH:CH)*$E71+IF($M71=1,0,IF($O71="",0,$O71*LOOKUP(100,$BM:$BM,CH:CH))))</f>
        <v/>
      </c>
      <c r="AJ71" s="15" t="str">
        <f t="shared" ref="AJ71:AJ120" si="92">IF($G71="","",$J71*LOOKUP($G71,$BM:$BM,CI:CI)*$E71+IF($M71=1,0,IF($O71="",0,$O71*LOOKUP(100,$BM:$BM,CI:CI))))</f>
        <v/>
      </c>
      <c r="AK71" s="15" t="str">
        <f t="shared" ref="AK71:AK120" si="93">IF($G71="","",$J71*LOOKUP($G71,$BM:$BM,CJ:CJ)*$E71+IF($M71=1,0,IF($O71="",0,$O71*LOOKUP(100,$BM:$BM,CJ:CJ))))</f>
        <v/>
      </c>
      <c r="AL71" t="str">
        <f>IF(P71=1,LOOKUP(K71,$AZ$1:$BI$1,$AZ$37:$BI$37)-IF(O71="",0,O71),"")</f>
        <v/>
      </c>
      <c r="AM71" s="10" t="str">
        <f t="shared" si="80"/>
        <v/>
      </c>
      <c r="AN71" s="10" t="str">
        <f>IF(AM71="","",AM71*LOOKUP(K71,$AZ$1:$BI$1,$AZ$7:$BI$7))</f>
        <v/>
      </c>
      <c r="AO71" t="str">
        <f>IF(AN71="","",AN71*LOOKUP(K71,$AZ$1:$BI$1,$AZ$8:$BI$8))</f>
        <v/>
      </c>
      <c r="AP71" t="str">
        <f>IF(AO71="","",AO71/LOOKUP(K71,$AZ$1:$BI$1,$AZ$42:$BI$42))</f>
        <v/>
      </c>
      <c r="AQ71" t="str">
        <f>IF(AO71="","",IF(LOOKUP(K71,$AZ$1:$BI$1,$AZ$37:$BI$37)=0,0.25,MAX(MIN(AP71,2.5),0.5)))</f>
        <v/>
      </c>
      <c r="AR71" t="str">
        <f t="shared" si="81"/>
        <v/>
      </c>
      <c r="AS71" t="str">
        <f t="shared" si="82"/>
        <v/>
      </c>
      <c r="AT71" t="str">
        <f t="shared" si="83"/>
        <v/>
      </c>
      <c r="AU71" t="str">
        <f>IF(OR(AT71="",AT71=0),"",INDEX($AY$1:$BI$5,MATCH(AT71,$AY$1:$AY$5,0),MATCH(K71,$AY$1:$BI$1,0)))</f>
        <v/>
      </c>
      <c r="AV71" t="str">
        <f t="shared" si="84"/>
        <v/>
      </c>
      <c r="AW71" t="str">
        <f t="shared" si="85"/>
        <v/>
      </c>
    </row>
    <row r="72" spans="5:49">
      <c r="E72" s="4" t="str">
        <f t="shared" si="64"/>
        <v/>
      </c>
      <c r="H72" s="17"/>
      <c r="I72" s="17"/>
      <c r="L72" s="23"/>
      <c r="N72" t="str">
        <f t="shared" si="65"/>
        <v/>
      </c>
      <c r="O72" t="str">
        <f t="shared" si="66"/>
        <v/>
      </c>
      <c r="P72" t="str">
        <f t="shared" si="67"/>
        <v/>
      </c>
      <c r="Q72" s="10" t="str">
        <f t="shared" si="46"/>
        <v/>
      </c>
      <c r="R72" s="10" t="str">
        <f t="shared" si="68"/>
        <v/>
      </c>
      <c r="S72" s="10" t="str">
        <f t="shared" si="69"/>
        <v/>
      </c>
      <c r="T72" s="10" t="str">
        <f t="shared" si="86"/>
        <v/>
      </c>
      <c r="U72" s="10" t="str">
        <f t="shared" si="87"/>
        <v/>
      </c>
      <c r="V72" s="10" t="str">
        <f t="shared" si="70"/>
        <v/>
      </c>
      <c r="W72" s="10" t="str">
        <f t="shared" si="71"/>
        <v/>
      </c>
      <c r="X72" s="10" t="str">
        <f t="shared" si="72"/>
        <v/>
      </c>
      <c r="Y72" s="10" t="str">
        <f t="shared" si="73"/>
        <v/>
      </c>
      <c r="Z72" s="8" t="str">
        <f t="shared" si="74"/>
        <v/>
      </c>
      <c r="AA72" s="15" t="str">
        <f t="shared" si="75"/>
        <v/>
      </c>
      <c r="AB72" s="15" t="str">
        <f t="shared" si="76"/>
        <v/>
      </c>
      <c r="AC72" s="15" t="str">
        <f t="shared" si="77"/>
        <v/>
      </c>
      <c r="AD72" s="15" t="str">
        <f t="shared" si="78"/>
        <v/>
      </c>
      <c r="AE72" s="15" t="str">
        <f t="shared" si="79"/>
        <v/>
      </c>
      <c r="AF72" s="15" t="str">
        <f t="shared" si="88"/>
        <v/>
      </c>
      <c r="AG72" s="15" t="str">
        <f t="shared" si="89"/>
        <v/>
      </c>
      <c r="AH72" s="15" t="str">
        <f t="shared" si="90"/>
        <v/>
      </c>
      <c r="AI72" s="15" t="str">
        <f t="shared" si="91"/>
        <v/>
      </c>
      <c r="AJ72" s="15" t="str">
        <f t="shared" si="92"/>
        <v/>
      </c>
      <c r="AK72" s="15" t="str">
        <f t="shared" si="93"/>
        <v/>
      </c>
      <c r="AL72" t="str">
        <f>IF(P72=1,LOOKUP(K72,$AZ$1:$BI$1,$AZ$37:$BI$37)-IF(O72="",0,O72),"")</f>
        <v/>
      </c>
      <c r="AM72" s="10" t="str">
        <f t="shared" si="80"/>
        <v/>
      </c>
      <c r="AN72" s="10" t="str">
        <f>IF(AM72="","",AM72*LOOKUP(K72,$AZ$1:$BI$1,$AZ$7:$BI$7))</f>
        <v/>
      </c>
      <c r="AO72" t="str">
        <f>IF(AN72="","",AN72*LOOKUP(K72,$AZ$1:$BI$1,$AZ$8:$BI$8))</f>
        <v/>
      </c>
      <c r="AP72" t="str">
        <f>IF(AO72="","",AO72/LOOKUP(K72,$AZ$1:$BI$1,$AZ$42:$BI$42))</f>
        <v/>
      </c>
      <c r="AQ72" t="str">
        <f>IF(AO72="","",IF(LOOKUP(K72,$AZ$1:$BI$1,$AZ$37:$BI$37)=0,0.25,MAX(MIN(AP72,2.5),0.5)))</f>
        <v/>
      </c>
      <c r="AR72" t="str">
        <f t="shared" si="81"/>
        <v/>
      </c>
      <c r="AS72" t="str">
        <f t="shared" si="82"/>
        <v/>
      </c>
      <c r="AT72" t="str">
        <f t="shared" si="83"/>
        <v/>
      </c>
      <c r="AU72" t="str">
        <f>IF(OR(AT72="",AT72=0),"",INDEX($AY$1:$BI$5,MATCH(AT72,$AY$1:$AY$5,0),MATCH(K72,$AY$1:$BI$1,0)))</f>
        <v/>
      </c>
      <c r="AV72" t="str">
        <f t="shared" si="84"/>
        <v/>
      </c>
      <c r="AW72" t="str">
        <f t="shared" si="85"/>
        <v/>
      </c>
    </row>
    <row r="73" spans="5:49">
      <c r="E73" s="4" t="str">
        <f t="shared" si="64"/>
        <v/>
      </c>
      <c r="H73" s="17"/>
      <c r="I73" s="17"/>
      <c r="L73" s="23"/>
      <c r="N73" t="str">
        <f t="shared" si="65"/>
        <v/>
      </c>
      <c r="O73" t="str">
        <f t="shared" si="66"/>
        <v/>
      </c>
      <c r="P73" t="str">
        <f t="shared" si="67"/>
        <v/>
      </c>
      <c r="Q73" s="10" t="str">
        <f t="shared" si="46"/>
        <v/>
      </c>
      <c r="R73" s="10" t="str">
        <f t="shared" si="68"/>
        <v/>
      </c>
      <c r="S73" s="10" t="str">
        <f t="shared" si="69"/>
        <v/>
      </c>
      <c r="T73" s="10" t="str">
        <f t="shared" si="86"/>
        <v/>
      </c>
      <c r="U73" s="10" t="str">
        <f t="shared" si="87"/>
        <v/>
      </c>
      <c r="V73" s="10" t="str">
        <f t="shared" si="70"/>
        <v/>
      </c>
      <c r="W73" s="10" t="str">
        <f t="shared" si="71"/>
        <v/>
      </c>
      <c r="X73" s="10" t="str">
        <f t="shared" si="72"/>
        <v/>
      </c>
      <c r="Y73" s="10" t="str">
        <f t="shared" si="73"/>
        <v/>
      </c>
      <c r="Z73" s="8" t="str">
        <f t="shared" si="74"/>
        <v/>
      </c>
      <c r="AA73" s="15" t="str">
        <f t="shared" si="75"/>
        <v/>
      </c>
      <c r="AB73" s="15" t="str">
        <f t="shared" si="76"/>
        <v/>
      </c>
      <c r="AC73" s="15" t="str">
        <f t="shared" si="77"/>
        <v/>
      </c>
      <c r="AD73" s="15" t="str">
        <f t="shared" si="78"/>
        <v/>
      </c>
      <c r="AE73" s="15" t="str">
        <f t="shared" si="79"/>
        <v/>
      </c>
      <c r="AF73" s="15" t="str">
        <f t="shared" si="88"/>
        <v/>
      </c>
      <c r="AG73" s="15" t="str">
        <f t="shared" si="89"/>
        <v/>
      </c>
      <c r="AH73" s="15" t="str">
        <f t="shared" si="90"/>
        <v/>
      </c>
      <c r="AI73" s="15" t="str">
        <f t="shared" si="91"/>
        <v/>
      </c>
      <c r="AJ73" s="15" t="str">
        <f t="shared" si="92"/>
        <v/>
      </c>
      <c r="AK73" s="15" t="str">
        <f t="shared" si="93"/>
        <v/>
      </c>
      <c r="AL73" t="str">
        <f>IF(P73=1,LOOKUP(K73,$AZ$1:$BI$1,$AZ$37:$BI$37)-IF(O73="",0,O73),"")</f>
        <v/>
      </c>
      <c r="AM73" s="10" t="str">
        <f t="shared" si="80"/>
        <v/>
      </c>
      <c r="AN73" s="10" t="str">
        <f>IF(AM73="","",AM73*LOOKUP(K73,$AZ$1:$BI$1,$AZ$7:$BI$7))</f>
        <v/>
      </c>
      <c r="AO73" t="str">
        <f>IF(AN73="","",AN73*LOOKUP(K73,$AZ$1:$BI$1,$AZ$8:$BI$8))</f>
        <v/>
      </c>
      <c r="AP73" t="str">
        <f>IF(AO73="","",AO73/LOOKUP(K73,$AZ$1:$BI$1,$AZ$42:$BI$42))</f>
        <v/>
      </c>
      <c r="AQ73" t="str">
        <f>IF(AO73="","",IF(LOOKUP(K73,$AZ$1:$BI$1,$AZ$37:$BI$37)=0,0.25,MAX(MIN(AP73,2.5),0.5)))</f>
        <v/>
      </c>
      <c r="AR73" t="str">
        <f t="shared" si="81"/>
        <v/>
      </c>
      <c r="AS73" t="str">
        <f t="shared" si="82"/>
        <v/>
      </c>
      <c r="AT73" t="str">
        <f t="shared" si="83"/>
        <v/>
      </c>
      <c r="AU73" t="str">
        <f>IF(OR(AT73="",AT73=0),"",INDEX($AY$1:$BI$5,MATCH(AT73,$AY$1:$AY$5,0),MATCH(K73,$AY$1:$BI$1,0)))</f>
        <v/>
      </c>
      <c r="AV73" t="str">
        <f t="shared" si="84"/>
        <v/>
      </c>
      <c r="AW73" t="str">
        <f t="shared" si="85"/>
        <v/>
      </c>
    </row>
    <row r="74" spans="5:49">
      <c r="E74" s="4" t="str">
        <f t="shared" si="64"/>
        <v/>
      </c>
      <c r="H74" s="17"/>
      <c r="I74" s="17"/>
      <c r="L74" s="23"/>
      <c r="N74" t="str">
        <f t="shared" si="65"/>
        <v/>
      </c>
      <c r="O74" t="str">
        <f t="shared" si="66"/>
        <v/>
      </c>
      <c r="P74" t="str">
        <f t="shared" si="67"/>
        <v/>
      </c>
      <c r="Q74" s="10" t="str">
        <f t="shared" si="46"/>
        <v/>
      </c>
      <c r="R74" s="10" t="str">
        <f t="shared" si="68"/>
        <v/>
      </c>
      <c r="S74" s="10" t="str">
        <f t="shared" si="69"/>
        <v/>
      </c>
      <c r="T74" s="10" t="str">
        <f t="shared" si="86"/>
        <v/>
      </c>
      <c r="U74" s="10" t="str">
        <f t="shared" si="87"/>
        <v/>
      </c>
      <c r="V74" s="10" t="str">
        <f t="shared" si="70"/>
        <v/>
      </c>
      <c r="W74" s="10" t="str">
        <f t="shared" si="71"/>
        <v/>
      </c>
      <c r="X74" s="10" t="str">
        <f t="shared" si="72"/>
        <v/>
      </c>
      <c r="Y74" s="10" t="str">
        <f t="shared" si="73"/>
        <v/>
      </c>
      <c r="Z74" s="8" t="str">
        <f t="shared" si="74"/>
        <v/>
      </c>
      <c r="AA74" s="15" t="str">
        <f t="shared" si="75"/>
        <v/>
      </c>
      <c r="AB74" s="15" t="str">
        <f t="shared" si="76"/>
        <v/>
      </c>
      <c r="AC74" s="15" t="str">
        <f t="shared" si="77"/>
        <v/>
      </c>
      <c r="AD74" s="15" t="str">
        <f t="shared" si="78"/>
        <v/>
      </c>
      <c r="AE74" s="15" t="str">
        <f t="shared" si="79"/>
        <v/>
      </c>
      <c r="AF74" s="15" t="str">
        <f t="shared" si="88"/>
        <v/>
      </c>
      <c r="AG74" s="15" t="str">
        <f t="shared" si="89"/>
        <v/>
      </c>
      <c r="AH74" s="15" t="str">
        <f t="shared" si="90"/>
        <v/>
      </c>
      <c r="AI74" s="15" t="str">
        <f t="shared" si="91"/>
        <v/>
      </c>
      <c r="AJ74" s="15" t="str">
        <f t="shared" si="92"/>
        <v/>
      </c>
      <c r="AK74" s="15" t="str">
        <f t="shared" si="93"/>
        <v/>
      </c>
      <c r="AL74" t="str">
        <f>IF(P74=1,LOOKUP(K74,$AZ$1:$BI$1,$AZ$37:$BI$37)-IF(O74="",0,O74),"")</f>
        <v/>
      </c>
      <c r="AM74" s="10" t="str">
        <f t="shared" si="80"/>
        <v/>
      </c>
      <c r="AN74" s="10" t="str">
        <f>IF(AM74="","",AM74*LOOKUP(K74,$AZ$1:$BI$1,$AZ$7:$BI$7))</f>
        <v/>
      </c>
      <c r="AO74" t="str">
        <f>IF(AN74="","",AN74*LOOKUP(K74,$AZ$1:$BI$1,$AZ$8:$BI$8))</f>
        <v/>
      </c>
      <c r="AP74" t="str">
        <f>IF(AO74="","",AO74/LOOKUP(K74,$AZ$1:$BI$1,$AZ$42:$BI$42))</f>
        <v/>
      </c>
      <c r="AQ74" t="str">
        <f>IF(AO74="","",IF(LOOKUP(K74,$AZ$1:$BI$1,$AZ$37:$BI$37)=0,0.25,MAX(MIN(AP74,2.5),0.5)))</f>
        <v/>
      </c>
      <c r="AR74" t="str">
        <f t="shared" si="81"/>
        <v/>
      </c>
      <c r="AS74" t="str">
        <f t="shared" si="82"/>
        <v/>
      </c>
      <c r="AT74" t="str">
        <f t="shared" si="83"/>
        <v/>
      </c>
      <c r="AU74" t="str">
        <f>IF(OR(AT74="",AT74=0),"",INDEX($AY$1:$BI$5,MATCH(AT74,$AY$1:$AY$5,0),MATCH(K74,$AY$1:$BI$1,0)))</f>
        <v/>
      </c>
      <c r="AV74" t="str">
        <f t="shared" si="84"/>
        <v/>
      </c>
      <c r="AW74" t="str">
        <f t="shared" si="85"/>
        <v/>
      </c>
    </row>
    <row r="75" spans="5:49">
      <c r="E75" s="4" t="str">
        <f t="shared" si="64"/>
        <v/>
      </c>
      <c r="H75" s="17"/>
      <c r="I75" s="17"/>
      <c r="L75" s="23"/>
      <c r="N75" t="str">
        <f t="shared" si="65"/>
        <v/>
      </c>
      <c r="O75" t="str">
        <f t="shared" si="66"/>
        <v/>
      </c>
      <c r="P75" t="str">
        <f t="shared" si="67"/>
        <v/>
      </c>
      <c r="Q75" s="10" t="str">
        <f t="shared" si="46"/>
        <v/>
      </c>
      <c r="R75" s="10" t="str">
        <f t="shared" si="68"/>
        <v/>
      </c>
      <c r="S75" s="10" t="str">
        <f t="shared" si="69"/>
        <v/>
      </c>
      <c r="T75" s="10" t="str">
        <f t="shared" si="86"/>
        <v/>
      </c>
      <c r="U75" s="10" t="str">
        <f t="shared" si="87"/>
        <v/>
      </c>
      <c r="V75" s="10" t="str">
        <f t="shared" si="70"/>
        <v/>
      </c>
      <c r="W75" s="10" t="str">
        <f t="shared" si="71"/>
        <v/>
      </c>
      <c r="X75" s="10" t="str">
        <f t="shared" si="72"/>
        <v/>
      </c>
      <c r="Y75" s="10" t="str">
        <f t="shared" si="73"/>
        <v/>
      </c>
      <c r="Z75" s="8" t="str">
        <f t="shared" si="74"/>
        <v/>
      </c>
      <c r="AA75" s="15" t="str">
        <f t="shared" si="75"/>
        <v/>
      </c>
      <c r="AB75" s="15" t="str">
        <f t="shared" si="76"/>
        <v/>
      </c>
      <c r="AC75" s="15" t="str">
        <f t="shared" si="77"/>
        <v/>
      </c>
      <c r="AD75" s="15" t="str">
        <f t="shared" si="78"/>
        <v/>
      </c>
      <c r="AE75" s="15" t="str">
        <f t="shared" si="79"/>
        <v/>
      </c>
      <c r="AF75" s="15" t="str">
        <f t="shared" si="88"/>
        <v/>
      </c>
      <c r="AG75" s="15" t="str">
        <f t="shared" si="89"/>
        <v/>
      </c>
      <c r="AH75" s="15" t="str">
        <f t="shared" si="90"/>
        <v/>
      </c>
      <c r="AI75" s="15" t="str">
        <f t="shared" si="91"/>
        <v/>
      </c>
      <c r="AJ75" s="15" t="str">
        <f t="shared" si="92"/>
        <v/>
      </c>
      <c r="AK75" s="15" t="str">
        <f t="shared" si="93"/>
        <v/>
      </c>
      <c r="AL75" t="str">
        <f>IF(P75=1,LOOKUP(K75,$AZ$1:$BI$1,$AZ$37:$BI$37)-IF(O75="",0,O75),"")</f>
        <v/>
      </c>
      <c r="AM75" s="10" t="str">
        <f t="shared" si="80"/>
        <v/>
      </c>
      <c r="AN75" s="10" t="str">
        <f>IF(AM75="","",AM75*LOOKUP(K75,$AZ$1:$BI$1,$AZ$7:$BI$7))</f>
        <v/>
      </c>
      <c r="AO75" t="str">
        <f>IF(AN75="","",AN75*LOOKUP(K75,$AZ$1:$BI$1,$AZ$8:$BI$8))</f>
        <v/>
      </c>
      <c r="AP75" t="str">
        <f>IF(AO75="","",AO75/LOOKUP(K75,$AZ$1:$BI$1,$AZ$42:$BI$42))</f>
        <v/>
      </c>
      <c r="AQ75" t="str">
        <f>IF(AO75="","",IF(LOOKUP(K75,$AZ$1:$BI$1,$AZ$37:$BI$37)=0,0.25,MAX(MIN(AP75,2.5),0.5)))</f>
        <v/>
      </c>
      <c r="AR75" t="str">
        <f t="shared" si="81"/>
        <v/>
      </c>
      <c r="AS75" t="str">
        <f t="shared" si="82"/>
        <v/>
      </c>
      <c r="AT75" t="str">
        <f t="shared" si="83"/>
        <v/>
      </c>
      <c r="AU75" t="str">
        <f>IF(OR(AT75="",AT75=0),"",INDEX($AY$1:$BI$5,MATCH(AT75,$AY$1:$AY$5,0),MATCH(K75,$AY$1:$BI$1,0)))</f>
        <v/>
      </c>
      <c r="AV75" t="str">
        <f t="shared" si="84"/>
        <v/>
      </c>
      <c r="AW75" t="str">
        <f t="shared" si="85"/>
        <v/>
      </c>
    </row>
    <row r="76" spans="5:49">
      <c r="E76" s="4" t="str">
        <f t="shared" si="64"/>
        <v/>
      </c>
      <c r="H76" s="17"/>
      <c r="I76" s="17"/>
      <c r="L76" s="23"/>
      <c r="N76" t="str">
        <f t="shared" si="65"/>
        <v/>
      </c>
      <c r="O76" t="str">
        <f t="shared" si="66"/>
        <v/>
      </c>
      <c r="P76" t="str">
        <f t="shared" si="67"/>
        <v/>
      </c>
      <c r="Q76" s="10" t="str">
        <f t="shared" ref="Q76:Q120" si="94">IF($G76="","",$J76*LOOKUP($G76,$BM:$BM,BO:BO)*$E76+IF(M76="",IF(O76="",0,O76*LOOKUP(100,BM:BM,BO:BO)),0))</f>
        <v/>
      </c>
      <c r="R76" s="10" t="str">
        <f t="shared" si="68"/>
        <v/>
      </c>
      <c r="S76" s="10" t="str">
        <f t="shared" si="69"/>
        <v/>
      </c>
      <c r="T76" s="10" t="str">
        <f t="shared" si="86"/>
        <v/>
      </c>
      <c r="U76" s="10" t="str">
        <f t="shared" si="87"/>
        <v/>
      </c>
      <c r="V76" s="10" t="str">
        <f t="shared" si="70"/>
        <v/>
      </c>
      <c r="W76" s="10" t="str">
        <f t="shared" si="71"/>
        <v/>
      </c>
      <c r="X76" s="10" t="str">
        <f t="shared" si="72"/>
        <v/>
      </c>
      <c r="Y76" s="10" t="str">
        <f t="shared" si="73"/>
        <v/>
      </c>
      <c r="Z76" s="8" t="str">
        <f t="shared" si="74"/>
        <v/>
      </c>
      <c r="AA76" s="15" t="str">
        <f t="shared" si="75"/>
        <v/>
      </c>
      <c r="AB76" s="15" t="str">
        <f t="shared" si="76"/>
        <v/>
      </c>
      <c r="AC76" s="15" t="str">
        <f t="shared" si="77"/>
        <v/>
      </c>
      <c r="AD76" s="15" t="str">
        <f t="shared" si="78"/>
        <v/>
      </c>
      <c r="AE76" s="15" t="str">
        <f t="shared" si="79"/>
        <v/>
      </c>
      <c r="AF76" s="15" t="str">
        <f t="shared" si="88"/>
        <v/>
      </c>
      <c r="AG76" s="15" t="str">
        <f t="shared" si="89"/>
        <v/>
      </c>
      <c r="AH76" s="15" t="str">
        <f t="shared" si="90"/>
        <v/>
      </c>
      <c r="AI76" s="15" t="str">
        <f t="shared" si="91"/>
        <v/>
      </c>
      <c r="AJ76" s="15" t="str">
        <f t="shared" si="92"/>
        <v/>
      </c>
      <c r="AK76" s="15" t="str">
        <f t="shared" si="93"/>
        <v/>
      </c>
      <c r="AL76" t="str">
        <f>IF(P76=1,LOOKUP(K76,$AZ$1:$BI$1,$AZ$37:$BI$37)-IF(O76="",0,O76),"")</f>
        <v/>
      </c>
      <c r="AM76" s="10" t="str">
        <f t="shared" si="80"/>
        <v/>
      </c>
      <c r="AN76" s="10" t="str">
        <f>IF(AM76="","",AM76*LOOKUP(K76,$AZ$1:$BI$1,$AZ$7:$BI$7))</f>
        <v/>
      </c>
      <c r="AO76" t="str">
        <f>IF(AN76="","",AN76*LOOKUP(K76,$AZ$1:$BI$1,$AZ$8:$BI$8))</f>
        <v/>
      </c>
      <c r="AP76" t="str">
        <f>IF(AO76="","",AO76/LOOKUP(K76,$AZ$1:$BI$1,$AZ$42:$BI$42))</f>
        <v/>
      </c>
      <c r="AQ76" t="str">
        <f>IF(AO76="","",IF(LOOKUP(K76,$AZ$1:$BI$1,$AZ$37:$BI$37)=0,0.25,MAX(MIN(AP76,2.5),0.5)))</f>
        <v/>
      </c>
      <c r="AR76" t="str">
        <f t="shared" si="81"/>
        <v/>
      </c>
      <c r="AS76" t="str">
        <f t="shared" si="82"/>
        <v/>
      </c>
      <c r="AT76" t="str">
        <f t="shared" si="83"/>
        <v/>
      </c>
      <c r="AU76" t="str">
        <f>IF(OR(AT76="",AT76=0),"",INDEX($AY$1:$BI$5,MATCH(AT76,$AY$1:$AY$5,0),MATCH(K76,$AY$1:$BI$1,0)))</f>
        <v/>
      </c>
      <c r="AV76" t="str">
        <f t="shared" si="84"/>
        <v/>
      </c>
      <c r="AW76" t="str">
        <f t="shared" si="85"/>
        <v/>
      </c>
    </row>
    <row r="77" spans="5:49">
      <c r="E77" s="4" t="str">
        <f t="shared" si="64"/>
        <v/>
      </c>
      <c r="H77" s="17"/>
      <c r="I77" s="17"/>
      <c r="L77" s="23"/>
      <c r="N77" t="str">
        <f t="shared" si="65"/>
        <v/>
      </c>
      <c r="O77" t="str">
        <f t="shared" si="66"/>
        <v/>
      </c>
      <c r="P77" t="str">
        <f t="shared" si="67"/>
        <v/>
      </c>
      <c r="Q77" s="10" t="str">
        <f t="shared" si="94"/>
        <v/>
      </c>
      <c r="R77" s="10" t="str">
        <f t="shared" si="68"/>
        <v/>
      </c>
      <c r="S77" s="10" t="str">
        <f t="shared" si="69"/>
        <v/>
      </c>
      <c r="T77" s="10" t="str">
        <f t="shared" si="86"/>
        <v/>
      </c>
      <c r="U77" s="10" t="str">
        <f t="shared" si="87"/>
        <v/>
      </c>
      <c r="V77" s="10" t="str">
        <f t="shared" si="70"/>
        <v/>
      </c>
      <c r="W77" s="10" t="str">
        <f t="shared" si="71"/>
        <v/>
      </c>
      <c r="X77" s="10" t="str">
        <f t="shared" si="72"/>
        <v/>
      </c>
      <c r="Y77" s="10" t="str">
        <f t="shared" si="73"/>
        <v/>
      </c>
      <c r="Z77" s="8" t="str">
        <f t="shared" si="74"/>
        <v/>
      </c>
      <c r="AA77" s="15" t="str">
        <f t="shared" si="75"/>
        <v/>
      </c>
      <c r="AB77" s="15" t="str">
        <f t="shared" si="76"/>
        <v/>
      </c>
      <c r="AC77" s="15" t="str">
        <f t="shared" si="77"/>
        <v/>
      </c>
      <c r="AD77" s="15" t="str">
        <f t="shared" si="78"/>
        <v/>
      </c>
      <c r="AE77" s="15" t="str">
        <f t="shared" si="79"/>
        <v/>
      </c>
      <c r="AF77" s="15" t="str">
        <f t="shared" si="88"/>
        <v/>
      </c>
      <c r="AG77" s="15" t="str">
        <f t="shared" si="89"/>
        <v/>
      </c>
      <c r="AH77" s="15" t="str">
        <f t="shared" si="90"/>
        <v/>
      </c>
      <c r="AI77" s="15" t="str">
        <f t="shared" si="91"/>
        <v/>
      </c>
      <c r="AJ77" s="15" t="str">
        <f t="shared" si="92"/>
        <v/>
      </c>
      <c r="AK77" s="15" t="str">
        <f t="shared" si="93"/>
        <v/>
      </c>
      <c r="AL77" t="str">
        <f>IF(P77=1,LOOKUP(K77,$AZ$1:$BI$1,$AZ$37:$BI$37)-IF(O77="",0,O77),"")</f>
        <v/>
      </c>
      <c r="AM77" s="10" t="str">
        <f t="shared" si="80"/>
        <v/>
      </c>
      <c r="AN77" s="10" t="str">
        <f>IF(AM77="","",AM77*LOOKUP(K77,$AZ$1:$BI$1,$AZ$7:$BI$7))</f>
        <v/>
      </c>
      <c r="AO77" t="str">
        <f>IF(AN77="","",AN77*LOOKUP(K77,$AZ$1:$BI$1,$AZ$8:$BI$8))</f>
        <v/>
      </c>
      <c r="AP77" t="str">
        <f>IF(AO77="","",AO77/LOOKUP(K77,$AZ$1:$BI$1,$AZ$42:$BI$42))</f>
        <v/>
      </c>
      <c r="AQ77" t="str">
        <f>IF(AO77="","",IF(LOOKUP(K77,$AZ$1:$BI$1,$AZ$37:$BI$37)=0,0.25,MAX(MIN(AP77,2.5),0.5)))</f>
        <v/>
      </c>
      <c r="AR77" t="str">
        <f t="shared" si="81"/>
        <v/>
      </c>
      <c r="AS77" t="str">
        <f t="shared" si="82"/>
        <v/>
      </c>
      <c r="AT77" t="str">
        <f t="shared" si="83"/>
        <v/>
      </c>
      <c r="AU77" t="str">
        <f>IF(OR(AT77="",AT77=0),"",INDEX($AY$1:$BI$5,MATCH(AT77,$AY$1:$AY$5,0),MATCH(K77,$AY$1:$BI$1,0)))</f>
        <v/>
      </c>
      <c r="AV77" t="str">
        <f t="shared" si="84"/>
        <v/>
      </c>
      <c r="AW77" t="str">
        <f t="shared" si="85"/>
        <v/>
      </c>
    </row>
    <row r="78" spans="5:49">
      <c r="E78" s="4" t="str">
        <f t="shared" si="64"/>
        <v/>
      </c>
      <c r="H78" s="17"/>
      <c r="I78" s="17"/>
      <c r="L78" s="23"/>
      <c r="N78" t="str">
        <f t="shared" si="65"/>
        <v/>
      </c>
      <c r="O78" t="str">
        <f t="shared" si="66"/>
        <v/>
      </c>
      <c r="P78" t="str">
        <f t="shared" si="67"/>
        <v/>
      </c>
      <c r="Q78" s="10" t="str">
        <f t="shared" si="94"/>
        <v/>
      </c>
      <c r="R78" s="10" t="str">
        <f t="shared" si="68"/>
        <v/>
      </c>
      <c r="S78" s="10" t="str">
        <f t="shared" si="69"/>
        <v/>
      </c>
      <c r="T78" s="10" t="str">
        <f t="shared" si="86"/>
        <v/>
      </c>
      <c r="U78" s="10" t="str">
        <f t="shared" si="87"/>
        <v/>
      </c>
      <c r="V78" s="10" t="str">
        <f t="shared" si="70"/>
        <v/>
      </c>
      <c r="W78" s="10" t="str">
        <f t="shared" si="71"/>
        <v/>
      </c>
      <c r="X78" s="10" t="str">
        <f t="shared" si="72"/>
        <v/>
      </c>
      <c r="Y78" s="10" t="str">
        <f t="shared" si="73"/>
        <v/>
      </c>
      <c r="Z78" s="8" t="str">
        <f t="shared" si="74"/>
        <v/>
      </c>
      <c r="AA78" s="15" t="str">
        <f t="shared" si="75"/>
        <v/>
      </c>
      <c r="AB78" s="15" t="str">
        <f t="shared" si="76"/>
        <v/>
      </c>
      <c r="AC78" s="15" t="str">
        <f t="shared" si="77"/>
        <v/>
      </c>
      <c r="AD78" s="15" t="str">
        <f t="shared" si="78"/>
        <v/>
      </c>
      <c r="AE78" s="15" t="str">
        <f t="shared" si="79"/>
        <v/>
      </c>
      <c r="AF78" s="15" t="str">
        <f t="shared" si="88"/>
        <v/>
      </c>
      <c r="AG78" s="15" t="str">
        <f t="shared" si="89"/>
        <v/>
      </c>
      <c r="AH78" s="15" t="str">
        <f t="shared" si="90"/>
        <v/>
      </c>
      <c r="AI78" s="15" t="str">
        <f t="shared" si="91"/>
        <v/>
      </c>
      <c r="AJ78" s="15" t="str">
        <f t="shared" si="92"/>
        <v/>
      </c>
      <c r="AK78" s="15" t="str">
        <f t="shared" si="93"/>
        <v/>
      </c>
      <c r="AL78" t="str">
        <f>IF(P78=1,LOOKUP(K78,$AZ$1:$BI$1,$AZ$37:$BI$37)-IF(O78="",0,O78),"")</f>
        <v/>
      </c>
      <c r="AM78" s="10" t="str">
        <f t="shared" si="80"/>
        <v/>
      </c>
      <c r="AN78" s="10" t="str">
        <f>IF(AM78="","",AM78*LOOKUP(K78,$AZ$1:$BI$1,$AZ$7:$BI$7))</f>
        <v/>
      </c>
      <c r="AO78" t="str">
        <f>IF(AN78="","",AN78*LOOKUP(K78,$AZ$1:$BI$1,$AZ$8:$BI$8))</f>
        <v/>
      </c>
      <c r="AP78" t="str">
        <f>IF(AO78="","",AO78/LOOKUP(K78,$AZ$1:$BI$1,$AZ$42:$BI$42))</f>
        <v/>
      </c>
      <c r="AQ78" t="str">
        <f>IF(AO78="","",IF(LOOKUP(K78,$AZ$1:$BI$1,$AZ$37:$BI$37)=0,0.25,MAX(MIN(AP78,2.5),0.5)))</f>
        <v/>
      </c>
      <c r="AR78" t="str">
        <f t="shared" si="81"/>
        <v/>
      </c>
      <c r="AS78" t="str">
        <f t="shared" si="82"/>
        <v/>
      </c>
      <c r="AT78" t="str">
        <f t="shared" si="83"/>
        <v/>
      </c>
      <c r="AU78" t="str">
        <f>IF(OR(AT78="",AT78=0),"",INDEX($AY$1:$BI$5,MATCH(AT78,$AY$1:$AY$5,0),MATCH(K78,$AY$1:$BI$1,0)))</f>
        <v/>
      </c>
      <c r="AV78" t="str">
        <f t="shared" si="84"/>
        <v/>
      </c>
      <c r="AW78" t="str">
        <f t="shared" si="85"/>
        <v/>
      </c>
    </row>
    <row r="79" spans="5:49">
      <c r="E79" s="4" t="str">
        <f t="shared" si="64"/>
        <v/>
      </c>
      <c r="H79" s="17"/>
      <c r="I79" s="17"/>
      <c r="L79" s="23"/>
      <c r="N79" t="str">
        <f t="shared" si="65"/>
        <v/>
      </c>
      <c r="O79" t="str">
        <f t="shared" si="66"/>
        <v/>
      </c>
      <c r="P79" t="str">
        <f t="shared" si="67"/>
        <v/>
      </c>
      <c r="Q79" s="10" t="str">
        <f t="shared" si="94"/>
        <v/>
      </c>
      <c r="R79" s="10" t="str">
        <f t="shared" si="68"/>
        <v/>
      </c>
      <c r="S79" s="10" t="str">
        <f t="shared" si="69"/>
        <v/>
      </c>
      <c r="T79" s="10" t="str">
        <f t="shared" si="86"/>
        <v/>
      </c>
      <c r="U79" s="10" t="str">
        <f t="shared" si="87"/>
        <v/>
      </c>
      <c r="V79" s="10" t="str">
        <f t="shared" si="70"/>
        <v/>
      </c>
      <c r="W79" s="10" t="str">
        <f t="shared" si="71"/>
        <v/>
      </c>
      <c r="X79" s="10" t="str">
        <f t="shared" si="72"/>
        <v/>
      </c>
      <c r="Y79" s="10" t="str">
        <f t="shared" si="73"/>
        <v/>
      </c>
      <c r="Z79" s="8" t="str">
        <f t="shared" si="74"/>
        <v/>
      </c>
      <c r="AA79" s="15" t="str">
        <f t="shared" si="75"/>
        <v/>
      </c>
      <c r="AB79" s="15" t="str">
        <f t="shared" si="76"/>
        <v/>
      </c>
      <c r="AC79" s="15" t="str">
        <f t="shared" si="77"/>
        <v/>
      </c>
      <c r="AD79" s="15" t="str">
        <f t="shared" si="78"/>
        <v/>
      </c>
      <c r="AE79" s="15" t="str">
        <f t="shared" si="79"/>
        <v/>
      </c>
      <c r="AF79" s="15" t="str">
        <f t="shared" si="88"/>
        <v/>
      </c>
      <c r="AG79" s="15" t="str">
        <f t="shared" si="89"/>
        <v/>
      </c>
      <c r="AH79" s="15" t="str">
        <f t="shared" si="90"/>
        <v/>
      </c>
      <c r="AI79" s="15" t="str">
        <f t="shared" si="91"/>
        <v/>
      </c>
      <c r="AJ79" s="15" t="str">
        <f t="shared" si="92"/>
        <v/>
      </c>
      <c r="AK79" s="15" t="str">
        <f t="shared" si="93"/>
        <v/>
      </c>
      <c r="AL79" t="str">
        <f>IF(P79=1,LOOKUP(K79,$AZ$1:$BI$1,$AZ$37:$BI$37)-IF(O79="",0,O79),"")</f>
        <v/>
      </c>
      <c r="AM79" s="10" t="str">
        <f t="shared" si="80"/>
        <v/>
      </c>
      <c r="AN79" s="10" t="str">
        <f>IF(AM79="","",AM79*LOOKUP(K79,$AZ$1:$BI$1,$AZ$7:$BI$7))</f>
        <v/>
      </c>
      <c r="AO79" t="str">
        <f>IF(AN79="","",AN79*LOOKUP(K79,$AZ$1:$BI$1,$AZ$8:$BI$8))</f>
        <v/>
      </c>
      <c r="AP79" t="str">
        <f>IF(AO79="","",AO79/LOOKUP(K79,$AZ$1:$BI$1,$AZ$42:$BI$42))</f>
        <v/>
      </c>
      <c r="AQ79" t="str">
        <f>IF(AO79="","",IF(LOOKUP(K79,$AZ$1:$BI$1,$AZ$37:$BI$37)=0,0.25,MAX(MIN(AP79,2.5),0.5)))</f>
        <v/>
      </c>
      <c r="AR79" t="str">
        <f t="shared" si="81"/>
        <v/>
      </c>
      <c r="AS79" t="str">
        <f t="shared" si="82"/>
        <v/>
      </c>
      <c r="AT79" t="str">
        <f t="shared" si="83"/>
        <v/>
      </c>
      <c r="AU79" t="str">
        <f>IF(OR(AT79="",AT79=0),"",INDEX($AY$1:$BI$5,MATCH(AT79,$AY$1:$AY$5,0),MATCH(K79,$AY$1:$BI$1,0)))</f>
        <v/>
      </c>
      <c r="AV79" t="str">
        <f t="shared" si="84"/>
        <v/>
      </c>
      <c r="AW79" t="str">
        <f t="shared" si="85"/>
        <v/>
      </c>
    </row>
    <row r="80" spans="5:49">
      <c r="E80" s="4" t="str">
        <f t="shared" si="64"/>
        <v/>
      </c>
      <c r="H80" s="17"/>
      <c r="I80" s="17"/>
      <c r="L80" s="23"/>
      <c r="N80" t="str">
        <f t="shared" si="65"/>
        <v/>
      </c>
      <c r="O80" t="str">
        <f t="shared" si="66"/>
        <v/>
      </c>
      <c r="P80" t="str">
        <f t="shared" si="67"/>
        <v/>
      </c>
      <c r="Q80" s="10" t="str">
        <f t="shared" si="94"/>
        <v/>
      </c>
      <c r="R80" s="10" t="str">
        <f t="shared" si="68"/>
        <v/>
      </c>
      <c r="S80" s="10" t="str">
        <f t="shared" si="69"/>
        <v/>
      </c>
      <c r="T80" s="10" t="str">
        <f t="shared" si="86"/>
        <v/>
      </c>
      <c r="U80" s="10" t="str">
        <f t="shared" si="87"/>
        <v/>
      </c>
      <c r="V80" s="10" t="str">
        <f t="shared" si="70"/>
        <v/>
      </c>
      <c r="W80" s="10" t="str">
        <f t="shared" si="71"/>
        <v/>
      </c>
      <c r="X80" s="10" t="str">
        <f t="shared" si="72"/>
        <v/>
      </c>
      <c r="Y80" s="10" t="str">
        <f t="shared" si="73"/>
        <v/>
      </c>
      <c r="Z80" s="8" t="str">
        <f t="shared" si="74"/>
        <v/>
      </c>
      <c r="AA80" s="15" t="str">
        <f t="shared" si="75"/>
        <v/>
      </c>
      <c r="AB80" s="15" t="str">
        <f t="shared" si="76"/>
        <v/>
      </c>
      <c r="AC80" s="15" t="str">
        <f t="shared" si="77"/>
        <v/>
      </c>
      <c r="AD80" s="15" t="str">
        <f t="shared" si="78"/>
        <v/>
      </c>
      <c r="AE80" s="15" t="str">
        <f t="shared" si="79"/>
        <v/>
      </c>
      <c r="AF80" s="15" t="str">
        <f t="shared" si="88"/>
        <v/>
      </c>
      <c r="AG80" s="15" t="str">
        <f t="shared" si="89"/>
        <v/>
      </c>
      <c r="AH80" s="15" t="str">
        <f t="shared" si="90"/>
        <v/>
      </c>
      <c r="AI80" s="15" t="str">
        <f t="shared" si="91"/>
        <v/>
      </c>
      <c r="AJ80" s="15" t="str">
        <f t="shared" si="92"/>
        <v/>
      </c>
      <c r="AK80" s="15" t="str">
        <f t="shared" si="93"/>
        <v/>
      </c>
      <c r="AL80" t="str">
        <f>IF(P80=1,LOOKUP(K80,$AZ$1:$BI$1,$AZ$37:$BI$37)-IF(O80="",0,O80),"")</f>
        <v/>
      </c>
      <c r="AM80" s="10" t="str">
        <f t="shared" si="80"/>
        <v/>
      </c>
      <c r="AN80" s="10" t="str">
        <f>IF(AM80="","",AM80*LOOKUP(K80,$AZ$1:$BI$1,$AZ$7:$BI$7))</f>
        <v/>
      </c>
      <c r="AO80" t="str">
        <f>IF(AN80="","",AN80*LOOKUP(K80,$AZ$1:$BI$1,$AZ$8:$BI$8))</f>
        <v/>
      </c>
      <c r="AP80" t="str">
        <f>IF(AO80="","",AO80/LOOKUP(K80,$AZ$1:$BI$1,$AZ$42:$BI$42))</f>
        <v/>
      </c>
      <c r="AQ80" t="str">
        <f>IF(AO80="","",IF(LOOKUP(K80,$AZ$1:$BI$1,$AZ$37:$BI$37)=0,0.25,MAX(MIN(AP80,2.5),0.5)))</f>
        <v/>
      </c>
      <c r="AR80" t="str">
        <f t="shared" si="81"/>
        <v/>
      </c>
      <c r="AS80" t="str">
        <f t="shared" si="82"/>
        <v/>
      </c>
      <c r="AT80" t="str">
        <f t="shared" si="83"/>
        <v/>
      </c>
      <c r="AU80" t="str">
        <f>IF(OR(AT80="",AT80=0),"",INDEX($AY$1:$BI$5,MATCH(AT80,$AY$1:$AY$5,0),MATCH(K80,$AY$1:$BI$1,0)))</f>
        <v/>
      </c>
      <c r="AV80" t="str">
        <f t="shared" si="84"/>
        <v/>
      </c>
      <c r="AW80" t="str">
        <f t="shared" si="85"/>
        <v/>
      </c>
    </row>
    <row r="81" spans="5:49">
      <c r="E81" s="4" t="str">
        <f t="shared" si="64"/>
        <v/>
      </c>
      <c r="H81" s="17"/>
      <c r="I81" s="17"/>
      <c r="L81" s="23"/>
      <c r="N81" t="str">
        <f t="shared" si="65"/>
        <v/>
      </c>
      <c r="O81" t="str">
        <f t="shared" si="66"/>
        <v/>
      </c>
      <c r="P81" t="str">
        <f t="shared" si="67"/>
        <v/>
      </c>
      <c r="Q81" s="10" t="str">
        <f t="shared" si="94"/>
        <v/>
      </c>
      <c r="R81" s="10" t="str">
        <f t="shared" si="68"/>
        <v/>
      </c>
      <c r="S81" s="10" t="str">
        <f t="shared" si="69"/>
        <v/>
      </c>
      <c r="T81" s="10" t="str">
        <f t="shared" si="86"/>
        <v/>
      </c>
      <c r="U81" s="10" t="str">
        <f t="shared" si="87"/>
        <v/>
      </c>
      <c r="V81" s="10" t="str">
        <f t="shared" si="70"/>
        <v/>
      </c>
      <c r="W81" s="10" t="str">
        <f t="shared" si="71"/>
        <v/>
      </c>
      <c r="X81" s="10" t="str">
        <f t="shared" si="72"/>
        <v/>
      </c>
      <c r="Y81" s="10" t="str">
        <f t="shared" si="73"/>
        <v/>
      </c>
      <c r="Z81" s="8" t="str">
        <f t="shared" si="74"/>
        <v/>
      </c>
      <c r="AA81" s="15" t="str">
        <f t="shared" si="75"/>
        <v/>
      </c>
      <c r="AB81" s="15" t="str">
        <f t="shared" si="76"/>
        <v/>
      </c>
      <c r="AC81" s="15" t="str">
        <f t="shared" si="77"/>
        <v/>
      </c>
      <c r="AD81" s="15" t="str">
        <f t="shared" si="78"/>
        <v/>
      </c>
      <c r="AE81" s="15" t="str">
        <f t="shared" si="79"/>
        <v/>
      </c>
      <c r="AF81" s="15" t="str">
        <f t="shared" si="88"/>
        <v/>
      </c>
      <c r="AG81" s="15" t="str">
        <f t="shared" si="89"/>
        <v/>
      </c>
      <c r="AH81" s="15" t="str">
        <f t="shared" si="90"/>
        <v/>
      </c>
      <c r="AI81" s="15" t="str">
        <f t="shared" si="91"/>
        <v/>
      </c>
      <c r="AJ81" s="15" t="str">
        <f t="shared" si="92"/>
        <v/>
      </c>
      <c r="AK81" s="15" t="str">
        <f t="shared" si="93"/>
        <v/>
      </c>
      <c r="AL81" t="str">
        <f>IF(P81=1,LOOKUP(K81,$AZ$1:$BI$1,$AZ$37:$BI$37)-IF(O81="",0,O81),"")</f>
        <v/>
      </c>
      <c r="AM81" s="10" t="str">
        <f t="shared" si="80"/>
        <v/>
      </c>
      <c r="AN81" s="10" t="str">
        <f>IF(AM81="","",AM81*LOOKUP(K81,$AZ$1:$BI$1,$AZ$7:$BI$7))</f>
        <v/>
      </c>
      <c r="AO81" t="str">
        <f>IF(AN81="","",AN81*LOOKUP(K81,$AZ$1:$BI$1,$AZ$8:$BI$8))</f>
        <v/>
      </c>
      <c r="AP81" t="str">
        <f>IF(AO81="","",AO81/LOOKUP(K81,$AZ$1:$BI$1,$AZ$42:$BI$42))</f>
        <v/>
      </c>
      <c r="AQ81" t="str">
        <f>IF(AO81="","",IF(LOOKUP(K81,$AZ$1:$BI$1,$AZ$37:$BI$37)=0,0.25,MAX(MIN(AP81,2.5),0.5)))</f>
        <v/>
      </c>
      <c r="AR81" t="str">
        <f t="shared" si="81"/>
        <v/>
      </c>
      <c r="AS81" t="str">
        <f t="shared" si="82"/>
        <v/>
      </c>
      <c r="AT81" t="str">
        <f t="shared" si="83"/>
        <v/>
      </c>
      <c r="AU81" t="str">
        <f>IF(OR(AT81="",AT81=0),"",INDEX($AY$1:$BI$5,MATCH(AT81,$AY$1:$AY$5,0),MATCH(K81,$AY$1:$BI$1,0)))</f>
        <v/>
      </c>
      <c r="AV81" t="str">
        <f t="shared" si="84"/>
        <v/>
      </c>
      <c r="AW81" t="str">
        <f t="shared" si="85"/>
        <v/>
      </c>
    </row>
    <row r="82" spans="5:49">
      <c r="E82" s="4" t="str">
        <f t="shared" si="64"/>
        <v/>
      </c>
      <c r="H82" s="17"/>
      <c r="I82" s="17"/>
      <c r="L82" s="23"/>
      <c r="N82" t="str">
        <f t="shared" si="65"/>
        <v/>
      </c>
      <c r="O82" t="str">
        <f t="shared" si="66"/>
        <v/>
      </c>
      <c r="P82" t="str">
        <f t="shared" si="67"/>
        <v/>
      </c>
      <c r="Q82" s="10" t="str">
        <f t="shared" si="94"/>
        <v/>
      </c>
      <c r="R82" s="10" t="str">
        <f t="shared" si="68"/>
        <v/>
      </c>
      <c r="S82" s="10" t="str">
        <f t="shared" si="69"/>
        <v/>
      </c>
      <c r="T82" s="10" t="str">
        <f t="shared" si="86"/>
        <v/>
      </c>
      <c r="U82" s="10" t="str">
        <f t="shared" si="87"/>
        <v/>
      </c>
      <c r="V82" s="10" t="str">
        <f t="shared" si="70"/>
        <v/>
      </c>
      <c r="W82" s="10" t="str">
        <f t="shared" si="71"/>
        <v/>
      </c>
      <c r="X82" s="10" t="str">
        <f t="shared" si="72"/>
        <v/>
      </c>
      <c r="Y82" s="10" t="str">
        <f t="shared" si="73"/>
        <v/>
      </c>
      <c r="Z82" s="8" t="str">
        <f t="shared" si="74"/>
        <v/>
      </c>
      <c r="AA82" s="15" t="str">
        <f t="shared" si="75"/>
        <v/>
      </c>
      <c r="AB82" s="15" t="str">
        <f t="shared" si="76"/>
        <v/>
      </c>
      <c r="AC82" s="15" t="str">
        <f t="shared" si="77"/>
        <v/>
      </c>
      <c r="AD82" s="15" t="str">
        <f t="shared" si="78"/>
        <v/>
      </c>
      <c r="AE82" s="15" t="str">
        <f t="shared" si="79"/>
        <v/>
      </c>
      <c r="AF82" s="15" t="str">
        <f t="shared" si="88"/>
        <v/>
      </c>
      <c r="AG82" s="15" t="str">
        <f t="shared" si="89"/>
        <v/>
      </c>
      <c r="AH82" s="15" t="str">
        <f t="shared" si="90"/>
        <v/>
      </c>
      <c r="AI82" s="15" t="str">
        <f t="shared" si="91"/>
        <v/>
      </c>
      <c r="AJ82" s="15" t="str">
        <f t="shared" si="92"/>
        <v/>
      </c>
      <c r="AK82" s="15" t="str">
        <f t="shared" si="93"/>
        <v/>
      </c>
      <c r="AL82" t="str">
        <f>IF(P82=1,LOOKUP(K82,$AZ$1:$BI$1,$AZ$37:$BI$37)-IF(O82="",0,O82),"")</f>
        <v/>
      </c>
      <c r="AM82" s="10" t="str">
        <f t="shared" si="80"/>
        <v/>
      </c>
      <c r="AN82" s="10" t="str">
        <f>IF(AM82="","",AM82*LOOKUP(K82,$AZ$1:$BI$1,$AZ$7:$BI$7))</f>
        <v/>
      </c>
      <c r="AO82" t="str">
        <f>IF(AN82="","",AN82*LOOKUP(K82,$AZ$1:$BI$1,$AZ$8:$BI$8))</f>
        <v/>
      </c>
      <c r="AP82" t="str">
        <f>IF(AO82="","",AO82/LOOKUP(K82,$AZ$1:$BI$1,$AZ$42:$BI$42))</f>
        <v/>
      </c>
      <c r="AQ82" t="str">
        <f>IF(AO82="","",IF(LOOKUP(K82,$AZ$1:$BI$1,$AZ$37:$BI$37)=0,0.25,MAX(MIN(AP82,2.5),0.5)))</f>
        <v/>
      </c>
      <c r="AR82" t="str">
        <f t="shared" si="81"/>
        <v/>
      </c>
      <c r="AS82" t="str">
        <f t="shared" si="82"/>
        <v/>
      </c>
      <c r="AT82" t="str">
        <f t="shared" si="83"/>
        <v/>
      </c>
      <c r="AU82" t="str">
        <f>IF(OR(AT82="",AT82=0),"",INDEX($AY$1:$BI$5,MATCH(AT82,$AY$1:$AY$5,0),MATCH(K82,$AY$1:$BI$1,0)))</f>
        <v/>
      </c>
      <c r="AV82" t="str">
        <f t="shared" si="84"/>
        <v/>
      </c>
      <c r="AW82" t="str">
        <f t="shared" si="85"/>
        <v/>
      </c>
    </row>
    <row r="83" spans="5:49">
      <c r="E83" s="4" t="str">
        <f t="shared" si="64"/>
        <v/>
      </c>
      <c r="H83" s="17"/>
      <c r="I83" s="17"/>
      <c r="L83" s="23"/>
      <c r="N83" t="str">
        <f t="shared" si="65"/>
        <v/>
      </c>
      <c r="O83" t="str">
        <f t="shared" si="66"/>
        <v/>
      </c>
      <c r="P83" t="str">
        <f t="shared" si="67"/>
        <v/>
      </c>
      <c r="Q83" s="10" t="str">
        <f t="shared" si="94"/>
        <v/>
      </c>
      <c r="R83" s="10" t="str">
        <f t="shared" si="68"/>
        <v/>
      </c>
      <c r="S83" s="10" t="str">
        <f t="shared" si="69"/>
        <v/>
      </c>
      <c r="T83" s="10" t="str">
        <f t="shared" si="86"/>
        <v/>
      </c>
      <c r="U83" s="10" t="str">
        <f t="shared" si="87"/>
        <v/>
      </c>
      <c r="V83" s="10" t="str">
        <f t="shared" si="70"/>
        <v/>
      </c>
      <c r="W83" s="10" t="str">
        <f t="shared" si="71"/>
        <v/>
      </c>
      <c r="X83" s="10" t="str">
        <f t="shared" si="72"/>
        <v/>
      </c>
      <c r="Y83" s="10" t="str">
        <f t="shared" si="73"/>
        <v/>
      </c>
      <c r="Z83" s="8" t="str">
        <f t="shared" si="74"/>
        <v/>
      </c>
      <c r="AA83" s="15" t="str">
        <f t="shared" si="75"/>
        <v/>
      </c>
      <c r="AB83" s="15" t="str">
        <f t="shared" si="76"/>
        <v/>
      </c>
      <c r="AC83" s="15" t="str">
        <f t="shared" si="77"/>
        <v/>
      </c>
      <c r="AD83" s="15" t="str">
        <f t="shared" si="78"/>
        <v/>
      </c>
      <c r="AE83" s="15" t="str">
        <f t="shared" si="79"/>
        <v/>
      </c>
      <c r="AF83" s="15" t="str">
        <f t="shared" si="88"/>
        <v/>
      </c>
      <c r="AG83" s="15" t="str">
        <f t="shared" si="89"/>
        <v/>
      </c>
      <c r="AH83" s="15" t="str">
        <f t="shared" si="90"/>
        <v/>
      </c>
      <c r="AI83" s="15" t="str">
        <f t="shared" si="91"/>
        <v/>
      </c>
      <c r="AJ83" s="15" t="str">
        <f t="shared" si="92"/>
        <v/>
      </c>
      <c r="AK83" s="15" t="str">
        <f t="shared" si="93"/>
        <v/>
      </c>
      <c r="AL83" t="str">
        <f>IF(P83=1,LOOKUP(K83,$AZ$1:$BI$1,$AZ$37:$BI$37)-IF(O83="",0,O83),"")</f>
        <v/>
      </c>
      <c r="AM83" s="10" t="str">
        <f t="shared" si="80"/>
        <v/>
      </c>
      <c r="AN83" s="10" t="str">
        <f>IF(AM83="","",AM83*LOOKUP(K83,$AZ$1:$BI$1,$AZ$7:$BI$7))</f>
        <v/>
      </c>
      <c r="AO83" t="str">
        <f>IF(AN83="","",AN83*LOOKUP(K83,$AZ$1:$BI$1,$AZ$8:$BI$8))</f>
        <v/>
      </c>
      <c r="AP83" t="str">
        <f>IF(AO83="","",AO83/LOOKUP(K83,$AZ$1:$BI$1,$AZ$42:$BI$42))</f>
        <v/>
      </c>
      <c r="AQ83" t="str">
        <f>IF(AO83="","",IF(LOOKUP(K83,$AZ$1:$BI$1,$AZ$37:$BI$37)=0,0.25,MAX(MIN(AP83,2.5),0.5)))</f>
        <v/>
      </c>
      <c r="AR83" t="str">
        <f t="shared" si="81"/>
        <v/>
      </c>
      <c r="AS83" t="str">
        <f t="shared" si="82"/>
        <v/>
      </c>
      <c r="AT83" t="str">
        <f t="shared" si="83"/>
        <v/>
      </c>
      <c r="AU83" t="str">
        <f>IF(OR(AT83="",AT83=0),"",INDEX($AY$1:$BI$5,MATCH(AT83,$AY$1:$AY$5,0),MATCH(K83,$AY$1:$BI$1,0)))</f>
        <v/>
      </c>
      <c r="AV83" t="str">
        <f t="shared" si="84"/>
        <v/>
      </c>
      <c r="AW83" t="str">
        <f t="shared" si="85"/>
        <v/>
      </c>
    </row>
    <row r="84" spans="5:49">
      <c r="E84" s="4" t="str">
        <f t="shared" si="64"/>
        <v/>
      </c>
      <c r="H84" s="17"/>
      <c r="I84" s="17"/>
      <c r="L84" s="23"/>
      <c r="N84" t="str">
        <f t="shared" si="65"/>
        <v/>
      </c>
      <c r="O84" t="str">
        <f t="shared" si="66"/>
        <v/>
      </c>
      <c r="P84" t="str">
        <f t="shared" si="67"/>
        <v/>
      </c>
      <c r="Q84" s="10" t="str">
        <f t="shared" si="94"/>
        <v/>
      </c>
      <c r="R84" s="10" t="str">
        <f t="shared" si="68"/>
        <v/>
      </c>
      <c r="S84" s="10" t="str">
        <f t="shared" si="69"/>
        <v/>
      </c>
      <c r="T84" s="10" t="str">
        <f t="shared" si="86"/>
        <v/>
      </c>
      <c r="U84" s="10" t="str">
        <f t="shared" si="87"/>
        <v/>
      </c>
      <c r="V84" s="10" t="str">
        <f t="shared" si="70"/>
        <v/>
      </c>
      <c r="W84" s="10" t="str">
        <f t="shared" si="71"/>
        <v/>
      </c>
      <c r="X84" s="10" t="str">
        <f t="shared" si="72"/>
        <v/>
      </c>
      <c r="Y84" s="10" t="str">
        <f t="shared" si="73"/>
        <v/>
      </c>
      <c r="Z84" s="8" t="str">
        <f t="shared" si="74"/>
        <v/>
      </c>
      <c r="AA84" s="15" t="str">
        <f t="shared" si="75"/>
        <v/>
      </c>
      <c r="AB84" s="15" t="str">
        <f t="shared" si="76"/>
        <v/>
      </c>
      <c r="AC84" s="15" t="str">
        <f t="shared" si="77"/>
        <v/>
      </c>
      <c r="AD84" s="15" t="str">
        <f t="shared" si="78"/>
        <v/>
      </c>
      <c r="AE84" s="15" t="str">
        <f t="shared" si="79"/>
        <v/>
      </c>
      <c r="AF84" s="15" t="str">
        <f t="shared" si="88"/>
        <v/>
      </c>
      <c r="AG84" s="15" t="str">
        <f t="shared" si="89"/>
        <v/>
      </c>
      <c r="AH84" s="15" t="str">
        <f t="shared" si="90"/>
        <v/>
      </c>
      <c r="AI84" s="15" t="str">
        <f t="shared" si="91"/>
        <v/>
      </c>
      <c r="AJ84" s="15" t="str">
        <f t="shared" si="92"/>
        <v/>
      </c>
      <c r="AK84" s="15" t="str">
        <f t="shared" si="93"/>
        <v/>
      </c>
      <c r="AL84" t="str">
        <f>IF(P84=1,LOOKUP(K84,$AZ$1:$BI$1,$AZ$37:$BI$37)-IF(O84="",0,O84),"")</f>
        <v/>
      </c>
      <c r="AM84" s="10" t="str">
        <f t="shared" si="80"/>
        <v/>
      </c>
      <c r="AN84" s="10" t="str">
        <f>IF(AM84="","",AM84*LOOKUP(K84,$AZ$1:$BI$1,$AZ$7:$BI$7))</f>
        <v/>
      </c>
      <c r="AO84" t="str">
        <f>IF(AN84="","",AN84*LOOKUP(K84,$AZ$1:$BI$1,$AZ$8:$BI$8))</f>
        <v/>
      </c>
      <c r="AP84" t="str">
        <f>IF(AO84="","",AO84/LOOKUP(K84,$AZ$1:$BI$1,$AZ$42:$BI$42))</f>
        <v/>
      </c>
      <c r="AQ84" t="str">
        <f>IF(AO84="","",IF(LOOKUP(K84,$AZ$1:$BI$1,$AZ$37:$BI$37)=0,0.25,MAX(MIN(AP84,2.5),0.5)))</f>
        <v/>
      </c>
      <c r="AR84" t="str">
        <f t="shared" si="81"/>
        <v/>
      </c>
      <c r="AS84" t="str">
        <f t="shared" si="82"/>
        <v/>
      </c>
      <c r="AT84" t="str">
        <f t="shared" si="83"/>
        <v/>
      </c>
      <c r="AU84" t="str">
        <f>IF(OR(AT84="",AT84=0),"",INDEX($AY$1:$BI$5,MATCH(AT84,$AY$1:$AY$5,0),MATCH(K84,$AY$1:$BI$1,0)))</f>
        <v/>
      </c>
      <c r="AV84" t="str">
        <f t="shared" si="84"/>
        <v/>
      </c>
      <c r="AW84" t="str">
        <f t="shared" si="85"/>
        <v/>
      </c>
    </row>
    <row r="85" spans="5:49">
      <c r="E85" s="4" t="str">
        <f t="shared" si="64"/>
        <v/>
      </c>
      <c r="H85" s="17"/>
      <c r="I85" s="17"/>
      <c r="L85" s="23"/>
      <c r="N85" t="str">
        <f t="shared" si="65"/>
        <v/>
      </c>
      <c r="O85" t="str">
        <f t="shared" si="66"/>
        <v/>
      </c>
      <c r="P85" t="str">
        <f t="shared" si="67"/>
        <v/>
      </c>
      <c r="Q85" s="10" t="str">
        <f t="shared" si="94"/>
        <v/>
      </c>
      <c r="R85" s="10" t="str">
        <f t="shared" si="68"/>
        <v/>
      </c>
      <c r="S85" s="10" t="str">
        <f t="shared" si="69"/>
        <v/>
      </c>
      <c r="T85" s="10" t="str">
        <f t="shared" si="86"/>
        <v/>
      </c>
      <c r="U85" s="10" t="str">
        <f t="shared" si="87"/>
        <v/>
      </c>
      <c r="V85" s="10" t="str">
        <f t="shared" si="70"/>
        <v/>
      </c>
      <c r="W85" s="10" t="str">
        <f t="shared" si="71"/>
        <v/>
      </c>
      <c r="X85" s="10" t="str">
        <f t="shared" si="72"/>
        <v/>
      </c>
      <c r="Y85" s="10" t="str">
        <f t="shared" si="73"/>
        <v/>
      </c>
      <c r="Z85" s="8" t="str">
        <f t="shared" si="74"/>
        <v/>
      </c>
      <c r="AA85" s="15" t="str">
        <f t="shared" si="75"/>
        <v/>
      </c>
      <c r="AB85" s="15" t="str">
        <f t="shared" si="76"/>
        <v/>
      </c>
      <c r="AC85" s="15" t="str">
        <f t="shared" si="77"/>
        <v/>
      </c>
      <c r="AD85" s="15" t="str">
        <f t="shared" si="78"/>
        <v/>
      </c>
      <c r="AE85" s="15" t="str">
        <f t="shared" si="79"/>
        <v/>
      </c>
      <c r="AF85" s="15" t="str">
        <f t="shared" si="88"/>
        <v/>
      </c>
      <c r="AG85" s="15" t="str">
        <f t="shared" si="89"/>
        <v/>
      </c>
      <c r="AH85" s="15" t="str">
        <f t="shared" si="90"/>
        <v/>
      </c>
      <c r="AI85" s="15" t="str">
        <f t="shared" si="91"/>
        <v/>
      </c>
      <c r="AJ85" s="15" t="str">
        <f t="shared" si="92"/>
        <v/>
      </c>
      <c r="AK85" s="15" t="str">
        <f t="shared" si="93"/>
        <v/>
      </c>
      <c r="AL85" t="str">
        <f>IF(P85=1,LOOKUP(K85,$AZ$1:$BI$1,$AZ$37:$BI$37)-IF(O85="",0,O85),"")</f>
        <v/>
      </c>
      <c r="AM85" s="10" t="str">
        <f t="shared" si="80"/>
        <v/>
      </c>
      <c r="AN85" s="10" t="str">
        <f>IF(AM85="","",AM85*LOOKUP(K85,$AZ$1:$BI$1,$AZ$7:$BI$7))</f>
        <v/>
      </c>
      <c r="AO85" t="str">
        <f>IF(AN85="","",AN85*LOOKUP(K85,$AZ$1:$BI$1,$AZ$8:$BI$8))</f>
        <v/>
      </c>
      <c r="AP85" t="str">
        <f>IF(AO85="","",AO85/LOOKUP(K85,$AZ$1:$BI$1,$AZ$42:$BI$42))</f>
        <v/>
      </c>
      <c r="AQ85" t="str">
        <f>IF(AO85="","",IF(LOOKUP(K85,$AZ$1:$BI$1,$AZ$37:$BI$37)=0,0.25,MAX(MIN(AP85,2.5),0.5)))</f>
        <v/>
      </c>
      <c r="AR85" t="str">
        <f t="shared" si="81"/>
        <v/>
      </c>
      <c r="AS85" t="str">
        <f t="shared" si="82"/>
        <v/>
      </c>
      <c r="AT85" t="str">
        <f t="shared" si="83"/>
        <v/>
      </c>
      <c r="AU85" t="str">
        <f>IF(OR(AT85="",AT85=0),"",INDEX($AY$1:$BI$5,MATCH(AT85,$AY$1:$AY$5,0),MATCH(K85,$AY$1:$BI$1,0)))</f>
        <v/>
      </c>
      <c r="AV85" t="str">
        <f t="shared" si="84"/>
        <v/>
      </c>
      <c r="AW85" t="str">
        <f t="shared" si="85"/>
        <v/>
      </c>
    </row>
    <row r="86" spans="5:49">
      <c r="E86" s="4" t="str">
        <f t="shared" si="64"/>
        <v/>
      </c>
      <c r="H86" s="17"/>
      <c r="I86" s="17"/>
      <c r="L86" s="23"/>
      <c r="N86" t="str">
        <f t="shared" si="65"/>
        <v/>
      </c>
      <c r="O86" t="str">
        <f t="shared" si="66"/>
        <v/>
      </c>
      <c r="P86" t="str">
        <f t="shared" si="67"/>
        <v/>
      </c>
      <c r="Q86" s="10" t="str">
        <f t="shared" si="94"/>
        <v/>
      </c>
      <c r="R86" s="10" t="str">
        <f t="shared" si="68"/>
        <v/>
      </c>
      <c r="S86" s="10" t="str">
        <f t="shared" si="69"/>
        <v/>
      </c>
      <c r="T86" s="10" t="str">
        <f t="shared" si="86"/>
        <v/>
      </c>
      <c r="U86" s="10" t="str">
        <f t="shared" si="87"/>
        <v/>
      </c>
      <c r="V86" s="10" t="str">
        <f t="shared" si="70"/>
        <v/>
      </c>
      <c r="W86" s="10" t="str">
        <f t="shared" si="71"/>
        <v/>
      </c>
      <c r="X86" s="10" t="str">
        <f t="shared" si="72"/>
        <v/>
      </c>
      <c r="Y86" s="10" t="str">
        <f t="shared" si="73"/>
        <v/>
      </c>
      <c r="Z86" s="8" t="str">
        <f t="shared" si="74"/>
        <v/>
      </c>
      <c r="AA86" s="15" t="str">
        <f t="shared" si="75"/>
        <v/>
      </c>
      <c r="AB86" s="15" t="str">
        <f t="shared" si="76"/>
        <v/>
      </c>
      <c r="AC86" s="15" t="str">
        <f t="shared" si="77"/>
        <v/>
      </c>
      <c r="AD86" s="15" t="str">
        <f t="shared" si="78"/>
        <v/>
      </c>
      <c r="AE86" s="15" t="str">
        <f t="shared" si="79"/>
        <v/>
      </c>
      <c r="AF86" s="15" t="str">
        <f t="shared" si="88"/>
        <v/>
      </c>
      <c r="AG86" s="15" t="str">
        <f t="shared" si="89"/>
        <v/>
      </c>
      <c r="AH86" s="15" t="str">
        <f t="shared" si="90"/>
        <v/>
      </c>
      <c r="AI86" s="15" t="str">
        <f t="shared" si="91"/>
        <v/>
      </c>
      <c r="AJ86" s="15" t="str">
        <f t="shared" si="92"/>
        <v/>
      </c>
      <c r="AK86" s="15" t="str">
        <f t="shared" si="93"/>
        <v/>
      </c>
      <c r="AL86" t="str">
        <f>IF(P86=1,LOOKUP(K86,$AZ$1:$BI$1,$AZ$37:$BI$37)-IF(O86="",0,O86),"")</f>
        <v/>
      </c>
      <c r="AM86" s="10" t="str">
        <f t="shared" si="80"/>
        <v/>
      </c>
      <c r="AN86" s="10" t="str">
        <f>IF(AM86="","",AM86*LOOKUP(K86,$AZ$1:$BI$1,$AZ$7:$BI$7))</f>
        <v/>
      </c>
      <c r="AO86" t="str">
        <f>IF(AN86="","",AN86*LOOKUP(K86,$AZ$1:$BI$1,$AZ$8:$BI$8))</f>
        <v/>
      </c>
      <c r="AP86" t="str">
        <f>IF(AO86="","",AO86/LOOKUP(K86,$AZ$1:$BI$1,$AZ$42:$BI$42))</f>
        <v/>
      </c>
      <c r="AQ86" t="str">
        <f>IF(AO86="","",IF(LOOKUP(K86,$AZ$1:$BI$1,$AZ$37:$BI$37)=0,0.25,MAX(MIN(AP86,2.5),0.5)))</f>
        <v/>
      </c>
      <c r="AR86" t="str">
        <f t="shared" si="81"/>
        <v/>
      </c>
      <c r="AS86" t="str">
        <f t="shared" si="82"/>
        <v/>
      </c>
      <c r="AT86" t="str">
        <f t="shared" si="83"/>
        <v/>
      </c>
      <c r="AU86" t="str">
        <f>IF(OR(AT86="",AT86=0),"",INDEX($AY$1:$BI$5,MATCH(AT86,$AY$1:$AY$5,0),MATCH(K86,$AY$1:$BI$1,0)))</f>
        <v/>
      </c>
      <c r="AV86" t="str">
        <f t="shared" si="84"/>
        <v/>
      </c>
      <c r="AW86" t="str">
        <f t="shared" si="85"/>
        <v/>
      </c>
    </row>
    <row r="87" spans="5:49">
      <c r="E87" s="4" t="str">
        <f t="shared" si="64"/>
        <v/>
      </c>
      <c r="H87" s="17"/>
      <c r="I87" s="17"/>
      <c r="L87" s="23"/>
      <c r="N87" t="str">
        <f t="shared" si="65"/>
        <v/>
      </c>
      <c r="O87" t="str">
        <f t="shared" si="66"/>
        <v/>
      </c>
      <c r="P87" t="str">
        <f t="shared" si="67"/>
        <v/>
      </c>
      <c r="Q87" s="10" t="str">
        <f t="shared" si="94"/>
        <v/>
      </c>
      <c r="R87" s="10" t="str">
        <f t="shared" si="68"/>
        <v/>
      </c>
      <c r="S87" s="10" t="str">
        <f t="shared" si="69"/>
        <v/>
      </c>
      <c r="T87" s="10" t="str">
        <f t="shared" si="86"/>
        <v/>
      </c>
      <c r="U87" s="10" t="str">
        <f t="shared" si="87"/>
        <v/>
      </c>
      <c r="V87" s="10" t="str">
        <f t="shared" si="70"/>
        <v/>
      </c>
      <c r="W87" s="10" t="str">
        <f t="shared" si="71"/>
        <v/>
      </c>
      <c r="X87" s="10" t="str">
        <f t="shared" si="72"/>
        <v/>
      </c>
      <c r="Y87" s="10" t="str">
        <f t="shared" si="73"/>
        <v/>
      </c>
      <c r="Z87" s="8" t="str">
        <f t="shared" si="74"/>
        <v/>
      </c>
      <c r="AA87" s="15" t="str">
        <f t="shared" si="75"/>
        <v/>
      </c>
      <c r="AB87" s="15" t="str">
        <f t="shared" si="76"/>
        <v/>
      </c>
      <c r="AC87" s="15" t="str">
        <f t="shared" si="77"/>
        <v/>
      </c>
      <c r="AD87" s="15" t="str">
        <f t="shared" si="78"/>
        <v/>
      </c>
      <c r="AE87" s="15" t="str">
        <f t="shared" si="79"/>
        <v/>
      </c>
      <c r="AF87" s="15" t="str">
        <f t="shared" si="88"/>
        <v/>
      </c>
      <c r="AG87" s="15" t="str">
        <f t="shared" si="89"/>
        <v/>
      </c>
      <c r="AH87" s="15" t="str">
        <f t="shared" si="90"/>
        <v/>
      </c>
      <c r="AI87" s="15" t="str">
        <f t="shared" si="91"/>
        <v/>
      </c>
      <c r="AJ87" s="15" t="str">
        <f t="shared" si="92"/>
        <v/>
      </c>
      <c r="AK87" s="15" t="str">
        <f t="shared" si="93"/>
        <v/>
      </c>
      <c r="AL87" t="str">
        <f>IF(P87=1,LOOKUP(K87,$AZ$1:$BI$1,$AZ$37:$BI$37)-IF(O87="",0,O87),"")</f>
        <v/>
      </c>
      <c r="AM87" s="10" t="str">
        <f t="shared" si="80"/>
        <v/>
      </c>
      <c r="AN87" s="10" t="str">
        <f>IF(AM87="","",AM87*LOOKUP(K87,$AZ$1:$BI$1,$AZ$7:$BI$7))</f>
        <v/>
      </c>
      <c r="AO87" t="str">
        <f>IF(AN87="","",AN87*LOOKUP(K87,$AZ$1:$BI$1,$AZ$8:$BI$8))</f>
        <v/>
      </c>
      <c r="AP87" t="str">
        <f>IF(AO87="","",AO87/LOOKUP(K87,$AZ$1:$BI$1,$AZ$42:$BI$42))</f>
        <v/>
      </c>
      <c r="AQ87" t="str">
        <f>IF(AO87="","",IF(LOOKUP(K87,$AZ$1:$BI$1,$AZ$37:$BI$37)=0,0.25,MAX(MIN(AP87,2.5),0.5)))</f>
        <v/>
      </c>
      <c r="AR87" t="str">
        <f t="shared" si="81"/>
        <v/>
      </c>
      <c r="AS87" t="str">
        <f t="shared" si="82"/>
        <v/>
      </c>
      <c r="AT87" t="str">
        <f t="shared" si="83"/>
        <v/>
      </c>
      <c r="AU87" t="str">
        <f>IF(OR(AT87="",AT87=0),"",INDEX($AY$1:$BI$5,MATCH(AT87,$AY$1:$AY$5,0),MATCH(K87,$AY$1:$BI$1,0)))</f>
        <v/>
      </c>
      <c r="AV87" t="str">
        <f t="shared" si="84"/>
        <v/>
      </c>
      <c r="AW87" t="str">
        <f t="shared" si="85"/>
        <v/>
      </c>
    </row>
    <row r="88" spans="5:49">
      <c r="E88" s="4" t="str">
        <f t="shared" si="64"/>
        <v/>
      </c>
      <c r="H88" s="17"/>
      <c r="I88" s="17"/>
      <c r="L88" s="23"/>
      <c r="N88" t="str">
        <f t="shared" si="65"/>
        <v/>
      </c>
      <c r="O88" t="str">
        <f t="shared" si="66"/>
        <v/>
      </c>
      <c r="P88" t="str">
        <f t="shared" si="67"/>
        <v/>
      </c>
      <c r="Q88" s="10" t="str">
        <f t="shared" si="94"/>
        <v/>
      </c>
      <c r="R88" s="10" t="str">
        <f t="shared" si="68"/>
        <v/>
      </c>
      <c r="S88" s="10" t="str">
        <f t="shared" si="69"/>
        <v/>
      </c>
      <c r="T88" s="10" t="str">
        <f t="shared" si="86"/>
        <v/>
      </c>
      <c r="U88" s="10" t="str">
        <f t="shared" si="87"/>
        <v/>
      </c>
      <c r="V88" s="10" t="str">
        <f t="shared" si="70"/>
        <v/>
      </c>
      <c r="W88" s="10" t="str">
        <f t="shared" si="71"/>
        <v/>
      </c>
      <c r="X88" s="10" t="str">
        <f t="shared" si="72"/>
        <v/>
      </c>
      <c r="Y88" s="10" t="str">
        <f t="shared" si="73"/>
        <v/>
      </c>
      <c r="Z88" s="8" t="str">
        <f t="shared" si="74"/>
        <v/>
      </c>
      <c r="AA88" s="15" t="str">
        <f t="shared" si="75"/>
        <v/>
      </c>
      <c r="AB88" s="15" t="str">
        <f t="shared" si="76"/>
        <v/>
      </c>
      <c r="AC88" s="15" t="str">
        <f t="shared" si="77"/>
        <v/>
      </c>
      <c r="AD88" s="15" t="str">
        <f t="shared" si="78"/>
        <v/>
      </c>
      <c r="AE88" s="15" t="str">
        <f t="shared" si="79"/>
        <v/>
      </c>
      <c r="AF88" s="15" t="str">
        <f t="shared" si="88"/>
        <v/>
      </c>
      <c r="AG88" s="15" t="str">
        <f t="shared" si="89"/>
        <v/>
      </c>
      <c r="AH88" s="15" t="str">
        <f t="shared" si="90"/>
        <v/>
      </c>
      <c r="AI88" s="15" t="str">
        <f t="shared" si="91"/>
        <v/>
      </c>
      <c r="AJ88" s="15" t="str">
        <f t="shared" si="92"/>
        <v/>
      </c>
      <c r="AK88" s="15" t="str">
        <f t="shared" si="93"/>
        <v/>
      </c>
      <c r="AL88" t="str">
        <f>IF(P88=1,LOOKUP(K88,$AZ$1:$BI$1,$AZ$37:$BI$37)-IF(O88="",0,O88),"")</f>
        <v/>
      </c>
      <c r="AM88" s="10" t="str">
        <f t="shared" si="80"/>
        <v/>
      </c>
      <c r="AN88" s="10" t="str">
        <f>IF(AM88="","",AM88*LOOKUP(K88,$AZ$1:$BI$1,$AZ$7:$BI$7))</f>
        <v/>
      </c>
      <c r="AO88" t="str">
        <f>IF(AN88="","",AN88*LOOKUP(K88,$AZ$1:$BI$1,$AZ$8:$BI$8))</f>
        <v/>
      </c>
      <c r="AP88" t="str">
        <f>IF(AO88="","",AO88/LOOKUP(K88,$AZ$1:$BI$1,$AZ$42:$BI$42))</f>
        <v/>
      </c>
      <c r="AQ88" t="str">
        <f>IF(AO88="","",IF(LOOKUP(K88,$AZ$1:$BI$1,$AZ$37:$BI$37)=0,0.25,MAX(MIN(AP88,2.5),0.5)))</f>
        <v/>
      </c>
      <c r="AR88" t="str">
        <f t="shared" si="81"/>
        <v/>
      </c>
      <c r="AS88" t="str">
        <f t="shared" si="82"/>
        <v/>
      </c>
      <c r="AT88" t="str">
        <f t="shared" si="83"/>
        <v/>
      </c>
      <c r="AU88" t="str">
        <f>IF(OR(AT88="",AT88=0),"",INDEX($AY$1:$BI$5,MATCH(AT88,$AY$1:$AY$5,0),MATCH(K88,$AY$1:$BI$1,0)))</f>
        <v/>
      </c>
      <c r="AV88" t="str">
        <f t="shared" si="84"/>
        <v/>
      </c>
      <c r="AW88" t="str">
        <f t="shared" si="85"/>
        <v/>
      </c>
    </row>
    <row r="89" spans="5:49">
      <c r="E89" s="4" t="str">
        <f t="shared" si="64"/>
        <v/>
      </c>
      <c r="H89" s="17"/>
      <c r="I89" s="17"/>
      <c r="L89" s="23"/>
      <c r="N89" t="str">
        <f t="shared" si="65"/>
        <v/>
      </c>
      <c r="O89" t="str">
        <f t="shared" si="66"/>
        <v/>
      </c>
      <c r="P89" t="str">
        <f t="shared" si="67"/>
        <v/>
      </c>
      <c r="Q89" s="10" t="str">
        <f t="shared" si="94"/>
        <v/>
      </c>
      <c r="R89" s="10" t="str">
        <f t="shared" si="68"/>
        <v/>
      </c>
      <c r="S89" s="10" t="str">
        <f t="shared" si="69"/>
        <v/>
      </c>
      <c r="T89" s="10" t="str">
        <f t="shared" si="86"/>
        <v/>
      </c>
      <c r="U89" s="10" t="str">
        <f t="shared" si="87"/>
        <v/>
      </c>
      <c r="V89" s="10" t="str">
        <f t="shared" si="70"/>
        <v/>
      </c>
      <c r="W89" s="10" t="str">
        <f t="shared" si="71"/>
        <v/>
      </c>
      <c r="X89" s="10" t="str">
        <f t="shared" si="72"/>
        <v/>
      </c>
      <c r="Y89" s="10" t="str">
        <f t="shared" si="73"/>
        <v/>
      </c>
      <c r="Z89" s="8" t="str">
        <f t="shared" si="74"/>
        <v/>
      </c>
      <c r="AA89" s="15" t="str">
        <f t="shared" si="75"/>
        <v/>
      </c>
      <c r="AB89" s="15" t="str">
        <f t="shared" si="76"/>
        <v/>
      </c>
      <c r="AC89" s="15" t="str">
        <f t="shared" si="77"/>
        <v/>
      </c>
      <c r="AD89" s="15" t="str">
        <f t="shared" si="78"/>
        <v/>
      </c>
      <c r="AE89" s="15" t="str">
        <f t="shared" si="79"/>
        <v/>
      </c>
      <c r="AF89" s="15" t="str">
        <f t="shared" si="88"/>
        <v/>
      </c>
      <c r="AG89" s="15" t="str">
        <f t="shared" si="89"/>
        <v/>
      </c>
      <c r="AH89" s="15" t="str">
        <f t="shared" si="90"/>
        <v/>
      </c>
      <c r="AI89" s="15" t="str">
        <f t="shared" si="91"/>
        <v/>
      </c>
      <c r="AJ89" s="15" t="str">
        <f t="shared" si="92"/>
        <v/>
      </c>
      <c r="AK89" s="15" t="str">
        <f t="shared" si="93"/>
        <v/>
      </c>
      <c r="AL89" t="str">
        <f>IF(P89=1,LOOKUP(K89,$AZ$1:$BI$1,$AZ$37:$BI$37)-IF(O89="",0,O89),"")</f>
        <v/>
      </c>
      <c r="AM89" s="10" t="str">
        <f t="shared" si="80"/>
        <v/>
      </c>
      <c r="AN89" s="10" t="str">
        <f>IF(AM89="","",AM89*LOOKUP(K89,$AZ$1:$BI$1,$AZ$7:$BI$7))</f>
        <v/>
      </c>
      <c r="AO89" t="str">
        <f>IF(AN89="","",AN89*LOOKUP(K89,$AZ$1:$BI$1,$AZ$8:$BI$8))</f>
        <v/>
      </c>
      <c r="AP89" t="str">
        <f>IF(AO89="","",AO89/LOOKUP(K89,$AZ$1:$BI$1,$AZ$42:$BI$42))</f>
        <v/>
      </c>
      <c r="AQ89" t="str">
        <f>IF(AO89="","",IF(LOOKUP(K89,$AZ$1:$BI$1,$AZ$37:$BI$37)=0,0.25,MAX(MIN(AP89,2.5),0.5)))</f>
        <v/>
      </c>
      <c r="AR89" t="str">
        <f t="shared" si="81"/>
        <v/>
      </c>
      <c r="AS89" t="str">
        <f t="shared" si="82"/>
        <v/>
      </c>
      <c r="AT89" t="str">
        <f t="shared" si="83"/>
        <v/>
      </c>
      <c r="AU89" t="str">
        <f>IF(OR(AT89="",AT89=0),"",INDEX($AY$1:$BI$5,MATCH(AT89,$AY$1:$AY$5,0),MATCH(K89,$AY$1:$BI$1,0)))</f>
        <v/>
      </c>
      <c r="AV89" t="str">
        <f t="shared" si="84"/>
        <v/>
      </c>
      <c r="AW89" t="str">
        <f t="shared" si="85"/>
        <v/>
      </c>
    </row>
    <row r="90" spans="5:49">
      <c r="E90" s="4" t="str">
        <f t="shared" si="64"/>
        <v/>
      </c>
      <c r="H90" s="17"/>
      <c r="I90" s="17"/>
      <c r="L90" s="23"/>
      <c r="N90" t="str">
        <f t="shared" si="65"/>
        <v/>
      </c>
      <c r="O90" t="str">
        <f t="shared" si="66"/>
        <v/>
      </c>
      <c r="P90" t="str">
        <f t="shared" si="67"/>
        <v/>
      </c>
      <c r="Q90" s="10" t="str">
        <f t="shared" si="94"/>
        <v/>
      </c>
      <c r="R90" s="10" t="str">
        <f t="shared" si="68"/>
        <v/>
      </c>
      <c r="S90" s="10" t="str">
        <f t="shared" si="69"/>
        <v/>
      </c>
      <c r="T90" s="10" t="str">
        <f t="shared" si="86"/>
        <v/>
      </c>
      <c r="U90" s="10" t="str">
        <f t="shared" si="87"/>
        <v/>
      </c>
      <c r="V90" s="10" t="str">
        <f t="shared" si="70"/>
        <v/>
      </c>
      <c r="W90" s="10" t="str">
        <f t="shared" si="71"/>
        <v/>
      </c>
      <c r="X90" s="10" t="str">
        <f t="shared" si="72"/>
        <v/>
      </c>
      <c r="Y90" s="10" t="str">
        <f t="shared" si="73"/>
        <v/>
      </c>
      <c r="Z90" s="8" t="str">
        <f t="shared" si="74"/>
        <v/>
      </c>
      <c r="AA90" s="15" t="str">
        <f t="shared" si="75"/>
        <v/>
      </c>
      <c r="AB90" s="15" t="str">
        <f t="shared" si="76"/>
        <v/>
      </c>
      <c r="AC90" s="15" t="str">
        <f t="shared" si="77"/>
        <v/>
      </c>
      <c r="AD90" s="15" t="str">
        <f t="shared" si="78"/>
        <v/>
      </c>
      <c r="AE90" s="15" t="str">
        <f t="shared" si="79"/>
        <v/>
      </c>
      <c r="AF90" s="15" t="str">
        <f t="shared" si="88"/>
        <v/>
      </c>
      <c r="AG90" s="15" t="str">
        <f t="shared" si="89"/>
        <v/>
      </c>
      <c r="AH90" s="15" t="str">
        <f t="shared" si="90"/>
        <v/>
      </c>
      <c r="AI90" s="15" t="str">
        <f t="shared" si="91"/>
        <v/>
      </c>
      <c r="AJ90" s="15" t="str">
        <f t="shared" si="92"/>
        <v/>
      </c>
      <c r="AK90" s="15" t="str">
        <f t="shared" si="93"/>
        <v/>
      </c>
      <c r="AL90" t="str">
        <f>IF(P90=1,LOOKUP(K90,$AZ$1:$BI$1,$AZ$37:$BI$37)-IF(O90="",0,O90),"")</f>
        <v/>
      </c>
      <c r="AM90" s="10" t="str">
        <f t="shared" si="80"/>
        <v/>
      </c>
      <c r="AN90" s="10" t="str">
        <f>IF(AM90="","",AM90*LOOKUP(K90,$AZ$1:$BI$1,$AZ$7:$BI$7))</f>
        <v/>
      </c>
      <c r="AO90" t="str">
        <f>IF(AN90="","",AN90*LOOKUP(K90,$AZ$1:$BI$1,$AZ$8:$BI$8))</f>
        <v/>
      </c>
      <c r="AP90" t="str">
        <f>IF(AO90="","",AO90/LOOKUP(K90,$AZ$1:$BI$1,$AZ$42:$BI$42))</f>
        <v/>
      </c>
      <c r="AQ90" t="str">
        <f>IF(AO90="","",IF(LOOKUP(K90,$AZ$1:$BI$1,$AZ$37:$BI$37)=0,0.25,MAX(MIN(AP90,2.5),0.5)))</f>
        <v/>
      </c>
      <c r="AR90" t="str">
        <f t="shared" si="81"/>
        <v/>
      </c>
      <c r="AS90" t="str">
        <f t="shared" si="82"/>
        <v/>
      </c>
      <c r="AT90" t="str">
        <f t="shared" si="83"/>
        <v/>
      </c>
      <c r="AU90" t="str">
        <f>IF(OR(AT90="",AT90=0),"",INDEX($AY$1:$BI$5,MATCH(AT90,$AY$1:$AY$5,0),MATCH(K90,$AY$1:$BI$1,0)))</f>
        <v/>
      </c>
      <c r="AV90" t="str">
        <f t="shared" si="84"/>
        <v/>
      </c>
      <c r="AW90" t="str">
        <f t="shared" si="85"/>
        <v/>
      </c>
    </row>
    <row r="91" spans="5:49">
      <c r="E91" s="4" t="str">
        <f t="shared" si="64"/>
        <v/>
      </c>
      <c r="H91" s="17"/>
      <c r="I91" s="17"/>
      <c r="L91" s="23"/>
      <c r="N91" t="str">
        <f t="shared" si="65"/>
        <v/>
      </c>
      <c r="O91" t="str">
        <f t="shared" si="66"/>
        <v/>
      </c>
      <c r="P91" t="str">
        <f t="shared" si="67"/>
        <v/>
      </c>
      <c r="Q91" s="10" t="str">
        <f t="shared" si="94"/>
        <v/>
      </c>
      <c r="R91" s="10" t="str">
        <f t="shared" si="68"/>
        <v/>
      </c>
      <c r="S91" s="10" t="str">
        <f t="shared" si="69"/>
        <v/>
      </c>
      <c r="T91" s="10" t="str">
        <f t="shared" si="86"/>
        <v/>
      </c>
      <c r="U91" s="10" t="str">
        <f t="shared" si="87"/>
        <v/>
      </c>
      <c r="V91" s="10" t="str">
        <f t="shared" si="70"/>
        <v/>
      </c>
      <c r="W91" s="10" t="str">
        <f t="shared" si="71"/>
        <v/>
      </c>
      <c r="X91" s="10" t="str">
        <f t="shared" si="72"/>
        <v/>
      </c>
      <c r="Y91" s="10" t="str">
        <f t="shared" si="73"/>
        <v/>
      </c>
      <c r="Z91" s="8" t="str">
        <f t="shared" si="74"/>
        <v/>
      </c>
      <c r="AA91" s="15" t="str">
        <f t="shared" si="75"/>
        <v/>
      </c>
      <c r="AB91" s="15" t="str">
        <f t="shared" si="76"/>
        <v/>
      </c>
      <c r="AC91" s="15" t="str">
        <f t="shared" si="77"/>
        <v/>
      </c>
      <c r="AD91" s="15" t="str">
        <f t="shared" si="78"/>
        <v/>
      </c>
      <c r="AE91" s="15" t="str">
        <f t="shared" si="79"/>
        <v/>
      </c>
      <c r="AF91" s="15" t="str">
        <f t="shared" si="88"/>
        <v/>
      </c>
      <c r="AG91" s="15" t="str">
        <f t="shared" si="89"/>
        <v/>
      </c>
      <c r="AH91" s="15" t="str">
        <f t="shared" si="90"/>
        <v/>
      </c>
      <c r="AI91" s="15" t="str">
        <f t="shared" si="91"/>
        <v/>
      </c>
      <c r="AJ91" s="15" t="str">
        <f t="shared" si="92"/>
        <v/>
      </c>
      <c r="AK91" s="15" t="str">
        <f t="shared" si="93"/>
        <v/>
      </c>
      <c r="AL91" t="str">
        <f>IF(P91=1,LOOKUP(K91,$AZ$1:$BI$1,$AZ$37:$BI$37)-IF(O91="",0,O91),"")</f>
        <v/>
      </c>
      <c r="AM91" s="10" t="str">
        <f t="shared" si="80"/>
        <v/>
      </c>
      <c r="AN91" s="10" t="str">
        <f>IF(AM91="","",AM91*LOOKUP(K91,$AZ$1:$BI$1,$AZ$7:$BI$7))</f>
        <v/>
      </c>
      <c r="AO91" t="str">
        <f>IF(AN91="","",AN91*LOOKUP(K91,$AZ$1:$BI$1,$AZ$8:$BI$8))</f>
        <v/>
      </c>
      <c r="AP91" t="str">
        <f>IF(AO91="","",AO91/LOOKUP(K91,$AZ$1:$BI$1,$AZ$42:$BI$42))</f>
        <v/>
      </c>
      <c r="AQ91" t="str">
        <f>IF(AO91="","",IF(LOOKUP(K91,$AZ$1:$BI$1,$AZ$37:$BI$37)=0,0.25,MAX(MIN(AP91,2.5),0.5)))</f>
        <v/>
      </c>
      <c r="AR91" t="str">
        <f t="shared" si="81"/>
        <v/>
      </c>
      <c r="AS91" t="str">
        <f t="shared" si="82"/>
        <v/>
      </c>
      <c r="AT91" t="str">
        <f t="shared" si="83"/>
        <v/>
      </c>
      <c r="AU91" t="str">
        <f>IF(OR(AT91="",AT91=0),"",INDEX($AY$1:$BI$5,MATCH(AT91,$AY$1:$AY$5,0),MATCH(K91,$AY$1:$BI$1,0)))</f>
        <v/>
      </c>
      <c r="AV91" t="str">
        <f t="shared" si="84"/>
        <v/>
      </c>
      <c r="AW91" t="str">
        <f t="shared" si="85"/>
        <v/>
      </c>
    </row>
    <row r="92" spans="5:49">
      <c r="E92" s="4" t="str">
        <f t="shared" si="64"/>
        <v/>
      </c>
      <c r="H92" s="17"/>
      <c r="I92" s="17"/>
      <c r="L92" s="23"/>
      <c r="N92" t="str">
        <f t="shared" si="65"/>
        <v/>
      </c>
      <c r="O92" t="str">
        <f t="shared" si="66"/>
        <v/>
      </c>
      <c r="P92" t="str">
        <f t="shared" si="67"/>
        <v/>
      </c>
      <c r="Q92" s="10" t="str">
        <f t="shared" si="94"/>
        <v/>
      </c>
      <c r="R92" s="10" t="str">
        <f t="shared" si="68"/>
        <v/>
      </c>
      <c r="S92" s="10" t="str">
        <f t="shared" si="69"/>
        <v/>
      </c>
      <c r="T92" s="10" t="str">
        <f t="shared" si="86"/>
        <v/>
      </c>
      <c r="U92" s="10" t="str">
        <f t="shared" si="87"/>
        <v/>
      </c>
      <c r="V92" s="10" t="str">
        <f t="shared" si="70"/>
        <v/>
      </c>
      <c r="W92" s="10" t="str">
        <f t="shared" si="71"/>
        <v/>
      </c>
      <c r="X92" s="10" t="str">
        <f t="shared" si="72"/>
        <v/>
      </c>
      <c r="Y92" s="10" t="str">
        <f t="shared" si="73"/>
        <v/>
      </c>
      <c r="Z92" s="8" t="str">
        <f t="shared" si="74"/>
        <v/>
      </c>
      <c r="AA92" s="15" t="str">
        <f t="shared" si="75"/>
        <v/>
      </c>
      <c r="AB92" s="15" t="str">
        <f t="shared" si="76"/>
        <v/>
      </c>
      <c r="AC92" s="15" t="str">
        <f t="shared" si="77"/>
        <v/>
      </c>
      <c r="AD92" s="15" t="str">
        <f t="shared" si="78"/>
        <v/>
      </c>
      <c r="AE92" s="15" t="str">
        <f t="shared" si="79"/>
        <v/>
      </c>
      <c r="AF92" s="15" t="str">
        <f t="shared" si="88"/>
        <v/>
      </c>
      <c r="AG92" s="15" t="str">
        <f t="shared" si="89"/>
        <v/>
      </c>
      <c r="AH92" s="15" t="str">
        <f t="shared" si="90"/>
        <v/>
      </c>
      <c r="AI92" s="15" t="str">
        <f t="shared" si="91"/>
        <v/>
      </c>
      <c r="AJ92" s="15" t="str">
        <f t="shared" si="92"/>
        <v/>
      </c>
      <c r="AK92" s="15" t="str">
        <f t="shared" si="93"/>
        <v/>
      </c>
      <c r="AL92" t="str">
        <f>IF(P92=1,LOOKUP(K92,$AZ$1:$BI$1,$AZ$37:$BI$37)-IF(O92="",0,O92),"")</f>
        <v/>
      </c>
      <c r="AM92" s="10" t="str">
        <f t="shared" si="80"/>
        <v/>
      </c>
      <c r="AN92" s="10" t="str">
        <f>IF(AM92="","",AM92*LOOKUP(K92,$AZ$1:$BI$1,$AZ$7:$BI$7))</f>
        <v/>
      </c>
      <c r="AO92" t="str">
        <f>IF(AN92="","",AN92*LOOKUP(K92,$AZ$1:$BI$1,$AZ$8:$BI$8))</f>
        <v/>
      </c>
      <c r="AP92" t="str">
        <f>IF(AO92="","",AO92/LOOKUP(K92,$AZ$1:$BI$1,$AZ$42:$BI$42))</f>
        <v/>
      </c>
      <c r="AQ92" t="str">
        <f>IF(AO92="","",IF(LOOKUP(K92,$AZ$1:$BI$1,$AZ$37:$BI$37)=0,0.25,MAX(MIN(AP92,2.5),0.5)))</f>
        <v/>
      </c>
      <c r="AR92" t="str">
        <f t="shared" si="81"/>
        <v/>
      </c>
      <c r="AS92" t="str">
        <f t="shared" si="82"/>
        <v/>
      </c>
      <c r="AT92" t="str">
        <f t="shared" si="83"/>
        <v/>
      </c>
      <c r="AU92" t="str">
        <f>IF(OR(AT92="",AT92=0),"",INDEX($AY$1:$BI$5,MATCH(AT92,$AY$1:$AY$5,0),MATCH(K92,$AY$1:$BI$1,0)))</f>
        <v/>
      </c>
      <c r="AV92" t="str">
        <f t="shared" si="84"/>
        <v/>
      </c>
      <c r="AW92" t="str">
        <f t="shared" si="85"/>
        <v/>
      </c>
    </row>
    <row r="93" spans="5:49">
      <c r="E93" s="4" t="str">
        <f t="shared" si="64"/>
        <v/>
      </c>
      <c r="H93" s="17"/>
      <c r="I93" s="17"/>
      <c r="L93" s="23"/>
      <c r="N93" t="str">
        <f t="shared" si="65"/>
        <v/>
      </c>
      <c r="O93" t="str">
        <f t="shared" si="66"/>
        <v/>
      </c>
      <c r="P93" t="str">
        <f t="shared" si="67"/>
        <v/>
      </c>
      <c r="Q93" s="10" t="str">
        <f t="shared" si="94"/>
        <v/>
      </c>
      <c r="R93" s="10" t="str">
        <f t="shared" si="68"/>
        <v/>
      </c>
      <c r="S93" s="10" t="str">
        <f t="shared" si="69"/>
        <v/>
      </c>
      <c r="T93" s="10" t="str">
        <f t="shared" si="86"/>
        <v/>
      </c>
      <c r="U93" s="10" t="str">
        <f t="shared" si="87"/>
        <v/>
      </c>
      <c r="V93" s="10" t="str">
        <f t="shared" si="70"/>
        <v/>
      </c>
      <c r="W93" s="10" t="str">
        <f t="shared" si="71"/>
        <v/>
      </c>
      <c r="X93" s="10" t="str">
        <f t="shared" si="72"/>
        <v/>
      </c>
      <c r="Y93" s="10" t="str">
        <f t="shared" si="73"/>
        <v/>
      </c>
      <c r="Z93" s="8" t="str">
        <f t="shared" si="74"/>
        <v/>
      </c>
      <c r="AA93" s="15" t="str">
        <f t="shared" si="75"/>
        <v/>
      </c>
      <c r="AB93" s="15" t="str">
        <f t="shared" si="76"/>
        <v/>
      </c>
      <c r="AC93" s="15" t="str">
        <f t="shared" si="77"/>
        <v/>
      </c>
      <c r="AD93" s="15" t="str">
        <f t="shared" si="78"/>
        <v/>
      </c>
      <c r="AE93" s="15" t="str">
        <f t="shared" si="79"/>
        <v/>
      </c>
      <c r="AF93" s="15" t="str">
        <f t="shared" si="88"/>
        <v/>
      </c>
      <c r="AG93" s="15" t="str">
        <f t="shared" si="89"/>
        <v/>
      </c>
      <c r="AH93" s="15" t="str">
        <f t="shared" si="90"/>
        <v/>
      </c>
      <c r="AI93" s="15" t="str">
        <f t="shared" si="91"/>
        <v/>
      </c>
      <c r="AJ93" s="15" t="str">
        <f t="shared" si="92"/>
        <v/>
      </c>
      <c r="AK93" s="15" t="str">
        <f t="shared" si="93"/>
        <v/>
      </c>
      <c r="AL93" t="str">
        <f>IF(P93=1,LOOKUP(K93,$AZ$1:$BI$1,$AZ$37:$BI$37)-IF(O93="",0,O93),"")</f>
        <v/>
      </c>
      <c r="AM93" s="10" t="str">
        <f t="shared" si="80"/>
        <v/>
      </c>
      <c r="AN93" s="10" t="str">
        <f>IF(AM93="","",AM93*LOOKUP(K93,$AZ$1:$BI$1,$AZ$7:$BI$7))</f>
        <v/>
      </c>
      <c r="AO93" t="str">
        <f>IF(AN93="","",AN93*LOOKUP(K93,$AZ$1:$BI$1,$AZ$8:$BI$8))</f>
        <v/>
      </c>
      <c r="AP93" t="str">
        <f>IF(AO93="","",AO93/LOOKUP(K93,$AZ$1:$BI$1,$AZ$42:$BI$42))</f>
        <v/>
      </c>
      <c r="AQ93" t="str">
        <f>IF(AO93="","",IF(LOOKUP(K93,$AZ$1:$BI$1,$AZ$37:$BI$37)=0,0.25,MAX(MIN(AP93,2.5),0.5)))</f>
        <v/>
      </c>
      <c r="AR93" t="str">
        <f t="shared" si="81"/>
        <v/>
      </c>
      <c r="AS93" t="str">
        <f t="shared" si="82"/>
        <v/>
      </c>
      <c r="AT93" t="str">
        <f t="shared" si="83"/>
        <v/>
      </c>
      <c r="AU93" t="str">
        <f>IF(OR(AT93="",AT93=0),"",INDEX($AY$1:$BI$5,MATCH(AT93,$AY$1:$AY$5,0),MATCH(K93,$AY$1:$BI$1,0)))</f>
        <v/>
      </c>
      <c r="AV93" t="str">
        <f t="shared" si="84"/>
        <v/>
      </c>
      <c r="AW93" t="str">
        <f t="shared" si="85"/>
        <v/>
      </c>
    </row>
    <row r="94" spans="5:49">
      <c r="E94" s="4" t="str">
        <f t="shared" si="64"/>
        <v/>
      </c>
      <c r="H94" s="17"/>
      <c r="I94" s="17"/>
      <c r="L94" s="23"/>
      <c r="N94" t="str">
        <f t="shared" si="65"/>
        <v/>
      </c>
      <c r="O94" t="str">
        <f t="shared" si="66"/>
        <v/>
      </c>
      <c r="P94" t="str">
        <f t="shared" si="67"/>
        <v/>
      </c>
      <c r="Q94" s="10" t="str">
        <f t="shared" si="94"/>
        <v/>
      </c>
      <c r="R94" s="10" t="str">
        <f t="shared" si="68"/>
        <v/>
      </c>
      <c r="S94" s="10" t="str">
        <f t="shared" si="69"/>
        <v/>
      </c>
      <c r="T94" s="10" t="str">
        <f t="shared" si="86"/>
        <v/>
      </c>
      <c r="U94" s="10" t="str">
        <f t="shared" si="87"/>
        <v/>
      </c>
      <c r="V94" s="10" t="str">
        <f t="shared" si="70"/>
        <v/>
      </c>
      <c r="W94" s="10" t="str">
        <f t="shared" si="71"/>
        <v/>
      </c>
      <c r="X94" s="10" t="str">
        <f t="shared" si="72"/>
        <v/>
      </c>
      <c r="Y94" s="10" t="str">
        <f t="shared" si="73"/>
        <v/>
      </c>
      <c r="Z94" s="8" t="str">
        <f t="shared" si="74"/>
        <v/>
      </c>
      <c r="AA94" s="15" t="str">
        <f t="shared" si="75"/>
        <v/>
      </c>
      <c r="AB94" s="15" t="str">
        <f t="shared" si="76"/>
        <v/>
      </c>
      <c r="AC94" s="15" t="str">
        <f t="shared" si="77"/>
        <v/>
      </c>
      <c r="AD94" s="15" t="str">
        <f t="shared" si="78"/>
        <v/>
      </c>
      <c r="AE94" s="15" t="str">
        <f t="shared" si="79"/>
        <v/>
      </c>
      <c r="AF94" s="15" t="str">
        <f t="shared" si="88"/>
        <v/>
      </c>
      <c r="AG94" s="15" t="str">
        <f t="shared" si="89"/>
        <v/>
      </c>
      <c r="AH94" s="15" t="str">
        <f t="shared" si="90"/>
        <v/>
      </c>
      <c r="AI94" s="15" t="str">
        <f t="shared" si="91"/>
        <v/>
      </c>
      <c r="AJ94" s="15" t="str">
        <f t="shared" si="92"/>
        <v/>
      </c>
      <c r="AK94" s="15" t="str">
        <f t="shared" si="93"/>
        <v/>
      </c>
      <c r="AL94" t="str">
        <f>IF(P94=1,LOOKUP(K94,$AZ$1:$BI$1,$AZ$37:$BI$37)-IF(O94="",0,O94),"")</f>
        <v/>
      </c>
      <c r="AM94" s="10" t="str">
        <f t="shared" si="80"/>
        <v/>
      </c>
      <c r="AN94" s="10" t="str">
        <f>IF(AM94="","",AM94*LOOKUP(K94,$AZ$1:$BI$1,$AZ$7:$BI$7))</f>
        <v/>
      </c>
      <c r="AO94" t="str">
        <f>IF(AN94="","",AN94*LOOKUP(K94,$AZ$1:$BI$1,$AZ$8:$BI$8))</f>
        <v/>
      </c>
      <c r="AP94" t="str">
        <f>IF(AO94="","",AO94/LOOKUP(K94,$AZ$1:$BI$1,$AZ$42:$BI$42))</f>
        <v/>
      </c>
      <c r="AQ94" t="str">
        <f>IF(AO94="","",IF(LOOKUP(K94,$AZ$1:$BI$1,$AZ$37:$BI$37)=0,0.25,MAX(MIN(AP94,2.5),0.5)))</f>
        <v/>
      </c>
      <c r="AR94" t="str">
        <f t="shared" si="81"/>
        <v/>
      </c>
      <c r="AS94" t="str">
        <f t="shared" si="82"/>
        <v/>
      </c>
      <c r="AT94" t="str">
        <f t="shared" si="83"/>
        <v/>
      </c>
      <c r="AU94" t="str">
        <f>IF(OR(AT94="",AT94=0),"",INDEX($AY$1:$BI$5,MATCH(AT94,$AY$1:$AY$5,0),MATCH(K94,$AY$1:$BI$1,0)))</f>
        <v/>
      </c>
      <c r="AV94" t="str">
        <f t="shared" si="84"/>
        <v/>
      </c>
      <c r="AW94" t="str">
        <f t="shared" si="85"/>
        <v/>
      </c>
    </row>
    <row r="95" spans="5:49">
      <c r="E95" s="4" t="str">
        <f t="shared" si="64"/>
        <v/>
      </c>
      <c r="H95" s="17"/>
      <c r="I95" s="17"/>
      <c r="L95" s="23"/>
      <c r="N95" t="str">
        <f t="shared" si="65"/>
        <v/>
      </c>
      <c r="O95" t="str">
        <f t="shared" si="66"/>
        <v/>
      </c>
      <c r="P95" t="str">
        <f t="shared" si="67"/>
        <v/>
      </c>
      <c r="Q95" s="10" t="str">
        <f t="shared" si="94"/>
        <v/>
      </c>
      <c r="R95" s="10" t="str">
        <f t="shared" si="68"/>
        <v/>
      </c>
      <c r="S95" s="10" t="str">
        <f t="shared" si="69"/>
        <v/>
      </c>
      <c r="T95" s="10" t="str">
        <f t="shared" si="86"/>
        <v/>
      </c>
      <c r="U95" s="10" t="str">
        <f t="shared" si="87"/>
        <v/>
      </c>
      <c r="V95" s="10" t="str">
        <f t="shared" si="70"/>
        <v/>
      </c>
      <c r="W95" s="10" t="str">
        <f t="shared" si="71"/>
        <v/>
      </c>
      <c r="X95" s="10" t="str">
        <f t="shared" si="72"/>
        <v/>
      </c>
      <c r="Y95" s="10" t="str">
        <f t="shared" si="73"/>
        <v/>
      </c>
      <c r="Z95" s="8" t="str">
        <f t="shared" si="74"/>
        <v/>
      </c>
      <c r="AA95" s="15" t="str">
        <f t="shared" si="75"/>
        <v/>
      </c>
      <c r="AB95" s="15" t="str">
        <f t="shared" si="76"/>
        <v/>
      </c>
      <c r="AC95" s="15" t="str">
        <f t="shared" si="77"/>
        <v/>
      </c>
      <c r="AD95" s="15" t="str">
        <f t="shared" si="78"/>
        <v/>
      </c>
      <c r="AE95" s="15" t="str">
        <f t="shared" si="79"/>
        <v/>
      </c>
      <c r="AF95" s="15" t="str">
        <f t="shared" si="88"/>
        <v/>
      </c>
      <c r="AG95" s="15" t="str">
        <f t="shared" si="89"/>
        <v/>
      </c>
      <c r="AH95" s="15" t="str">
        <f t="shared" si="90"/>
        <v/>
      </c>
      <c r="AI95" s="15" t="str">
        <f t="shared" si="91"/>
        <v/>
      </c>
      <c r="AJ95" s="15" t="str">
        <f t="shared" si="92"/>
        <v/>
      </c>
      <c r="AK95" s="15" t="str">
        <f t="shared" si="93"/>
        <v/>
      </c>
      <c r="AL95" t="str">
        <f>IF(P95=1,LOOKUP(K95,$AZ$1:$BI$1,$AZ$37:$BI$37)-IF(O95="",0,O95),"")</f>
        <v/>
      </c>
      <c r="AM95" s="10" t="str">
        <f t="shared" si="80"/>
        <v/>
      </c>
      <c r="AN95" s="10" t="str">
        <f>IF(AM95="","",AM95*LOOKUP(K95,$AZ$1:$BI$1,$AZ$7:$BI$7))</f>
        <v/>
      </c>
      <c r="AO95" t="str">
        <f>IF(AN95="","",AN95*LOOKUP(K95,$AZ$1:$BI$1,$AZ$8:$BI$8))</f>
        <v/>
      </c>
      <c r="AP95" t="str">
        <f>IF(AO95="","",AO95/LOOKUP(K95,$AZ$1:$BI$1,$AZ$42:$BI$42))</f>
        <v/>
      </c>
      <c r="AQ95" t="str">
        <f>IF(AO95="","",IF(LOOKUP(K95,$AZ$1:$BI$1,$AZ$37:$BI$37)=0,0.25,MAX(MIN(AP95,2.5),0.5)))</f>
        <v/>
      </c>
      <c r="AR95" t="str">
        <f t="shared" si="81"/>
        <v/>
      </c>
      <c r="AS95" t="str">
        <f t="shared" si="82"/>
        <v/>
      </c>
      <c r="AT95" t="str">
        <f t="shared" si="83"/>
        <v/>
      </c>
      <c r="AU95" t="str">
        <f>IF(OR(AT95="",AT95=0),"",INDEX($AY$1:$BI$5,MATCH(AT95,$AY$1:$AY$5,0),MATCH(K95,$AY$1:$BI$1,0)))</f>
        <v/>
      </c>
      <c r="AV95" t="str">
        <f t="shared" si="84"/>
        <v/>
      </c>
      <c r="AW95" t="str">
        <f t="shared" si="85"/>
        <v/>
      </c>
    </row>
    <row r="96" spans="5:49">
      <c r="E96" s="4" t="str">
        <f t="shared" si="64"/>
        <v/>
      </c>
      <c r="H96" s="17"/>
      <c r="I96" s="17"/>
      <c r="L96" s="23"/>
      <c r="N96" t="str">
        <f t="shared" si="65"/>
        <v/>
      </c>
      <c r="O96" t="str">
        <f t="shared" si="66"/>
        <v/>
      </c>
      <c r="P96" t="str">
        <f t="shared" si="67"/>
        <v/>
      </c>
      <c r="Q96" s="10" t="str">
        <f t="shared" si="94"/>
        <v/>
      </c>
      <c r="R96" s="10" t="str">
        <f t="shared" si="68"/>
        <v/>
      </c>
      <c r="S96" s="10" t="str">
        <f t="shared" si="69"/>
        <v/>
      </c>
      <c r="T96" s="10" t="str">
        <f t="shared" si="86"/>
        <v/>
      </c>
      <c r="U96" s="10" t="str">
        <f t="shared" si="87"/>
        <v/>
      </c>
      <c r="V96" s="10" t="str">
        <f t="shared" si="70"/>
        <v/>
      </c>
      <c r="W96" s="10" t="str">
        <f t="shared" si="71"/>
        <v/>
      </c>
      <c r="X96" s="10" t="str">
        <f t="shared" si="72"/>
        <v/>
      </c>
      <c r="Y96" s="10" t="str">
        <f t="shared" si="73"/>
        <v/>
      </c>
      <c r="Z96" s="8" t="str">
        <f t="shared" si="74"/>
        <v/>
      </c>
      <c r="AA96" s="15" t="str">
        <f t="shared" si="75"/>
        <v/>
      </c>
      <c r="AB96" s="15" t="str">
        <f t="shared" si="76"/>
        <v/>
      </c>
      <c r="AC96" s="15" t="str">
        <f t="shared" si="77"/>
        <v/>
      </c>
      <c r="AD96" s="15" t="str">
        <f t="shared" si="78"/>
        <v/>
      </c>
      <c r="AE96" s="15" t="str">
        <f t="shared" si="79"/>
        <v/>
      </c>
      <c r="AF96" s="15" t="str">
        <f t="shared" si="88"/>
        <v/>
      </c>
      <c r="AG96" s="15" t="str">
        <f t="shared" si="89"/>
        <v/>
      </c>
      <c r="AH96" s="15" t="str">
        <f t="shared" si="90"/>
        <v/>
      </c>
      <c r="AI96" s="15" t="str">
        <f t="shared" si="91"/>
        <v/>
      </c>
      <c r="AJ96" s="15" t="str">
        <f t="shared" si="92"/>
        <v/>
      </c>
      <c r="AK96" s="15" t="str">
        <f t="shared" si="93"/>
        <v/>
      </c>
      <c r="AL96" t="str">
        <f>IF(P96=1,LOOKUP(K96,$AZ$1:$BI$1,$AZ$37:$BI$37)-IF(O96="",0,O96),"")</f>
        <v/>
      </c>
      <c r="AM96" s="10" t="str">
        <f t="shared" si="80"/>
        <v/>
      </c>
      <c r="AN96" s="10" t="str">
        <f>IF(AM96="","",AM96*LOOKUP(K96,$AZ$1:$BI$1,$AZ$7:$BI$7))</f>
        <v/>
      </c>
      <c r="AO96" t="str">
        <f>IF(AN96="","",AN96*LOOKUP(K96,$AZ$1:$BI$1,$AZ$8:$BI$8))</f>
        <v/>
      </c>
      <c r="AP96" t="str">
        <f>IF(AO96="","",AO96/LOOKUP(K96,$AZ$1:$BI$1,$AZ$42:$BI$42))</f>
        <v/>
      </c>
      <c r="AQ96" t="str">
        <f>IF(AO96="","",IF(LOOKUP(K96,$AZ$1:$BI$1,$AZ$37:$BI$37)=0,0.25,MAX(MIN(AP96,2.5),0.5)))</f>
        <v/>
      </c>
      <c r="AR96" t="str">
        <f t="shared" si="81"/>
        <v/>
      </c>
      <c r="AS96" t="str">
        <f t="shared" si="82"/>
        <v/>
      </c>
      <c r="AT96" t="str">
        <f t="shared" si="83"/>
        <v/>
      </c>
      <c r="AU96" t="str">
        <f>IF(OR(AT96="",AT96=0),"",INDEX($AY$1:$BI$5,MATCH(AT96,$AY$1:$AY$5,0),MATCH(K96,$AY$1:$BI$1,0)))</f>
        <v/>
      </c>
      <c r="AV96" t="str">
        <f t="shared" si="84"/>
        <v/>
      </c>
      <c r="AW96" t="str">
        <f t="shared" si="85"/>
        <v/>
      </c>
    </row>
    <row r="97" spans="5:49">
      <c r="E97" s="4" t="str">
        <f t="shared" si="64"/>
        <v/>
      </c>
      <c r="H97" s="17"/>
      <c r="I97" s="17"/>
      <c r="L97" s="23"/>
      <c r="N97" t="str">
        <f t="shared" si="65"/>
        <v/>
      </c>
      <c r="O97" t="str">
        <f t="shared" si="66"/>
        <v/>
      </c>
      <c r="P97" t="str">
        <f t="shared" si="67"/>
        <v/>
      </c>
      <c r="Q97" s="10" t="str">
        <f t="shared" si="94"/>
        <v/>
      </c>
      <c r="R97" s="10" t="str">
        <f t="shared" si="68"/>
        <v/>
      </c>
      <c r="S97" s="10" t="str">
        <f t="shared" si="69"/>
        <v/>
      </c>
      <c r="T97" s="10" t="str">
        <f t="shared" si="86"/>
        <v/>
      </c>
      <c r="U97" s="10" t="str">
        <f t="shared" si="87"/>
        <v/>
      </c>
      <c r="V97" s="10" t="str">
        <f t="shared" si="70"/>
        <v/>
      </c>
      <c r="W97" s="10" t="str">
        <f t="shared" si="71"/>
        <v/>
      </c>
      <c r="X97" s="10" t="str">
        <f t="shared" si="72"/>
        <v/>
      </c>
      <c r="Y97" s="10" t="str">
        <f t="shared" si="73"/>
        <v/>
      </c>
      <c r="Z97" s="8" t="str">
        <f t="shared" si="74"/>
        <v/>
      </c>
      <c r="AA97" s="15" t="str">
        <f t="shared" si="75"/>
        <v/>
      </c>
      <c r="AB97" s="15" t="str">
        <f t="shared" si="76"/>
        <v/>
      </c>
      <c r="AC97" s="15" t="str">
        <f t="shared" si="77"/>
        <v/>
      </c>
      <c r="AD97" s="15" t="str">
        <f t="shared" si="78"/>
        <v/>
      </c>
      <c r="AE97" s="15" t="str">
        <f t="shared" si="79"/>
        <v/>
      </c>
      <c r="AF97" s="15" t="str">
        <f t="shared" si="88"/>
        <v/>
      </c>
      <c r="AG97" s="15" t="str">
        <f t="shared" si="89"/>
        <v/>
      </c>
      <c r="AH97" s="15" t="str">
        <f t="shared" si="90"/>
        <v/>
      </c>
      <c r="AI97" s="15" t="str">
        <f t="shared" si="91"/>
        <v/>
      </c>
      <c r="AJ97" s="15" t="str">
        <f t="shared" si="92"/>
        <v/>
      </c>
      <c r="AK97" s="15" t="str">
        <f t="shared" si="93"/>
        <v/>
      </c>
      <c r="AL97" t="str">
        <f>IF(P97=1,LOOKUP(K97,$AZ$1:$BI$1,$AZ$37:$BI$37)-IF(O97="",0,O97),"")</f>
        <v/>
      </c>
      <c r="AM97" s="10" t="str">
        <f t="shared" si="80"/>
        <v/>
      </c>
      <c r="AN97" s="10" t="str">
        <f>IF(AM97="","",AM97*LOOKUP(K97,$AZ$1:$BI$1,$AZ$7:$BI$7))</f>
        <v/>
      </c>
      <c r="AO97" t="str">
        <f>IF(AN97="","",AN97*LOOKUP(K97,$AZ$1:$BI$1,$AZ$8:$BI$8))</f>
        <v/>
      </c>
      <c r="AP97" t="str">
        <f>IF(AO97="","",AO97/LOOKUP(K97,$AZ$1:$BI$1,$AZ$42:$BI$42))</f>
        <v/>
      </c>
      <c r="AQ97" t="str">
        <f>IF(AO97="","",IF(LOOKUP(K97,$AZ$1:$BI$1,$AZ$37:$BI$37)=0,0.25,MAX(MIN(AP97,2.5),0.5)))</f>
        <v/>
      </c>
      <c r="AR97" t="str">
        <f t="shared" si="81"/>
        <v/>
      </c>
      <c r="AS97" t="str">
        <f t="shared" si="82"/>
        <v/>
      </c>
      <c r="AT97" t="str">
        <f t="shared" si="83"/>
        <v/>
      </c>
      <c r="AU97" t="str">
        <f>IF(OR(AT97="",AT97=0),"",INDEX($AY$1:$BI$5,MATCH(AT97,$AY$1:$AY$5,0),MATCH(K97,$AY$1:$BI$1,0)))</f>
        <v/>
      </c>
      <c r="AV97" t="str">
        <f t="shared" si="84"/>
        <v/>
      </c>
      <c r="AW97" t="str">
        <f t="shared" si="85"/>
        <v/>
      </c>
    </row>
    <row r="98" spans="5:49">
      <c r="E98" s="4" t="str">
        <f t="shared" si="64"/>
        <v/>
      </c>
      <c r="H98" s="17"/>
      <c r="I98" s="17"/>
      <c r="L98" s="23"/>
      <c r="N98" t="str">
        <f t="shared" si="65"/>
        <v/>
      </c>
      <c r="O98" t="str">
        <f t="shared" si="66"/>
        <v/>
      </c>
      <c r="P98" t="str">
        <f t="shared" si="67"/>
        <v/>
      </c>
      <c r="Q98" s="10" t="str">
        <f t="shared" si="94"/>
        <v/>
      </c>
      <c r="R98" s="10" t="str">
        <f t="shared" si="68"/>
        <v/>
      </c>
      <c r="S98" s="10" t="str">
        <f t="shared" si="69"/>
        <v/>
      </c>
      <c r="T98" s="10" t="str">
        <f t="shared" si="86"/>
        <v/>
      </c>
      <c r="U98" s="10" t="str">
        <f t="shared" si="87"/>
        <v/>
      </c>
      <c r="V98" s="10" t="str">
        <f t="shared" si="70"/>
        <v/>
      </c>
      <c r="W98" s="10" t="str">
        <f t="shared" si="71"/>
        <v/>
      </c>
      <c r="X98" s="10" t="str">
        <f t="shared" si="72"/>
        <v/>
      </c>
      <c r="Y98" s="10" t="str">
        <f t="shared" si="73"/>
        <v/>
      </c>
      <c r="Z98" s="8" t="str">
        <f t="shared" si="74"/>
        <v/>
      </c>
      <c r="AA98" s="15" t="str">
        <f t="shared" si="75"/>
        <v/>
      </c>
      <c r="AB98" s="15" t="str">
        <f t="shared" si="76"/>
        <v/>
      </c>
      <c r="AC98" s="15" t="str">
        <f t="shared" si="77"/>
        <v/>
      </c>
      <c r="AD98" s="15" t="str">
        <f t="shared" si="78"/>
        <v/>
      </c>
      <c r="AE98" s="15" t="str">
        <f t="shared" si="79"/>
        <v/>
      </c>
      <c r="AF98" s="15" t="str">
        <f t="shared" si="88"/>
        <v/>
      </c>
      <c r="AG98" s="15" t="str">
        <f t="shared" si="89"/>
        <v/>
      </c>
      <c r="AH98" s="15" t="str">
        <f t="shared" si="90"/>
        <v/>
      </c>
      <c r="AI98" s="15" t="str">
        <f t="shared" si="91"/>
        <v/>
      </c>
      <c r="AJ98" s="15" t="str">
        <f t="shared" si="92"/>
        <v/>
      </c>
      <c r="AK98" s="15" t="str">
        <f t="shared" si="93"/>
        <v/>
      </c>
      <c r="AL98" t="str">
        <f>IF(P98=1,LOOKUP(K98,$AZ$1:$BI$1,$AZ$37:$BI$37)-IF(O98="",0,O98),"")</f>
        <v/>
      </c>
      <c r="AM98" s="10" t="str">
        <f t="shared" si="80"/>
        <v/>
      </c>
      <c r="AN98" s="10" t="str">
        <f>IF(AM98="","",AM98*LOOKUP(K98,$AZ$1:$BI$1,$AZ$7:$BI$7))</f>
        <v/>
      </c>
      <c r="AO98" t="str">
        <f>IF(AN98="","",AN98*LOOKUP(K98,$AZ$1:$BI$1,$AZ$8:$BI$8))</f>
        <v/>
      </c>
      <c r="AP98" t="str">
        <f>IF(AO98="","",AO98/LOOKUP(K98,$AZ$1:$BI$1,$AZ$42:$BI$42))</f>
        <v/>
      </c>
      <c r="AQ98" t="str">
        <f>IF(AO98="","",IF(LOOKUP(K98,$AZ$1:$BI$1,$AZ$37:$BI$37)=0,0.25,MAX(MIN(AP98,2.5),0.5)))</f>
        <v/>
      </c>
      <c r="AR98" t="str">
        <f t="shared" si="81"/>
        <v/>
      </c>
      <c r="AS98" t="str">
        <f t="shared" si="82"/>
        <v/>
      </c>
      <c r="AT98" t="str">
        <f t="shared" si="83"/>
        <v/>
      </c>
      <c r="AU98" t="str">
        <f>IF(OR(AT98="",AT98=0),"",INDEX($AY$1:$BI$5,MATCH(AT98,$AY$1:$AY$5,0),MATCH(K98,$AY$1:$BI$1,0)))</f>
        <v/>
      </c>
      <c r="AV98" t="str">
        <f t="shared" si="84"/>
        <v/>
      </c>
      <c r="AW98" t="str">
        <f t="shared" si="85"/>
        <v/>
      </c>
    </row>
    <row r="99" spans="5:49">
      <c r="E99" s="4" t="str">
        <f t="shared" si="64"/>
        <v/>
      </c>
      <c r="H99" s="17"/>
      <c r="I99" s="17"/>
      <c r="L99" s="23"/>
      <c r="N99" t="str">
        <f t="shared" si="65"/>
        <v/>
      </c>
      <c r="O99" t="str">
        <f t="shared" si="66"/>
        <v/>
      </c>
      <c r="P99" t="str">
        <f t="shared" si="67"/>
        <v/>
      </c>
      <c r="Q99" s="10" t="str">
        <f t="shared" si="94"/>
        <v/>
      </c>
      <c r="R99" s="10" t="str">
        <f t="shared" si="68"/>
        <v/>
      </c>
      <c r="S99" s="10" t="str">
        <f t="shared" si="69"/>
        <v/>
      </c>
      <c r="T99" s="10" t="str">
        <f t="shared" si="86"/>
        <v/>
      </c>
      <c r="U99" s="10" t="str">
        <f t="shared" si="87"/>
        <v/>
      </c>
      <c r="V99" s="10" t="str">
        <f t="shared" si="70"/>
        <v/>
      </c>
      <c r="W99" s="10" t="str">
        <f t="shared" si="71"/>
        <v/>
      </c>
      <c r="X99" s="10" t="str">
        <f t="shared" si="72"/>
        <v/>
      </c>
      <c r="Y99" s="10" t="str">
        <f t="shared" si="73"/>
        <v/>
      </c>
      <c r="Z99" s="8" t="str">
        <f t="shared" si="74"/>
        <v/>
      </c>
      <c r="AA99" s="15" t="str">
        <f t="shared" si="75"/>
        <v/>
      </c>
      <c r="AB99" s="15" t="str">
        <f t="shared" si="76"/>
        <v/>
      </c>
      <c r="AC99" s="15" t="str">
        <f t="shared" si="77"/>
        <v/>
      </c>
      <c r="AD99" s="15" t="str">
        <f t="shared" si="78"/>
        <v/>
      </c>
      <c r="AE99" s="15" t="str">
        <f t="shared" si="79"/>
        <v/>
      </c>
      <c r="AF99" s="15" t="str">
        <f t="shared" si="88"/>
        <v/>
      </c>
      <c r="AG99" s="15" t="str">
        <f t="shared" si="89"/>
        <v/>
      </c>
      <c r="AH99" s="15" t="str">
        <f t="shared" si="90"/>
        <v/>
      </c>
      <c r="AI99" s="15" t="str">
        <f t="shared" si="91"/>
        <v/>
      </c>
      <c r="AJ99" s="15" t="str">
        <f t="shared" si="92"/>
        <v/>
      </c>
      <c r="AK99" s="15" t="str">
        <f t="shared" si="93"/>
        <v/>
      </c>
      <c r="AL99" t="str">
        <f>IF(P99=1,LOOKUP(K99,$AZ$1:$BI$1,$AZ$37:$BI$37)-IF(O99="",0,O99),"")</f>
        <v/>
      </c>
      <c r="AM99" s="10" t="str">
        <f t="shared" si="80"/>
        <v/>
      </c>
      <c r="AN99" s="10" t="str">
        <f>IF(AM99="","",AM99*LOOKUP(K99,$AZ$1:$BI$1,$AZ$7:$BI$7))</f>
        <v/>
      </c>
      <c r="AO99" t="str">
        <f>IF(AN99="","",AN99*LOOKUP(K99,$AZ$1:$BI$1,$AZ$8:$BI$8))</f>
        <v/>
      </c>
      <c r="AP99" t="str">
        <f>IF(AO99="","",AO99/LOOKUP(K99,$AZ$1:$BI$1,$AZ$42:$BI$42))</f>
        <v/>
      </c>
      <c r="AQ99" t="str">
        <f>IF(AO99="","",IF(LOOKUP(K99,$AZ$1:$BI$1,$AZ$37:$BI$37)=0,0.25,MAX(MIN(AP99,2.5),0.5)))</f>
        <v/>
      </c>
      <c r="AR99" t="str">
        <f t="shared" si="81"/>
        <v/>
      </c>
      <c r="AS99" t="str">
        <f t="shared" si="82"/>
        <v/>
      </c>
      <c r="AT99" t="str">
        <f t="shared" si="83"/>
        <v/>
      </c>
      <c r="AU99" t="str">
        <f>IF(OR(AT99="",AT99=0),"",INDEX($AY$1:$BI$5,MATCH(AT99,$AY$1:$AY$5,0),MATCH(K99,$AY$1:$BI$1,0)))</f>
        <v/>
      </c>
      <c r="AV99" t="str">
        <f t="shared" si="84"/>
        <v/>
      </c>
      <c r="AW99" t="str">
        <f t="shared" si="85"/>
        <v/>
      </c>
    </row>
    <row r="100" spans="5:49">
      <c r="E100" s="4" t="str">
        <f t="shared" si="64"/>
        <v/>
      </c>
      <c r="H100" s="17"/>
      <c r="I100" s="17"/>
      <c r="L100" s="23"/>
      <c r="N100" t="str">
        <f t="shared" si="65"/>
        <v/>
      </c>
      <c r="O100" t="str">
        <f t="shared" si="66"/>
        <v/>
      </c>
      <c r="P100" t="str">
        <f t="shared" si="67"/>
        <v/>
      </c>
      <c r="Q100" s="10" t="str">
        <f t="shared" si="94"/>
        <v/>
      </c>
      <c r="R100" s="10" t="str">
        <f t="shared" si="68"/>
        <v/>
      </c>
      <c r="S100" s="10" t="str">
        <f t="shared" si="69"/>
        <v/>
      </c>
      <c r="T100" s="10" t="str">
        <f t="shared" si="86"/>
        <v/>
      </c>
      <c r="U100" s="10" t="str">
        <f t="shared" si="87"/>
        <v/>
      </c>
      <c r="V100" s="10" t="str">
        <f t="shared" si="70"/>
        <v/>
      </c>
      <c r="W100" s="10" t="str">
        <f t="shared" si="71"/>
        <v/>
      </c>
      <c r="X100" s="10" t="str">
        <f t="shared" si="72"/>
        <v/>
      </c>
      <c r="Y100" s="10" t="str">
        <f t="shared" si="73"/>
        <v/>
      </c>
      <c r="Z100" s="8" t="str">
        <f t="shared" si="74"/>
        <v/>
      </c>
      <c r="AA100" s="15" t="str">
        <f t="shared" si="75"/>
        <v/>
      </c>
      <c r="AB100" s="15" t="str">
        <f t="shared" si="76"/>
        <v/>
      </c>
      <c r="AC100" s="15" t="str">
        <f t="shared" si="77"/>
        <v/>
      </c>
      <c r="AD100" s="15" t="str">
        <f t="shared" si="78"/>
        <v/>
      </c>
      <c r="AE100" s="15" t="str">
        <f t="shared" si="79"/>
        <v/>
      </c>
      <c r="AF100" s="15" t="str">
        <f t="shared" si="88"/>
        <v/>
      </c>
      <c r="AG100" s="15" t="str">
        <f t="shared" si="89"/>
        <v/>
      </c>
      <c r="AH100" s="15" t="str">
        <f t="shared" si="90"/>
        <v/>
      </c>
      <c r="AI100" s="15" t="str">
        <f t="shared" si="91"/>
        <v/>
      </c>
      <c r="AJ100" s="15" t="str">
        <f t="shared" si="92"/>
        <v/>
      </c>
      <c r="AK100" s="15" t="str">
        <f t="shared" si="93"/>
        <v/>
      </c>
      <c r="AL100" t="str">
        <f>IF(P100=1,LOOKUP(K100,$AZ$1:$BI$1,$AZ$37:$BI$37)-IF(O100="",0,O100),"")</f>
        <v/>
      </c>
      <c r="AM100" s="10" t="str">
        <f t="shared" si="80"/>
        <v/>
      </c>
      <c r="AN100" s="10" t="str">
        <f>IF(AM100="","",AM100*LOOKUP(K100,$AZ$1:$BI$1,$AZ$7:$BI$7))</f>
        <v/>
      </c>
      <c r="AO100" t="str">
        <f>IF(AN100="","",AN100*LOOKUP(K100,$AZ$1:$BI$1,$AZ$8:$BI$8))</f>
        <v/>
      </c>
      <c r="AP100" t="str">
        <f>IF(AO100="","",AO100/LOOKUP(K100,$AZ$1:$BI$1,$AZ$42:$BI$42))</f>
        <v/>
      </c>
      <c r="AQ100" t="str">
        <f>IF(AO100="","",IF(LOOKUP(K100,$AZ$1:$BI$1,$AZ$37:$BI$37)=0,0.25,MAX(MIN(AP100,2.5),0.5)))</f>
        <v/>
      </c>
      <c r="AR100" t="str">
        <f t="shared" si="81"/>
        <v/>
      </c>
      <c r="AS100" t="str">
        <f t="shared" si="82"/>
        <v/>
      </c>
      <c r="AT100" t="str">
        <f t="shared" si="83"/>
        <v/>
      </c>
      <c r="AU100" t="str">
        <f>IF(OR(AT100="",AT100=0),"",INDEX($AY$1:$BI$5,MATCH(AT100,$AY$1:$AY$5,0),MATCH(K100,$AY$1:$BI$1,0)))</f>
        <v/>
      </c>
      <c r="AV100" t="str">
        <f t="shared" si="84"/>
        <v/>
      </c>
      <c r="AW100" t="str">
        <f t="shared" si="85"/>
        <v/>
      </c>
    </row>
    <row r="101" spans="5:49">
      <c r="E101" s="4" t="str">
        <f t="shared" si="64"/>
        <v/>
      </c>
      <c r="H101" s="17"/>
      <c r="I101" s="17"/>
      <c r="L101" s="23"/>
      <c r="N101" t="str">
        <f t="shared" si="65"/>
        <v/>
      </c>
      <c r="O101" t="str">
        <f t="shared" si="66"/>
        <v/>
      </c>
      <c r="P101" t="str">
        <f t="shared" si="67"/>
        <v/>
      </c>
      <c r="Q101" s="10" t="str">
        <f t="shared" si="94"/>
        <v/>
      </c>
      <c r="R101" s="10" t="str">
        <f t="shared" si="68"/>
        <v/>
      </c>
      <c r="S101" s="10" t="str">
        <f t="shared" si="69"/>
        <v/>
      </c>
      <c r="T101" s="10" t="str">
        <f t="shared" si="86"/>
        <v/>
      </c>
      <c r="U101" s="10" t="str">
        <f t="shared" si="87"/>
        <v/>
      </c>
      <c r="V101" s="10" t="str">
        <f t="shared" si="70"/>
        <v/>
      </c>
      <c r="W101" s="10" t="str">
        <f t="shared" si="71"/>
        <v/>
      </c>
      <c r="X101" s="10" t="str">
        <f t="shared" si="72"/>
        <v/>
      </c>
      <c r="Y101" s="10" t="str">
        <f t="shared" si="73"/>
        <v/>
      </c>
      <c r="Z101" s="8" t="str">
        <f t="shared" si="74"/>
        <v/>
      </c>
      <c r="AA101" s="15" t="str">
        <f t="shared" si="75"/>
        <v/>
      </c>
      <c r="AB101" s="15" t="str">
        <f t="shared" si="76"/>
        <v/>
      </c>
      <c r="AC101" s="15" t="str">
        <f t="shared" si="77"/>
        <v/>
      </c>
      <c r="AD101" s="15" t="str">
        <f t="shared" si="78"/>
        <v/>
      </c>
      <c r="AE101" s="15" t="str">
        <f t="shared" si="79"/>
        <v/>
      </c>
      <c r="AF101" s="15" t="str">
        <f t="shared" si="88"/>
        <v/>
      </c>
      <c r="AG101" s="15" t="str">
        <f t="shared" si="89"/>
        <v/>
      </c>
      <c r="AH101" s="15" t="str">
        <f t="shared" si="90"/>
        <v/>
      </c>
      <c r="AI101" s="15" t="str">
        <f t="shared" si="91"/>
        <v/>
      </c>
      <c r="AJ101" s="15" t="str">
        <f t="shared" si="92"/>
        <v/>
      </c>
      <c r="AK101" s="15" t="str">
        <f t="shared" si="93"/>
        <v/>
      </c>
      <c r="AL101" t="str">
        <f>IF(P101=1,LOOKUP(K101,$AZ$1:$BI$1,$AZ$37:$BI$37)-IF(O101="",0,O101),"")</f>
        <v/>
      </c>
      <c r="AM101" s="10" t="str">
        <f t="shared" si="80"/>
        <v/>
      </c>
      <c r="AN101" s="10" t="str">
        <f>IF(AM101="","",AM101*LOOKUP(K101,$AZ$1:$BI$1,$AZ$7:$BI$7))</f>
        <v/>
      </c>
      <c r="AO101" t="str">
        <f>IF(AN101="","",AN101*LOOKUP(K101,$AZ$1:$BI$1,$AZ$8:$BI$8))</f>
        <v/>
      </c>
      <c r="AP101" t="str">
        <f>IF(AO101="","",AO101/LOOKUP(K101,$AZ$1:$BI$1,$AZ$42:$BI$42))</f>
        <v/>
      </c>
      <c r="AQ101" t="str">
        <f>IF(AO101="","",IF(LOOKUP(K101,$AZ$1:$BI$1,$AZ$37:$BI$37)=0,0.25,MAX(MIN(AP101,2.5),0.5)))</f>
        <v/>
      </c>
      <c r="AR101" t="str">
        <f t="shared" si="81"/>
        <v/>
      </c>
      <c r="AS101" t="str">
        <f t="shared" si="82"/>
        <v/>
      </c>
      <c r="AT101" t="str">
        <f t="shared" si="83"/>
        <v/>
      </c>
      <c r="AU101" t="str">
        <f>IF(OR(AT101="",AT101=0),"",INDEX($AY$1:$BI$5,MATCH(AT101,$AY$1:$AY$5,0),MATCH(K101,$AY$1:$BI$1,0)))</f>
        <v/>
      </c>
      <c r="AV101" t="str">
        <f t="shared" si="84"/>
        <v/>
      </c>
      <c r="AW101" t="str">
        <f t="shared" si="85"/>
        <v/>
      </c>
    </row>
    <row r="102" spans="5:49">
      <c r="E102" s="4" t="str">
        <f t="shared" si="64"/>
        <v/>
      </c>
      <c r="H102" s="17"/>
      <c r="I102" s="17"/>
      <c r="L102" s="23"/>
      <c r="N102" t="str">
        <f t="shared" si="65"/>
        <v/>
      </c>
      <c r="O102" t="str">
        <f t="shared" si="66"/>
        <v/>
      </c>
      <c r="P102" t="str">
        <f t="shared" si="67"/>
        <v/>
      </c>
      <c r="Q102" s="10" t="str">
        <f t="shared" si="94"/>
        <v/>
      </c>
      <c r="R102" s="10" t="str">
        <f t="shared" si="68"/>
        <v/>
      </c>
      <c r="S102" s="10" t="str">
        <f t="shared" si="69"/>
        <v/>
      </c>
      <c r="T102" s="10" t="str">
        <f t="shared" si="86"/>
        <v/>
      </c>
      <c r="U102" s="10" t="str">
        <f t="shared" si="87"/>
        <v/>
      </c>
      <c r="V102" s="10" t="str">
        <f t="shared" si="70"/>
        <v/>
      </c>
      <c r="W102" s="10" t="str">
        <f t="shared" si="71"/>
        <v/>
      </c>
      <c r="X102" s="10" t="str">
        <f t="shared" si="72"/>
        <v/>
      </c>
      <c r="Y102" s="10" t="str">
        <f t="shared" si="73"/>
        <v/>
      </c>
      <c r="Z102" s="8" t="str">
        <f t="shared" si="74"/>
        <v/>
      </c>
      <c r="AA102" s="15" t="str">
        <f t="shared" si="75"/>
        <v/>
      </c>
      <c r="AB102" s="15" t="str">
        <f t="shared" si="76"/>
        <v/>
      </c>
      <c r="AC102" s="15" t="str">
        <f t="shared" si="77"/>
        <v/>
      </c>
      <c r="AD102" s="15" t="str">
        <f t="shared" si="78"/>
        <v/>
      </c>
      <c r="AE102" s="15" t="str">
        <f t="shared" si="79"/>
        <v/>
      </c>
      <c r="AF102" s="15" t="str">
        <f t="shared" si="88"/>
        <v/>
      </c>
      <c r="AG102" s="15" t="str">
        <f t="shared" si="89"/>
        <v/>
      </c>
      <c r="AH102" s="15" t="str">
        <f t="shared" si="90"/>
        <v/>
      </c>
      <c r="AI102" s="15" t="str">
        <f t="shared" si="91"/>
        <v/>
      </c>
      <c r="AJ102" s="15" t="str">
        <f t="shared" si="92"/>
        <v/>
      </c>
      <c r="AK102" s="15" t="str">
        <f t="shared" si="93"/>
        <v/>
      </c>
      <c r="AL102" t="str">
        <f>IF(P102=1,LOOKUP(K102,$AZ$1:$BI$1,$AZ$37:$BI$37)-IF(O102="",0,O102),"")</f>
        <v/>
      </c>
      <c r="AM102" s="10" t="str">
        <f t="shared" si="80"/>
        <v/>
      </c>
      <c r="AN102" s="10" t="str">
        <f>IF(AM102="","",AM102*LOOKUP(K102,$AZ$1:$BI$1,$AZ$7:$BI$7))</f>
        <v/>
      </c>
      <c r="AO102" t="str">
        <f>IF(AN102="","",AN102*LOOKUP(K102,$AZ$1:$BI$1,$AZ$8:$BI$8))</f>
        <v/>
      </c>
      <c r="AP102" t="str">
        <f>IF(AO102="","",AO102/LOOKUP(K102,$AZ$1:$BI$1,$AZ$42:$BI$42))</f>
        <v/>
      </c>
      <c r="AQ102" t="str">
        <f>IF(AO102="","",IF(LOOKUP(K102,$AZ$1:$BI$1,$AZ$37:$BI$37)=0,0.25,MAX(MIN(AP102,2.5),0.5)))</f>
        <v/>
      </c>
      <c r="AR102" t="str">
        <f t="shared" si="81"/>
        <v/>
      </c>
      <c r="AS102" t="str">
        <f t="shared" si="82"/>
        <v/>
      </c>
      <c r="AT102" t="str">
        <f t="shared" si="83"/>
        <v/>
      </c>
      <c r="AU102" t="str">
        <f>IF(OR(AT102="",AT102=0),"",INDEX($AY$1:$BI$5,MATCH(AT102,$AY$1:$AY$5,0),MATCH(K102,$AY$1:$BI$1,0)))</f>
        <v/>
      </c>
      <c r="AV102" t="str">
        <f t="shared" si="84"/>
        <v/>
      </c>
      <c r="AW102" t="str">
        <f t="shared" si="85"/>
        <v/>
      </c>
    </row>
    <row r="103" spans="5:49">
      <c r="E103" s="4" t="str">
        <f t="shared" si="64"/>
        <v/>
      </c>
      <c r="H103" s="17"/>
      <c r="I103" s="17"/>
      <c r="L103" s="23"/>
      <c r="N103" t="str">
        <f t="shared" si="65"/>
        <v/>
      </c>
      <c r="O103" t="str">
        <f t="shared" si="66"/>
        <v/>
      </c>
      <c r="P103" t="str">
        <f t="shared" si="67"/>
        <v/>
      </c>
      <c r="Q103" s="10" t="str">
        <f t="shared" si="94"/>
        <v/>
      </c>
      <c r="R103" s="10" t="str">
        <f t="shared" si="68"/>
        <v/>
      </c>
      <c r="S103" s="10" t="str">
        <f t="shared" si="69"/>
        <v/>
      </c>
      <c r="T103" s="10" t="str">
        <f t="shared" si="86"/>
        <v/>
      </c>
      <c r="U103" s="10" t="str">
        <f t="shared" si="87"/>
        <v/>
      </c>
      <c r="V103" s="10" t="str">
        <f t="shared" si="70"/>
        <v/>
      </c>
      <c r="W103" s="10" t="str">
        <f t="shared" si="71"/>
        <v/>
      </c>
      <c r="X103" s="10" t="str">
        <f t="shared" si="72"/>
        <v/>
      </c>
      <c r="Y103" s="10" t="str">
        <f t="shared" si="73"/>
        <v/>
      </c>
      <c r="Z103" s="8" t="str">
        <f t="shared" si="74"/>
        <v/>
      </c>
      <c r="AA103" s="15" t="str">
        <f t="shared" si="75"/>
        <v/>
      </c>
      <c r="AB103" s="15" t="str">
        <f t="shared" si="76"/>
        <v/>
      </c>
      <c r="AC103" s="15" t="str">
        <f t="shared" si="77"/>
        <v/>
      </c>
      <c r="AD103" s="15" t="str">
        <f t="shared" si="78"/>
        <v/>
      </c>
      <c r="AE103" s="15" t="str">
        <f t="shared" si="79"/>
        <v/>
      </c>
      <c r="AF103" s="15" t="str">
        <f t="shared" si="88"/>
        <v/>
      </c>
      <c r="AG103" s="15" t="str">
        <f t="shared" si="89"/>
        <v/>
      </c>
      <c r="AH103" s="15" t="str">
        <f t="shared" si="90"/>
        <v/>
      </c>
      <c r="AI103" s="15" t="str">
        <f t="shared" si="91"/>
        <v/>
      </c>
      <c r="AJ103" s="15" t="str">
        <f t="shared" si="92"/>
        <v/>
      </c>
      <c r="AK103" s="15" t="str">
        <f t="shared" si="93"/>
        <v/>
      </c>
      <c r="AL103" t="str">
        <f>IF(P103=1,LOOKUP(K103,$AZ$1:$BI$1,$AZ$37:$BI$37)-IF(O103="",0,O103),"")</f>
        <v/>
      </c>
      <c r="AM103" s="10" t="str">
        <f t="shared" si="80"/>
        <v/>
      </c>
      <c r="AN103" s="10" t="str">
        <f>IF(AM103="","",AM103*LOOKUP(K103,$AZ$1:$BI$1,$AZ$7:$BI$7))</f>
        <v/>
      </c>
      <c r="AO103" t="str">
        <f>IF(AN103="","",AN103*LOOKUP(K103,$AZ$1:$BI$1,$AZ$8:$BI$8))</f>
        <v/>
      </c>
      <c r="AP103" t="str">
        <f>IF(AO103="","",AO103/LOOKUP(K103,$AZ$1:$BI$1,$AZ$42:$BI$42))</f>
        <v/>
      </c>
      <c r="AQ103" t="str">
        <f>IF(AO103="","",IF(LOOKUP(K103,$AZ$1:$BI$1,$AZ$37:$BI$37)=0,0.25,MAX(MIN(AP103,2.5),0.5)))</f>
        <v/>
      </c>
      <c r="AR103" t="str">
        <f t="shared" si="81"/>
        <v/>
      </c>
      <c r="AS103" t="str">
        <f t="shared" si="82"/>
        <v/>
      </c>
      <c r="AT103" t="str">
        <f t="shared" si="83"/>
        <v/>
      </c>
      <c r="AU103" t="str">
        <f>IF(OR(AT103="",AT103=0),"",INDEX($AY$1:$BI$5,MATCH(AT103,$AY$1:$AY$5,0),MATCH(K103,$AY$1:$BI$1,0)))</f>
        <v/>
      </c>
      <c r="AV103" t="str">
        <f t="shared" si="84"/>
        <v/>
      </c>
      <c r="AW103" t="str">
        <f t="shared" si="85"/>
        <v/>
      </c>
    </row>
    <row r="104" spans="5:49">
      <c r="E104" s="4" t="str">
        <f t="shared" si="64"/>
        <v/>
      </c>
      <c r="H104" s="17"/>
      <c r="I104" s="17"/>
      <c r="L104" s="23"/>
      <c r="N104" t="str">
        <f t="shared" si="65"/>
        <v/>
      </c>
      <c r="O104" t="str">
        <f t="shared" si="66"/>
        <v/>
      </c>
      <c r="P104" t="str">
        <f t="shared" si="67"/>
        <v/>
      </c>
      <c r="Q104" s="10" t="str">
        <f t="shared" si="94"/>
        <v/>
      </c>
      <c r="R104" s="10" t="str">
        <f t="shared" si="68"/>
        <v/>
      </c>
      <c r="S104" s="10" t="str">
        <f t="shared" si="69"/>
        <v/>
      </c>
      <c r="T104" s="10" t="str">
        <f t="shared" si="86"/>
        <v/>
      </c>
      <c r="U104" s="10" t="str">
        <f t="shared" si="87"/>
        <v/>
      </c>
      <c r="V104" s="10" t="str">
        <f t="shared" si="70"/>
        <v/>
      </c>
      <c r="W104" s="10" t="str">
        <f t="shared" si="71"/>
        <v/>
      </c>
      <c r="X104" s="10" t="str">
        <f t="shared" si="72"/>
        <v/>
      </c>
      <c r="Y104" s="10" t="str">
        <f t="shared" si="73"/>
        <v/>
      </c>
      <c r="Z104" s="8" t="str">
        <f t="shared" si="74"/>
        <v/>
      </c>
      <c r="AA104" s="15" t="str">
        <f t="shared" si="75"/>
        <v/>
      </c>
      <c r="AB104" s="15" t="str">
        <f t="shared" si="76"/>
        <v/>
      </c>
      <c r="AC104" s="15" t="str">
        <f t="shared" si="77"/>
        <v/>
      </c>
      <c r="AD104" s="15" t="str">
        <f t="shared" si="78"/>
        <v/>
      </c>
      <c r="AE104" s="15" t="str">
        <f t="shared" si="79"/>
        <v/>
      </c>
      <c r="AF104" s="15" t="str">
        <f t="shared" si="88"/>
        <v/>
      </c>
      <c r="AG104" s="15" t="str">
        <f t="shared" si="89"/>
        <v/>
      </c>
      <c r="AH104" s="15" t="str">
        <f t="shared" si="90"/>
        <v/>
      </c>
      <c r="AI104" s="15" t="str">
        <f t="shared" si="91"/>
        <v/>
      </c>
      <c r="AJ104" s="15" t="str">
        <f t="shared" si="92"/>
        <v/>
      </c>
      <c r="AK104" s="15" t="str">
        <f t="shared" si="93"/>
        <v/>
      </c>
      <c r="AL104" t="str">
        <f>IF(P104=1,LOOKUP(K104,$AZ$1:$BI$1,$AZ$37:$BI$37)-IF(O104="",0,O104),"")</f>
        <v/>
      </c>
      <c r="AM104" s="10" t="str">
        <f t="shared" si="80"/>
        <v/>
      </c>
      <c r="AN104" s="10" t="str">
        <f>IF(AM104="","",AM104*LOOKUP(K104,$AZ$1:$BI$1,$AZ$7:$BI$7))</f>
        <v/>
      </c>
      <c r="AO104" t="str">
        <f>IF(AN104="","",AN104*LOOKUP(K104,$AZ$1:$BI$1,$AZ$8:$BI$8))</f>
        <v/>
      </c>
      <c r="AP104" t="str">
        <f>IF(AO104="","",AO104/LOOKUP(K104,$AZ$1:$BI$1,$AZ$42:$BI$42))</f>
        <v/>
      </c>
      <c r="AQ104" t="str">
        <f>IF(AO104="","",IF(LOOKUP(K104,$AZ$1:$BI$1,$AZ$37:$BI$37)=0,0.25,MAX(MIN(AP104,2.5),0.5)))</f>
        <v/>
      </c>
      <c r="AR104" t="str">
        <f t="shared" si="81"/>
        <v/>
      </c>
      <c r="AS104" t="str">
        <f t="shared" si="82"/>
        <v/>
      </c>
      <c r="AT104" t="str">
        <f t="shared" si="83"/>
        <v/>
      </c>
      <c r="AU104" t="str">
        <f>IF(OR(AT104="",AT104=0),"",INDEX($AY$1:$BI$5,MATCH(AT104,$AY$1:$AY$5,0),MATCH(K104,$AY$1:$BI$1,0)))</f>
        <v/>
      </c>
      <c r="AV104" t="str">
        <f t="shared" si="84"/>
        <v/>
      </c>
      <c r="AW104" t="str">
        <f t="shared" si="85"/>
        <v/>
      </c>
    </row>
    <row r="105" spans="5:49">
      <c r="E105" s="4" t="str">
        <f t="shared" si="64"/>
        <v/>
      </c>
      <c r="H105" s="17"/>
      <c r="I105" s="17"/>
      <c r="L105" s="23"/>
      <c r="N105" t="str">
        <f t="shared" si="65"/>
        <v/>
      </c>
      <c r="O105" t="str">
        <f t="shared" si="66"/>
        <v/>
      </c>
      <c r="P105" t="str">
        <f t="shared" si="67"/>
        <v/>
      </c>
      <c r="Q105" s="10" t="str">
        <f t="shared" si="94"/>
        <v/>
      </c>
      <c r="R105" s="10" t="str">
        <f t="shared" si="68"/>
        <v/>
      </c>
      <c r="S105" s="10" t="str">
        <f t="shared" si="69"/>
        <v/>
      </c>
      <c r="T105" s="10" t="str">
        <f t="shared" si="86"/>
        <v/>
      </c>
      <c r="U105" s="10" t="str">
        <f t="shared" si="87"/>
        <v/>
      </c>
      <c r="V105" s="10" t="str">
        <f t="shared" si="70"/>
        <v/>
      </c>
      <c r="W105" s="10" t="str">
        <f t="shared" si="71"/>
        <v/>
      </c>
      <c r="X105" s="10" t="str">
        <f t="shared" si="72"/>
        <v/>
      </c>
      <c r="Y105" s="10" t="str">
        <f t="shared" si="73"/>
        <v/>
      </c>
      <c r="Z105" s="8" t="str">
        <f t="shared" si="74"/>
        <v/>
      </c>
      <c r="AA105" s="15" t="str">
        <f t="shared" si="75"/>
        <v/>
      </c>
      <c r="AB105" s="15" t="str">
        <f t="shared" si="76"/>
        <v/>
      </c>
      <c r="AC105" s="15" t="str">
        <f t="shared" si="77"/>
        <v/>
      </c>
      <c r="AD105" s="15" t="str">
        <f t="shared" si="78"/>
        <v/>
      </c>
      <c r="AE105" s="15" t="str">
        <f t="shared" si="79"/>
        <v/>
      </c>
      <c r="AF105" s="15" t="str">
        <f t="shared" si="88"/>
        <v/>
      </c>
      <c r="AG105" s="15" t="str">
        <f t="shared" si="89"/>
        <v/>
      </c>
      <c r="AH105" s="15" t="str">
        <f t="shared" si="90"/>
        <v/>
      </c>
      <c r="AI105" s="15" t="str">
        <f t="shared" si="91"/>
        <v/>
      </c>
      <c r="AJ105" s="15" t="str">
        <f t="shared" si="92"/>
        <v/>
      </c>
      <c r="AK105" s="15" t="str">
        <f t="shared" si="93"/>
        <v/>
      </c>
      <c r="AL105" t="str">
        <f>IF(P105=1,LOOKUP(K105,$AZ$1:$BI$1,$AZ$37:$BI$37)-IF(O105="",0,O105),"")</f>
        <v/>
      </c>
      <c r="AM105" s="10" t="str">
        <f t="shared" si="80"/>
        <v/>
      </c>
      <c r="AN105" s="10" t="str">
        <f>IF(AM105="","",AM105*LOOKUP(K105,$AZ$1:$BI$1,$AZ$7:$BI$7))</f>
        <v/>
      </c>
      <c r="AO105" t="str">
        <f>IF(AN105="","",AN105*LOOKUP(K105,$AZ$1:$BI$1,$AZ$8:$BI$8))</f>
        <v/>
      </c>
      <c r="AP105" t="str">
        <f>IF(AO105="","",AO105/LOOKUP(K105,$AZ$1:$BI$1,$AZ$42:$BI$42))</f>
        <v/>
      </c>
      <c r="AQ105" t="str">
        <f>IF(AO105="","",IF(LOOKUP(K105,$AZ$1:$BI$1,$AZ$37:$BI$37)=0,0.25,MAX(MIN(AP105,2.5),0.5)))</f>
        <v/>
      </c>
      <c r="AR105" t="str">
        <f t="shared" si="81"/>
        <v/>
      </c>
      <c r="AS105" t="str">
        <f t="shared" si="82"/>
        <v/>
      </c>
      <c r="AT105" t="str">
        <f t="shared" si="83"/>
        <v/>
      </c>
      <c r="AU105" t="str">
        <f>IF(OR(AT105="",AT105=0),"",INDEX($AY$1:$BI$5,MATCH(AT105,$AY$1:$AY$5,0),MATCH(K105,$AY$1:$BI$1,0)))</f>
        <v/>
      </c>
      <c r="AV105" t="str">
        <f t="shared" si="84"/>
        <v/>
      </c>
      <c r="AW105" t="str">
        <f t="shared" si="85"/>
        <v/>
      </c>
    </row>
    <row r="106" spans="5:49">
      <c r="E106" s="4" t="str">
        <f t="shared" si="64"/>
        <v/>
      </c>
      <c r="H106" s="17"/>
      <c r="I106" s="17"/>
      <c r="L106" s="23"/>
      <c r="N106" t="str">
        <f t="shared" si="65"/>
        <v/>
      </c>
      <c r="O106" t="str">
        <f t="shared" si="66"/>
        <v/>
      </c>
      <c r="P106" t="str">
        <f t="shared" si="67"/>
        <v/>
      </c>
      <c r="Q106" s="10" t="str">
        <f t="shared" si="94"/>
        <v/>
      </c>
      <c r="R106" s="10" t="str">
        <f t="shared" si="68"/>
        <v/>
      </c>
      <c r="S106" s="10" t="str">
        <f t="shared" si="69"/>
        <v/>
      </c>
      <c r="T106" s="10" t="str">
        <f t="shared" si="86"/>
        <v/>
      </c>
      <c r="U106" s="10" t="str">
        <f t="shared" si="87"/>
        <v/>
      </c>
      <c r="V106" s="10" t="str">
        <f t="shared" si="70"/>
        <v/>
      </c>
      <c r="W106" s="10" t="str">
        <f t="shared" si="71"/>
        <v/>
      </c>
      <c r="X106" s="10" t="str">
        <f t="shared" si="72"/>
        <v/>
      </c>
      <c r="Y106" s="10" t="str">
        <f t="shared" si="73"/>
        <v/>
      </c>
      <c r="Z106" s="8" t="str">
        <f t="shared" si="74"/>
        <v/>
      </c>
      <c r="AA106" s="15" t="str">
        <f t="shared" si="75"/>
        <v/>
      </c>
      <c r="AB106" s="15" t="str">
        <f t="shared" si="76"/>
        <v/>
      </c>
      <c r="AC106" s="15" t="str">
        <f t="shared" si="77"/>
        <v/>
      </c>
      <c r="AD106" s="15" t="str">
        <f t="shared" si="78"/>
        <v/>
      </c>
      <c r="AE106" s="15" t="str">
        <f t="shared" si="79"/>
        <v/>
      </c>
      <c r="AF106" s="15" t="str">
        <f t="shared" si="88"/>
        <v/>
      </c>
      <c r="AG106" s="15" t="str">
        <f t="shared" si="89"/>
        <v/>
      </c>
      <c r="AH106" s="15" t="str">
        <f t="shared" si="90"/>
        <v/>
      </c>
      <c r="AI106" s="15" t="str">
        <f t="shared" si="91"/>
        <v/>
      </c>
      <c r="AJ106" s="15" t="str">
        <f t="shared" si="92"/>
        <v/>
      </c>
      <c r="AK106" s="15" t="str">
        <f t="shared" si="93"/>
        <v/>
      </c>
      <c r="AL106" t="str">
        <f>IF(P106=1,LOOKUP(K106,$AZ$1:$BI$1,$AZ$37:$BI$37)-IF(O106="",0,O106),"")</f>
        <v/>
      </c>
      <c r="AM106" s="10" t="str">
        <f t="shared" si="80"/>
        <v/>
      </c>
      <c r="AN106" s="10" t="str">
        <f>IF(AM106="","",AM106*LOOKUP(K106,$AZ$1:$BI$1,$AZ$7:$BI$7))</f>
        <v/>
      </c>
      <c r="AO106" t="str">
        <f>IF(AN106="","",AN106*LOOKUP(K106,$AZ$1:$BI$1,$AZ$8:$BI$8))</f>
        <v/>
      </c>
      <c r="AP106" t="str">
        <f>IF(AO106="","",AO106/LOOKUP(K106,$AZ$1:$BI$1,$AZ$42:$BI$42))</f>
        <v/>
      </c>
      <c r="AQ106" t="str">
        <f>IF(AO106="","",IF(LOOKUP(K106,$AZ$1:$BI$1,$AZ$37:$BI$37)=0,0.25,MAX(MIN(AP106,2.5),0.5)))</f>
        <v/>
      </c>
      <c r="AR106" t="str">
        <f t="shared" si="81"/>
        <v/>
      </c>
      <c r="AS106" t="str">
        <f t="shared" si="82"/>
        <v/>
      </c>
      <c r="AT106" t="str">
        <f t="shared" si="83"/>
        <v/>
      </c>
      <c r="AU106" t="str">
        <f>IF(OR(AT106="",AT106=0),"",INDEX($AY$1:$BI$5,MATCH(AT106,$AY$1:$AY$5,0),MATCH(K106,$AY$1:$BI$1,0)))</f>
        <v/>
      </c>
      <c r="AV106" t="str">
        <f t="shared" si="84"/>
        <v/>
      </c>
      <c r="AW106" t="str">
        <f t="shared" si="85"/>
        <v/>
      </c>
    </row>
    <row r="107" spans="5:49">
      <c r="E107" s="4" t="str">
        <f t="shared" si="64"/>
        <v/>
      </c>
      <c r="H107" s="17"/>
      <c r="I107" s="17"/>
      <c r="L107" s="23"/>
      <c r="N107" t="str">
        <f t="shared" si="65"/>
        <v/>
      </c>
      <c r="O107" t="str">
        <f t="shared" si="66"/>
        <v/>
      </c>
      <c r="P107" t="str">
        <f t="shared" si="67"/>
        <v/>
      </c>
      <c r="Q107" s="10" t="str">
        <f t="shared" si="94"/>
        <v/>
      </c>
      <c r="R107" s="10" t="str">
        <f t="shared" si="68"/>
        <v/>
      </c>
      <c r="S107" s="10" t="str">
        <f t="shared" si="69"/>
        <v/>
      </c>
      <c r="T107" s="10" t="str">
        <f t="shared" si="86"/>
        <v/>
      </c>
      <c r="U107" s="10" t="str">
        <f t="shared" si="87"/>
        <v/>
      </c>
      <c r="V107" s="10" t="str">
        <f t="shared" si="70"/>
        <v/>
      </c>
      <c r="W107" s="10" t="str">
        <f t="shared" si="71"/>
        <v/>
      </c>
      <c r="X107" s="10" t="str">
        <f t="shared" si="72"/>
        <v/>
      </c>
      <c r="Y107" s="10" t="str">
        <f t="shared" si="73"/>
        <v/>
      </c>
      <c r="Z107" s="8" t="str">
        <f t="shared" si="74"/>
        <v/>
      </c>
      <c r="AA107" s="15" t="str">
        <f t="shared" si="75"/>
        <v/>
      </c>
      <c r="AB107" s="15" t="str">
        <f t="shared" si="76"/>
        <v/>
      </c>
      <c r="AC107" s="15" t="str">
        <f t="shared" si="77"/>
        <v/>
      </c>
      <c r="AD107" s="15" t="str">
        <f t="shared" si="78"/>
        <v/>
      </c>
      <c r="AE107" s="15" t="str">
        <f t="shared" si="79"/>
        <v/>
      </c>
      <c r="AF107" s="15" t="str">
        <f t="shared" si="88"/>
        <v/>
      </c>
      <c r="AG107" s="15" t="str">
        <f t="shared" si="89"/>
        <v/>
      </c>
      <c r="AH107" s="15" t="str">
        <f t="shared" si="90"/>
        <v/>
      </c>
      <c r="AI107" s="15" t="str">
        <f t="shared" si="91"/>
        <v/>
      </c>
      <c r="AJ107" s="15" t="str">
        <f t="shared" si="92"/>
        <v/>
      </c>
      <c r="AK107" s="15" t="str">
        <f t="shared" si="93"/>
        <v/>
      </c>
      <c r="AL107" t="str">
        <f>IF(P107=1,LOOKUP(K107,$AZ$1:$BI$1,$AZ$37:$BI$37)-IF(O107="",0,O107),"")</f>
        <v/>
      </c>
      <c r="AM107" s="10" t="str">
        <f t="shared" si="80"/>
        <v/>
      </c>
      <c r="AN107" s="10" t="str">
        <f>IF(AM107="","",AM107*LOOKUP(K107,$AZ$1:$BI$1,$AZ$7:$BI$7))</f>
        <v/>
      </c>
      <c r="AO107" t="str">
        <f>IF(AN107="","",AN107*LOOKUP(K107,$AZ$1:$BI$1,$AZ$8:$BI$8))</f>
        <v/>
      </c>
      <c r="AP107" t="str">
        <f>IF(AO107="","",AO107/LOOKUP(K107,$AZ$1:$BI$1,$AZ$42:$BI$42))</f>
        <v/>
      </c>
      <c r="AQ107" t="str">
        <f>IF(AO107="","",IF(LOOKUP(K107,$AZ$1:$BI$1,$AZ$37:$BI$37)=0,0.25,MAX(MIN(AP107,2.5),0.5)))</f>
        <v/>
      </c>
      <c r="AR107" t="str">
        <f t="shared" si="81"/>
        <v/>
      </c>
      <c r="AS107" t="str">
        <f t="shared" si="82"/>
        <v/>
      </c>
      <c r="AT107" t="str">
        <f t="shared" si="83"/>
        <v/>
      </c>
      <c r="AU107" t="str">
        <f>IF(OR(AT107="",AT107=0),"",INDEX($AY$1:$BI$5,MATCH(AT107,$AY$1:$AY$5,0),MATCH(K107,$AY$1:$BI$1,0)))</f>
        <v/>
      </c>
      <c r="AV107" t="str">
        <f t="shared" si="84"/>
        <v/>
      </c>
      <c r="AW107" t="str">
        <f t="shared" si="85"/>
        <v/>
      </c>
    </row>
    <row r="108" spans="5:49">
      <c r="E108" s="4" t="str">
        <f t="shared" si="64"/>
        <v/>
      </c>
      <c r="H108" s="17"/>
      <c r="I108" s="17"/>
      <c r="L108" s="23"/>
      <c r="N108" t="str">
        <f t="shared" si="65"/>
        <v/>
      </c>
      <c r="O108" t="str">
        <f t="shared" si="66"/>
        <v/>
      </c>
      <c r="P108" t="str">
        <f t="shared" si="67"/>
        <v/>
      </c>
      <c r="Q108" s="10" t="str">
        <f t="shared" si="94"/>
        <v/>
      </c>
      <c r="R108" s="10" t="str">
        <f t="shared" si="68"/>
        <v/>
      </c>
      <c r="S108" s="10" t="str">
        <f t="shared" si="69"/>
        <v/>
      </c>
      <c r="T108" s="10" t="str">
        <f t="shared" si="86"/>
        <v/>
      </c>
      <c r="U108" s="10" t="str">
        <f t="shared" si="87"/>
        <v/>
      </c>
      <c r="V108" s="10" t="str">
        <f t="shared" si="70"/>
        <v/>
      </c>
      <c r="W108" s="10" t="str">
        <f t="shared" si="71"/>
        <v/>
      </c>
      <c r="X108" s="10" t="str">
        <f t="shared" si="72"/>
        <v/>
      </c>
      <c r="Y108" s="10" t="str">
        <f t="shared" si="73"/>
        <v/>
      </c>
      <c r="Z108" s="8" t="str">
        <f t="shared" si="74"/>
        <v/>
      </c>
      <c r="AA108" s="15" t="str">
        <f t="shared" si="75"/>
        <v/>
      </c>
      <c r="AB108" s="15" t="str">
        <f t="shared" si="76"/>
        <v/>
      </c>
      <c r="AC108" s="15" t="str">
        <f t="shared" si="77"/>
        <v/>
      </c>
      <c r="AD108" s="15" t="str">
        <f t="shared" si="78"/>
        <v/>
      </c>
      <c r="AE108" s="15" t="str">
        <f t="shared" si="79"/>
        <v/>
      </c>
      <c r="AF108" s="15" t="str">
        <f t="shared" si="88"/>
        <v/>
      </c>
      <c r="AG108" s="15" t="str">
        <f t="shared" si="89"/>
        <v/>
      </c>
      <c r="AH108" s="15" t="str">
        <f t="shared" si="90"/>
        <v/>
      </c>
      <c r="AI108" s="15" t="str">
        <f t="shared" si="91"/>
        <v/>
      </c>
      <c r="AJ108" s="15" t="str">
        <f t="shared" si="92"/>
        <v/>
      </c>
      <c r="AK108" s="15" t="str">
        <f t="shared" si="93"/>
        <v/>
      </c>
      <c r="AL108" t="str">
        <f>IF(P108=1,LOOKUP(K108,$AZ$1:$BI$1,$AZ$37:$BI$37)-IF(O108="",0,O108),"")</f>
        <v/>
      </c>
      <c r="AM108" s="10" t="str">
        <f t="shared" si="80"/>
        <v/>
      </c>
      <c r="AN108" s="10" t="str">
        <f>IF(AM108="","",AM108*LOOKUP(K108,$AZ$1:$BI$1,$AZ$7:$BI$7))</f>
        <v/>
      </c>
      <c r="AO108" t="str">
        <f>IF(AN108="","",AN108*LOOKUP(K108,$AZ$1:$BI$1,$AZ$8:$BI$8))</f>
        <v/>
      </c>
      <c r="AP108" t="str">
        <f>IF(AO108="","",AO108/LOOKUP(K108,$AZ$1:$BI$1,$AZ$42:$BI$42))</f>
        <v/>
      </c>
      <c r="AQ108" t="str">
        <f>IF(AO108="","",IF(LOOKUP(K108,$AZ$1:$BI$1,$AZ$37:$BI$37)=0,0.25,MAX(MIN(AP108,2.5),0.5)))</f>
        <v/>
      </c>
      <c r="AR108" t="str">
        <f t="shared" si="81"/>
        <v/>
      </c>
      <c r="AS108" t="str">
        <f t="shared" si="82"/>
        <v/>
      </c>
      <c r="AT108" t="str">
        <f t="shared" si="83"/>
        <v/>
      </c>
      <c r="AU108" t="str">
        <f>IF(OR(AT108="",AT108=0),"",INDEX($AY$1:$BI$5,MATCH(AT108,$AY$1:$AY$5,0),MATCH(K108,$AY$1:$BI$1,0)))</f>
        <v/>
      </c>
      <c r="AV108" t="str">
        <f t="shared" si="84"/>
        <v/>
      </c>
      <c r="AW108" t="str">
        <f t="shared" si="85"/>
        <v/>
      </c>
    </row>
    <row r="109" spans="5:49">
      <c r="E109" s="4" t="str">
        <f t="shared" si="64"/>
        <v/>
      </c>
      <c r="H109" s="17"/>
      <c r="I109" s="17"/>
      <c r="L109" s="23"/>
      <c r="N109" t="str">
        <f t="shared" si="65"/>
        <v/>
      </c>
      <c r="O109" t="str">
        <f t="shared" si="66"/>
        <v/>
      </c>
      <c r="P109" t="str">
        <f t="shared" si="67"/>
        <v/>
      </c>
      <c r="Q109" s="10" t="str">
        <f t="shared" si="94"/>
        <v/>
      </c>
      <c r="R109" s="10" t="str">
        <f t="shared" si="68"/>
        <v/>
      </c>
      <c r="S109" s="10" t="str">
        <f t="shared" si="69"/>
        <v/>
      </c>
      <c r="T109" s="10" t="str">
        <f t="shared" si="86"/>
        <v/>
      </c>
      <c r="U109" s="10" t="str">
        <f t="shared" si="87"/>
        <v/>
      </c>
      <c r="V109" s="10" t="str">
        <f t="shared" si="70"/>
        <v/>
      </c>
      <c r="W109" s="10" t="str">
        <f t="shared" si="71"/>
        <v/>
      </c>
      <c r="X109" s="10" t="str">
        <f t="shared" si="72"/>
        <v/>
      </c>
      <c r="Y109" s="10" t="str">
        <f t="shared" si="73"/>
        <v/>
      </c>
      <c r="Z109" s="8" t="str">
        <f t="shared" si="74"/>
        <v/>
      </c>
      <c r="AA109" s="15" t="str">
        <f t="shared" si="75"/>
        <v/>
      </c>
      <c r="AB109" s="15" t="str">
        <f t="shared" si="76"/>
        <v/>
      </c>
      <c r="AC109" s="15" t="str">
        <f t="shared" si="77"/>
        <v/>
      </c>
      <c r="AD109" s="15" t="str">
        <f t="shared" si="78"/>
        <v/>
      </c>
      <c r="AE109" s="15" t="str">
        <f t="shared" si="79"/>
        <v/>
      </c>
      <c r="AF109" s="15" t="str">
        <f t="shared" si="88"/>
        <v/>
      </c>
      <c r="AG109" s="15" t="str">
        <f t="shared" si="89"/>
        <v/>
      </c>
      <c r="AH109" s="15" t="str">
        <f t="shared" si="90"/>
        <v/>
      </c>
      <c r="AI109" s="15" t="str">
        <f t="shared" si="91"/>
        <v/>
      </c>
      <c r="AJ109" s="15" t="str">
        <f t="shared" si="92"/>
        <v/>
      </c>
      <c r="AK109" s="15" t="str">
        <f t="shared" si="93"/>
        <v/>
      </c>
      <c r="AL109" t="str">
        <f>IF(P109=1,LOOKUP(K109,$AZ$1:$BI$1,$AZ$37:$BI$37)-IF(O109="",0,O109),"")</f>
        <v/>
      </c>
      <c r="AM109" s="10" t="str">
        <f t="shared" si="80"/>
        <v/>
      </c>
      <c r="AN109" s="10" t="str">
        <f>IF(AM109="","",AM109*LOOKUP(K109,$AZ$1:$BI$1,$AZ$7:$BI$7))</f>
        <v/>
      </c>
      <c r="AO109" t="str">
        <f>IF(AN109="","",AN109*LOOKUP(K109,$AZ$1:$BI$1,$AZ$8:$BI$8))</f>
        <v/>
      </c>
      <c r="AP109" t="str">
        <f>IF(AO109="","",AO109/LOOKUP(K109,$AZ$1:$BI$1,$AZ$42:$BI$42))</f>
        <v/>
      </c>
      <c r="AQ109" t="str">
        <f>IF(AO109="","",IF(LOOKUP(K109,$AZ$1:$BI$1,$AZ$37:$BI$37)=0,0.25,MAX(MIN(AP109,2.5),0.5)))</f>
        <v/>
      </c>
      <c r="AR109" t="str">
        <f t="shared" si="81"/>
        <v/>
      </c>
      <c r="AS109" t="str">
        <f t="shared" si="82"/>
        <v/>
      </c>
      <c r="AT109" t="str">
        <f t="shared" si="83"/>
        <v/>
      </c>
      <c r="AU109" t="str">
        <f>IF(OR(AT109="",AT109=0),"",INDEX($AY$1:$BI$5,MATCH(AT109,$AY$1:$AY$5,0),MATCH(K109,$AY$1:$BI$1,0)))</f>
        <v/>
      </c>
      <c r="AV109" t="str">
        <f t="shared" si="84"/>
        <v/>
      </c>
      <c r="AW109" t="str">
        <f t="shared" si="85"/>
        <v/>
      </c>
    </row>
    <row r="110" spans="5:49">
      <c r="E110" s="4" t="str">
        <f t="shared" si="64"/>
        <v/>
      </c>
      <c r="H110" s="17"/>
      <c r="I110" s="17"/>
      <c r="L110" s="23"/>
      <c r="N110" t="str">
        <f t="shared" si="65"/>
        <v/>
      </c>
      <c r="O110" t="str">
        <f t="shared" si="66"/>
        <v/>
      </c>
      <c r="P110" t="str">
        <f t="shared" si="67"/>
        <v/>
      </c>
      <c r="Q110" s="10" t="str">
        <f t="shared" si="94"/>
        <v/>
      </c>
      <c r="R110" s="10" t="str">
        <f t="shared" si="68"/>
        <v/>
      </c>
      <c r="S110" s="10" t="str">
        <f t="shared" si="69"/>
        <v/>
      </c>
      <c r="T110" s="10" t="str">
        <f t="shared" si="86"/>
        <v/>
      </c>
      <c r="U110" s="10" t="str">
        <f t="shared" si="87"/>
        <v/>
      </c>
      <c r="V110" s="10" t="str">
        <f t="shared" si="70"/>
        <v/>
      </c>
      <c r="W110" s="10" t="str">
        <f t="shared" si="71"/>
        <v/>
      </c>
      <c r="X110" s="10" t="str">
        <f t="shared" si="72"/>
        <v/>
      </c>
      <c r="Y110" s="10" t="str">
        <f t="shared" si="73"/>
        <v/>
      </c>
      <c r="Z110" s="8" t="str">
        <f t="shared" si="74"/>
        <v/>
      </c>
      <c r="AA110" s="15" t="str">
        <f t="shared" si="75"/>
        <v/>
      </c>
      <c r="AB110" s="15" t="str">
        <f t="shared" si="76"/>
        <v/>
      </c>
      <c r="AC110" s="15" t="str">
        <f t="shared" si="77"/>
        <v/>
      </c>
      <c r="AD110" s="15" t="str">
        <f t="shared" si="78"/>
        <v/>
      </c>
      <c r="AE110" s="15" t="str">
        <f t="shared" si="79"/>
        <v/>
      </c>
      <c r="AF110" s="15" t="str">
        <f t="shared" si="88"/>
        <v/>
      </c>
      <c r="AG110" s="15" t="str">
        <f t="shared" si="89"/>
        <v/>
      </c>
      <c r="AH110" s="15" t="str">
        <f t="shared" si="90"/>
        <v/>
      </c>
      <c r="AI110" s="15" t="str">
        <f t="shared" si="91"/>
        <v/>
      </c>
      <c r="AJ110" s="15" t="str">
        <f t="shared" si="92"/>
        <v/>
      </c>
      <c r="AK110" s="15" t="str">
        <f t="shared" si="93"/>
        <v/>
      </c>
      <c r="AL110" t="str">
        <f>IF(P110=1,LOOKUP(K110,$AZ$1:$BI$1,$AZ$37:$BI$37)-IF(O110="",0,O110),"")</f>
        <v/>
      </c>
      <c r="AM110" s="10" t="str">
        <f t="shared" si="80"/>
        <v/>
      </c>
      <c r="AN110" s="10" t="str">
        <f>IF(AM110="","",AM110*LOOKUP(K110,$AZ$1:$BI$1,$AZ$7:$BI$7))</f>
        <v/>
      </c>
      <c r="AO110" t="str">
        <f>IF(AN110="","",AN110*LOOKUP(K110,$AZ$1:$BI$1,$AZ$8:$BI$8))</f>
        <v/>
      </c>
      <c r="AP110" t="str">
        <f>IF(AO110="","",AO110/LOOKUP(K110,$AZ$1:$BI$1,$AZ$42:$BI$42))</f>
        <v/>
      </c>
      <c r="AQ110" t="str">
        <f>IF(AO110="","",IF(LOOKUP(K110,$AZ$1:$BI$1,$AZ$37:$BI$37)=0,0.25,MAX(MIN(AP110,2.5),0.5)))</f>
        <v/>
      </c>
      <c r="AR110" t="str">
        <f t="shared" si="81"/>
        <v/>
      </c>
      <c r="AS110" t="str">
        <f t="shared" si="82"/>
        <v/>
      </c>
      <c r="AT110" t="str">
        <f t="shared" si="83"/>
        <v/>
      </c>
      <c r="AU110" t="str">
        <f>IF(OR(AT110="",AT110=0),"",INDEX($AY$1:$BI$5,MATCH(AT110,$AY$1:$AY$5,0),MATCH(K110,$AY$1:$BI$1,0)))</f>
        <v/>
      </c>
      <c r="AV110" t="str">
        <f t="shared" si="84"/>
        <v/>
      </c>
      <c r="AW110" t="str">
        <f t="shared" si="85"/>
        <v/>
      </c>
    </row>
    <row r="111" spans="5:49">
      <c r="E111" s="4" t="str">
        <f t="shared" si="64"/>
        <v/>
      </c>
      <c r="H111" s="17"/>
      <c r="I111" s="17"/>
      <c r="L111" s="23"/>
      <c r="N111" t="str">
        <f t="shared" si="65"/>
        <v/>
      </c>
      <c r="O111" t="str">
        <f t="shared" si="66"/>
        <v/>
      </c>
      <c r="P111" t="str">
        <f t="shared" si="67"/>
        <v/>
      </c>
      <c r="Q111" s="10" t="str">
        <f t="shared" si="94"/>
        <v/>
      </c>
      <c r="R111" s="10" t="str">
        <f t="shared" si="68"/>
        <v/>
      </c>
      <c r="S111" s="10" t="str">
        <f t="shared" si="69"/>
        <v/>
      </c>
      <c r="T111" s="10" t="str">
        <f t="shared" si="86"/>
        <v/>
      </c>
      <c r="U111" s="10" t="str">
        <f t="shared" si="87"/>
        <v/>
      </c>
      <c r="V111" s="10" t="str">
        <f t="shared" si="70"/>
        <v/>
      </c>
      <c r="W111" s="10" t="str">
        <f t="shared" si="71"/>
        <v/>
      </c>
      <c r="X111" s="10" t="str">
        <f t="shared" si="72"/>
        <v/>
      </c>
      <c r="Y111" s="10" t="str">
        <f t="shared" si="73"/>
        <v/>
      </c>
      <c r="Z111" s="8" t="str">
        <f t="shared" si="74"/>
        <v/>
      </c>
      <c r="AA111" s="15" t="str">
        <f t="shared" si="75"/>
        <v/>
      </c>
      <c r="AB111" s="15" t="str">
        <f t="shared" si="76"/>
        <v/>
      </c>
      <c r="AC111" s="15" t="str">
        <f t="shared" si="77"/>
        <v/>
      </c>
      <c r="AD111" s="15" t="str">
        <f t="shared" si="78"/>
        <v/>
      </c>
      <c r="AE111" s="15" t="str">
        <f t="shared" si="79"/>
        <v/>
      </c>
      <c r="AF111" s="15" t="str">
        <f t="shared" si="88"/>
        <v/>
      </c>
      <c r="AG111" s="15" t="str">
        <f t="shared" si="89"/>
        <v/>
      </c>
      <c r="AH111" s="15" t="str">
        <f t="shared" si="90"/>
        <v/>
      </c>
      <c r="AI111" s="15" t="str">
        <f t="shared" si="91"/>
        <v/>
      </c>
      <c r="AJ111" s="15" t="str">
        <f t="shared" si="92"/>
        <v/>
      </c>
      <c r="AK111" s="15" t="str">
        <f t="shared" si="93"/>
        <v/>
      </c>
      <c r="AL111" t="str">
        <f>IF(P111=1,LOOKUP(K111,$AZ$1:$BI$1,$AZ$37:$BI$37)-IF(O111="",0,O111),"")</f>
        <v/>
      </c>
      <c r="AM111" s="10" t="str">
        <f t="shared" si="80"/>
        <v/>
      </c>
      <c r="AN111" s="10" t="str">
        <f>IF(AM111="","",AM111*LOOKUP(K111,$AZ$1:$BI$1,$AZ$7:$BI$7))</f>
        <v/>
      </c>
      <c r="AO111" t="str">
        <f>IF(AN111="","",AN111*LOOKUP(K111,$AZ$1:$BI$1,$AZ$8:$BI$8))</f>
        <v/>
      </c>
      <c r="AP111" t="str">
        <f>IF(AO111="","",AO111/LOOKUP(K111,$AZ$1:$BI$1,$AZ$42:$BI$42))</f>
        <v/>
      </c>
      <c r="AQ111" t="str">
        <f>IF(AO111="","",IF(LOOKUP(K111,$AZ$1:$BI$1,$AZ$37:$BI$37)=0,0.25,MAX(MIN(AP111,2.5),0.5)))</f>
        <v/>
      </c>
      <c r="AR111" t="str">
        <f t="shared" si="81"/>
        <v/>
      </c>
      <c r="AS111" t="str">
        <f t="shared" si="82"/>
        <v/>
      </c>
      <c r="AT111" t="str">
        <f t="shared" si="83"/>
        <v/>
      </c>
      <c r="AU111" t="str">
        <f>IF(OR(AT111="",AT111=0),"",INDEX($AY$1:$BI$5,MATCH(AT111,$AY$1:$AY$5,0),MATCH(K111,$AY$1:$BI$1,0)))</f>
        <v/>
      </c>
      <c r="AV111" t="str">
        <f t="shared" si="84"/>
        <v/>
      </c>
      <c r="AW111" t="str">
        <f t="shared" si="85"/>
        <v/>
      </c>
    </row>
    <row r="112" spans="5:49">
      <c r="E112" s="4" t="str">
        <f t="shared" si="64"/>
        <v/>
      </c>
      <c r="H112" s="17"/>
      <c r="I112" s="17"/>
      <c r="L112" s="23"/>
      <c r="N112" t="str">
        <f t="shared" si="65"/>
        <v/>
      </c>
      <c r="O112" t="str">
        <f t="shared" si="66"/>
        <v/>
      </c>
      <c r="P112" t="str">
        <f t="shared" si="67"/>
        <v/>
      </c>
      <c r="Q112" s="10" t="str">
        <f t="shared" si="94"/>
        <v/>
      </c>
      <c r="R112" s="10" t="str">
        <f t="shared" si="68"/>
        <v/>
      </c>
      <c r="S112" s="10" t="str">
        <f t="shared" si="69"/>
        <v/>
      </c>
      <c r="T112" s="10" t="str">
        <f t="shared" si="86"/>
        <v/>
      </c>
      <c r="U112" s="10" t="str">
        <f t="shared" si="87"/>
        <v/>
      </c>
      <c r="V112" s="10" t="str">
        <f t="shared" si="70"/>
        <v/>
      </c>
      <c r="W112" s="10" t="str">
        <f t="shared" si="71"/>
        <v/>
      </c>
      <c r="X112" s="10" t="str">
        <f t="shared" si="72"/>
        <v/>
      </c>
      <c r="Y112" s="10" t="str">
        <f t="shared" si="73"/>
        <v/>
      </c>
      <c r="Z112" s="8" t="str">
        <f t="shared" si="74"/>
        <v/>
      </c>
      <c r="AA112" s="15" t="str">
        <f t="shared" si="75"/>
        <v/>
      </c>
      <c r="AB112" s="15" t="str">
        <f t="shared" si="76"/>
        <v/>
      </c>
      <c r="AC112" s="15" t="str">
        <f t="shared" si="77"/>
        <v/>
      </c>
      <c r="AD112" s="15" t="str">
        <f t="shared" si="78"/>
        <v/>
      </c>
      <c r="AE112" s="15" t="str">
        <f t="shared" si="79"/>
        <v/>
      </c>
      <c r="AF112" s="15" t="str">
        <f t="shared" si="88"/>
        <v/>
      </c>
      <c r="AG112" s="15" t="str">
        <f t="shared" si="89"/>
        <v/>
      </c>
      <c r="AH112" s="15" t="str">
        <f t="shared" si="90"/>
        <v/>
      </c>
      <c r="AI112" s="15" t="str">
        <f t="shared" si="91"/>
        <v/>
      </c>
      <c r="AJ112" s="15" t="str">
        <f t="shared" si="92"/>
        <v/>
      </c>
      <c r="AK112" s="15" t="str">
        <f t="shared" si="93"/>
        <v/>
      </c>
      <c r="AL112" t="str">
        <f>IF(P112=1,LOOKUP(K112,$AZ$1:$BI$1,$AZ$37:$BI$37)-IF(O112="",0,O112),"")</f>
        <v/>
      </c>
      <c r="AM112" s="10" t="str">
        <f t="shared" si="80"/>
        <v/>
      </c>
      <c r="AN112" s="10" t="str">
        <f>IF(AM112="","",AM112*LOOKUP(K112,$AZ$1:$BI$1,$AZ$7:$BI$7))</f>
        <v/>
      </c>
      <c r="AO112" t="str">
        <f>IF(AN112="","",AN112*LOOKUP(K112,$AZ$1:$BI$1,$AZ$8:$BI$8))</f>
        <v/>
      </c>
      <c r="AP112" t="str">
        <f>IF(AO112="","",AO112/LOOKUP(K112,$AZ$1:$BI$1,$AZ$42:$BI$42))</f>
        <v/>
      </c>
      <c r="AQ112" t="str">
        <f>IF(AO112="","",IF(LOOKUP(K112,$AZ$1:$BI$1,$AZ$37:$BI$37)=0,0.25,MAX(MIN(AP112,2.5),0.5)))</f>
        <v/>
      </c>
      <c r="AR112" t="str">
        <f t="shared" si="81"/>
        <v/>
      </c>
      <c r="AS112" t="str">
        <f t="shared" si="82"/>
        <v/>
      </c>
      <c r="AT112" t="str">
        <f t="shared" si="83"/>
        <v/>
      </c>
      <c r="AU112" t="str">
        <f>IF(OR(AT112="",AT112=0),"",INDEX($AY$1:$BI$5,MATCH(AT112,$AY$1:$AY$5,0),MATCH(K112,$AY$1:$BI$1,0)))</f>
        <v/>
      </c>
      <c r="AV112" t="str">
        <f t="shared" si="84"/>
        <v/>
      </c>
      <c r="AW112" t="str">
        <f t="shared" si="85"/>
        <v/>
      </c>
    </row>
    <row r="113" spans="5:49">
      <c r="E113" s="4" t="str">
        <f t="shared" si="64"/>
        <v/>
      </c>
      <c r="H113" s="17"/>
      <c r="I113" s="17"/>
      <c r="L113" s="23"/>
      <c r="N113" t="str">
        <f t="shared" si="65"/>
        <v/>
      </c>
      <c r="O113" t="str">
        <f t="shared" si="66"/>
        <v/>
      </c>
      <c r="P113" t="str">
        <f t="shared" si="67"/>
        <v/>
      </c>
      <c r="Q113" s="10" t="str">
        <f t="shared" si="94"/>
        <v/>
      </c>
      <c r="R113" s="10" t="str">
        <f t="shared" si="68"/>
        <v/>
      </c>
      <c r="S113" s="10" t="str">
        <f t="shared" si="69"/>
        <v/>
      </c>
      <c r="T113" s="10" t="str">
        <f t="shared" si="86"/>
        <v/>
      </c>
      <c r="U113" s="10" t="str">
        <f t="shared" si="87"/>
        <v/>
      </c>
      <c r="V113" s="10" t="str">
        <f t="shared" si="70"/>
        <v/>
      </c>
      <c r="W113" s="10" t="str">
        <f t="shared" si="71"/>
        <v/>
      </c>
      <c r="X113" s="10" t="str">
        <f t="shared" si="72"/>
        <v/>
      </c>
      <c r="Y113" s="10" t="str">
        <f t="shared" si="73"/>
        <v/>
      </c>
      <c r="Z113" s="8" t="str">
        <f t="shared" si="74"/>
        <v/>
      </c>
      <c r="AA113" s="15" t="str">
        <f t="shared" si="75"/>
        <v/>
      </c>
      <c r="AB113" s="15" t="str">
        <f t="shared" si="76"/>
        <v/>
      </c>
      <c r="AC113" s="15" t="str">
        <f t="shared" si="77"/>
        <v/>
      </c>
      <c r="AD113" s="15" t="str">
        <f t="shared" si="78"/>
        <v/>
      </c>
      <c r="AE113" s="15" t="str">
        <f t="shared" si="79"/>
        <v/>
      </c>
      <c r="AF113" s="15" t="str">
        <f t="shared" si="88"/>
        <v/>
      </c>
      <c r="AG113" s="15" t="str">
        <f t="shared" si="89"/>
        <v/>
      </c>
      <c r="AH113" s="15" t="str">
        <f t="shared" si="90"/>
        <v/>
      </c>
      <c r="AI113" s="15" t="str">
        <f t="shared" si="91"/>
        <v/>
      </c>
      <c r="AJ113" s="15" t="str">
        <f t="shared" si="92"/>
        <v/>
      </c>
      <c r="AK113" s="15" t="str">
        <f t="shared" si="93"/>
        <v/>
      </c>
      <c r="AL113" t="str">
        <f>IF(P113=1,LOOKUP(K113,$AZ$1:$BI$1,$AZ$37:$BI$37)-IF(O113="",0,O113),"")</f>
        <v/>
      </c>
      <c r="AM113" s="10" t="str">
        <f t="shared" si="80"/>
        <v/>
      </c>
      <c r="AN113" s="10" t="str">
        <f>IF(AM113="","",AM113*LOOKUP(K113,$AZ$1:$BI$1,$AZ$7:$BI$7))</f>
        <v/>
      </c>
      <c r="AO113" t="str">
        <f>IF(AN113="","",AN113*LOOKUP(K113,$AZ$1:$BI$1,$AZ$8:$BI$8))</f>
        <v/>
      </c>
      <c r="AP113" t="str">
        <f>IF(AO113="","",AO113/LOOKUP(K113,$AZ$1:$BI$1,$AZ$42:$BI$42))</f>
        <v/>
      </c>
      <c r="AQ113" t="str">
        <f>IF(AO113="","",IF(LOOKUP(K113,$AZ$1:$BI$1,$AZ$37:$BI$37)=0,0.25,MAX(MIN(AP113,2.5),0.5)))</f>
        <v/>
      </c>
      <c r="AR113" t="str">
        <f t="shared" si="81"/>
        <v/>
      </c>
      <c r="AS113" t="str">
        <f t="shared" si="82"/>
        <v/>
      </c>
      <c r="AT113" t="str">
        <f t="shared" si="83"/>
        <v/>
      </c>
      <c r="AU113" t="str">
        <f>IF(OR(AT113="",AT113=0),"",INDEX($AY$1:$BI$5,MATCH(AT113,$AY$1:$AY$5,0),MATCH(K113,$AY$1:$BI$1,0)))</f>
        <v/>
      </c>
      <c r="AV113" t="str">
        <f t="shared" si="84"/>
        <v/>
      </c>
      <c r="AW113" t="str">
        <f t="shared" si="85"/>
        <v/>
      </c>
    </row>
    <row r="114" spans="5:49">
      <c r="E114" s="4" t="str">
        <f t="shared" si="64"/>
        <v/>
      </c>
      <c r="H114" s="17"/>
      <c r="I114" s="17"/>
      <c r="L114" s="23"/>
      <c r="N114" t="str">
        <f t="shared" si="65"/>
        <v/>
      </c>
      <c r="O114" t="str">
        <f t="shared" si="66"/>
        <v/>
      </c>
      <c r="P114" t="str">
        <f t="shared" si="67"/>
        <v/>
      </c>
      <c r="Q114" s="10" t="str">
        <f t="shared" si="94"/>
        <v/>
      </c>
      <c r="R114" s="10" t="str">
        <f t="shared" si="68"/>
        <v/>
      </c>
      <c r="S114" s="10" t="str">
        <f t="shared" si="69"/>
        <v/>
      </c>
      <c r="T114" s="10" t="str">
        <f t="shared" si="86"/>
        <v/>
      </c>
      <c r="U114" s="10" t="str">
        <f t="shared" si="87"/>
        <v/>
      </c>
      <c r="V114" s="10" t="str">
        <f t="shared" si="70"/>
        <v/>
      </c>
      <c r="W114" s="10" t="str">
        <f t="shared" si="71"/>
        <v/>
      </c>
      <c r="X114" s="10" t="str">
        <f t="shared" si="72"/>
        <v/>
      </c>
      <c r="Y114" s="10" t="str">
        <f t="shared" si="73"/>
        <v/>
      </c>
      <c r="Z114" s="8" t="str">
        <f t="shared" si="74"/>
        <v/>
      </c>
      <c r="AA114" s="15" t="str">
        <f t="shared" si="75"/>
        <v/>
      </c>
      <c r="AB114" s="15" t="str">
        <f t="shared" si="76"/>
        <v/>
      </c>
      <c r="AC114" s="15" t="str">
        <f t="shared" si="77"/>
        <v/>
      </c>
      <c r="AD114" s="15" t="str">
        <f t="shared" si="78"/>
        <v/>
      </c>
      <c r="AE114" s="15" t="str">
        <f t="shared" si="79"/>
        <v/>
      </c>
      <c r="AF114" s="15" t="str">
        <f t="shared" si="88"/>
        <v/>
      </c>
      <c r="AG114" s="15" t="str">
        <f t="shared" si="89"/>
        <v/>
      </c>
      <c r="AH114" s="15" t="str">
        <f t="shared" si="90"/>
        <v/>
      </c>
      <c r="AI114" s="15" t="str">
        <f t="shared" si="91"/>
        <v/>
      </c>
      <c r="AJ114" s="15" t="str">
        <f t="shared" si="92"/>
        <v/>
      </c>
      <c r="AK114" s="15" t="str">
        <f t="shared" si="93"/>
        <v/>
      </c>
      <c r="AL114" t="str">
        <f>IF(P114=1,LOOKUP(K114,$AZ$1:$BI$1,$AZ$37:$BI$37)-IF(O114="",0,O114),"")</f>
        <v/>
      </c>
      <c r="AM114" s="10" t="str">
        <f t="shared" si="80"/>
        <v/>
      </c>
      <c r="AN114" s="10" t="str">
        <f>IF(AM114="","",AM114*LOOKUP(K114,$AZ$1:$BI$1,$AZ$7:$BI$7))</f>
        <v/>
      </c>
      <c r="AO114" t="str">
        <f>IF(AN114="","",AN114*LOOKUP(K114,$AZ$1:$BI$1,$AZ$8:$BI$8))</f>
        <v/>
      </c>
      <c r="AP114" t="str">
        <f>IF(AO114="","",AO114/LOOKUP(K114,$AZ$1:$BI$1,$AZ$42:$BI$42))</f>
        <v/>
      </c>
      <c r="AQ114" t="str">
        <f>IF(AO114="","",IF(LOOKUP(K114,$AZ$1:$BI$1,$AZ$37:$BI$37)=0,0.25,MAX(MIN(AP114,2.5),0.5)))</f>
        <v/>
      </c>
      <c r="AR114" t="str">
        <f t="shared" si="81"/>
        <v/>
      </c>
      <c r="AS114" t="str">
        <f t="shared" si="82"/>
        <v/>
      </c>
      <c r="AT114" t="str">
        <f t="shared" si="83"/>
        <v/>
      </c>
      <c r="AU114" t="str">
        <f>IF(OR(AT114="",AT114=0),"",INDEX($AY$1:$BI$5,MATCH(AT114,$AY$1:$AY$5,0),MATCH(K114,$AY$1:$BI$1,0)))</f>
        <v/>
      </c>
      <c r="AV114" t="str">
        <f t="shared" si="84"/>
        <v/>
      </c>
      <c r="AW114" t="str">
        <f t="shared" si="85"/>
        <v/>
      </c>
    </row>
    <row r="115" spans="5:49">
      <c r="E115" s="4" t="str">
        <f t="shared" si="64"/>
        <v/>
      </c>
      <c r="H115" s="17"/>
      <c r="I115" s="17"/>
      <c r="L115" s="23"/>
      <c r="N115" t="str">
        <f t="shared" si="65"/>
        <v/>
      </c>
      <c r="O115" t="str">
        <f t="shared" si="66"/>
        <v/>
      </c>
      <c r="P115" t="str">
        <f t="shared" si="67"/>
        <v/>
      </c>
      <c r="Q115" s="10" t="str">
        <f t="shared" si="94"/>
        <v/>
      </c>
      <c r="R115" s="10" t="str">
        <f t="shared" si="68"/>
        <v/>
      </c>
      <c r="S115" s="10" t="str">
        <f t="shared" si="69"/>
        <v/>
      </c>
      <c r="T115" s="10" t="str">
        <f t="shared" si="86"/>
        <v/>
      </c>
      <c r="U115" s="10" t="str">
        <f t="shared" si="87"/>
        <v/>
      </c>
      <c r="V115" s="10" t="str">
        <f t="shared" si="70"/>
        <v/>
      </c>
      <c r="W115" s="10" t="str">
        <f t="shared" si="71"/>
        <v/>
      </c>
      <c r="X115" s="10" t="str">
        <f t="shared" si="72"/>
        <v/>
      </c>
      <c r="Y115" s="10" t="str">
        <f t="shared" si="73"/>
        <v/>
      </c>
      <c r="Z115" s="8" t="str">
        <f t="shared" si="74"/>
        <v/>
      </c>
      <c r="AA115" s="15" t="str">
        <f t="shared" si="75"/>
        <v/>
      </c>
      <c r="AB115" s="15" t="str">
        <f t="shared" si="76"/>
        <v/>
      </c>
      <c r="AC115" s="15" t="str">
        <f t="shared" si="77"/>
        <v/>
      </c>
      <c r="AD115" s="15" t="str">
        <f t="shared" si="78"/>
        <v/>
      </c>
      <c r="AE115" s="15" t="str">
        <f t="shared" si="79"/>
        <v/>
      </c>
      <c r="AF115" s="15" t="str">
        <f t="shared" si="88"/>
        <v/>
      </c>
      <c r="AG115" s="15" t="str">
        <f t="shared" si="89"/>
        <v/>
      </c>
      <c r="AH115" s="15" t="str">
        <f t="shared" si="90"/>
        <v/>
      </c>
      <c r="AI115" s="15" t="str">
        <f t="shared" si="91"/>
        <v/>
      </c>
      <c r="AJ115" s="15" t="str">
        <f t="shared" si="92"/>
        <v/>
      </c>
      <c r="AK115" s="15" t="str">
        <f t="shared" si="93"/>
        <v/>
      </c>
      <c r="AL115" t="str">
        <f>IF(P115=1,LOOKUP(K115,$AZ$1:$BI$1,$AZ$37:$BI$37)-IF(O115="",0,O115),"")</f>
        <v/>
      </c>
      <c r="AM115" s="10" t="str">
        <f t="shared" si="80"/>
        <v/>
      </c>
      <c r="AN115" s="10" t="str">
        <f>IF(AM115="","",AM115*LOOKUP(K115,$AZ$1:$BI$1,$AZ$7:$BI$7))</f>
        <v/>
      </c>
      <c r="AO115" t="str">
        <f>IF(AN115="","",AN115*LOOKUP(K115,$AZ$1:$BI$1,$AZ$8:$BI$8))</f>
        <v/>
      </c>
      <c r="AP115" t="str">
        <f>IF(AO115="","",AO115/LOOKUP(K115,$AZ$1:$BI$1,$AZ$42:$BI$42))</f>
        <v/>
      </c>
      <c r="AQ115" t="str">
        <f>IF(AO115="","",IF(LOOKUP(K115,$AZ$1:$BI$1,$AZ$37:$BI$37)=0,0.25,MAX(MIN(AP115,2.5),0.5)))</f>
        <v/>
      </c>
      <c r="AR115" t="str">
        <f t="shared" si="81"/>
        <v/>
      </c>
      <c r="AS115" t="str">
        <f t="shared" si="82"/>
        <v/>
      </c>
      <c r="AT115" t="str">
        <f t="shared" si="83"/>
        <v/>
      </c>
      <c r="AU115" t="str">
        <f>IF(OR(AT115="",AT115=0),"",INDEX($AY$1:$BI$5,MATCH(AT115,$AY$1:$AY$5,0),MATCH(K115,$AY$1:$BI$1,0)))</f>
        <v/>
      </c>
      <c r="AV115" t="str">
        <f t="shared" si="84"/>
        <v/>
      </c>
      <c r="AW115" t="str">
        <f t="shared" si="85"/>
        <v/>
      </c>
    </row>
    <row r="116" spans="5:49">
      <c r="E116" s="4" t="str">
        <f t="shared" si="64"/>
        <v/>
      </c>
      <c r="H116" s="17"/>
      <c r="I116" s="17"/>
      <c r="L116" s="23"/>
      <c r="N116" t="str">
        <f t="shared" si="65"/>
        <v/>
      </c>
      <c r="O116" t="str">
        <f t="shared" si="66"/>
        <v/>
      </c>
      <c r="P116" t="str">
        <f t="shared" si="67"/>
        <v/>
      </c>
      <c r="Q116" s="10" t="str">
        <f t="shared" si="94"/>
        <v/>
      </c>
      <c r="R116" s="10" t="str">
        <f t="shared" si="68"/>
        <v/>
      </c>
      <c r="S116" s="10" t="str">
        <f t="shared" si="69"/>
        <v/>
      </c>
      <c r="T116" s="10" t="str">
        <f t="shared" si="86"/>
        <v/>
      </c>
      <c r="U116" s="10" t="str">
        <f t="shared" si="87"/>
        <v/>
      </c>
      <c r="V116" s="10" t="str">
        <f t="shared" si="70"/>
        <v/>
      </c>
      <c r="W116" s="10" t="str">
        <f t="shared" si="71"/>
        <v/>
      </c>
      <c r="X116" s="10" t="str">
        <f t="shared" si="72"/>
        <v/>
      </c>
      <c r="Y116" s="10" t="str">
        <f t="shared" si="73"/>
        <v/>
      </c>
      <c r="Z116" s="8" t="str">
        <f t="shared" si="74"/>
        <v/>
      </c>
      <c r="AA116" s="15" t="str">
        <f t="shared" si="75"/>
        <v/>
      </c>
      <c r="AB116" s="15" t="str">
        <f t="shared" si="76"/>
        <v/>
      </c>
      <c r="AC116" s="15" t="str">
        <f t="shared" si="77"/>
        <v/>
      </c>
      <c r="AD116" s="15" t="str">
        <f t="shared" si="78"/>
        <v/>
      </c>
      <c r="AE116" s="15" t="str">
        <f t="shared" si="79"/>
        <v/>
      </c>
      <c r="AF116" s="15" t="str">
        <f t="shared" si="88"/>
        <v/>
      </c>
      <c r="AG116" s="15" t="str">
        <f t="shared" si="89"/>
        <v/>
      </c>
      <c r="AH116" s="15" t="str">
        <f t="shared" si="90"/>
        <v/>
      </c>
      <c r="AI116" s="15" t="str">
        <f t="shared" si="91"/>
        <v/>
      </c>
      <c r="AJ116" s="15" t="str">
        <f t="shared" si="92"/>
        <v/>
      </c>
      <c r="AK116" s="15" t="str">
        <f t="shared" si="93"/>
        <v/>
      </c>
      <c r="AL116" t="str">
        <f>IF(P116=1,LOOKUP(K116,$AZ$1:$BI$1,$AZ$37:$BI$37)-IF(O116="",0,O116),"")</f>
        <v/>
      </c>
      <c r="AM116" s="10" t="str">
        <f t="shared" si="80"/>
        <v/>
      </c>
      <c r="AN116" s="10" t="str">
        <f>IF(AM116="","",AM116*LOOKUP(K116,$AZ$1:$BI$1,$AZ$7:$BI$7))</f>
        <v/>
      </c>
      <c r="AO116" t="str">
        <f>IF(AN116="","",AN116*LOOKUP(K116,$AZ$1:$BI$1,$AZ$8:$BI$8))</f>
        <v/>
      </c>
      <c r="AP116" t="str">
        <f>IF(AO116="","",AO116/LOOKUP(K116,$AZ$1:$BI$1,$AZ$42:$BI$42))</f>
        <v/>
      </c>
      <c r="AQ116" t="str">
        <f>IF(AO116="","",IF(LOOKUP(K116,$AZ$1:$BI$1,$AZ$37:$BI$37)=0,0.25,MAX(MIN(AP116,2.5),0.5)))</f>
        <v/>
      </c>
      <c r="AR116" t="str">
        <f t="shared" si="81"/>
        <v/>
      </c>
      <c r="AS116" t="str">
        <f t="shared" si="82"/>
        <v/>
      </c>
      <c r="AT116" t="str">
        <f t="shared" si="83"/>
        <v/>
      </c>
      <c r="AU116" t="str">
        <f>IF(OR(AT116="",AT116=0),"",INDEX($AY$1:$BI$5,MATCH(AT116,$AY$1:$AY$5,0),MATCH(K116,$AY$1:$BI$1,0)))</f>
        <v/>
      </c>
      <c r="AV116" t="str">
        <f t="shared" si="84"/>
        <v/>
      </c>
      <c r="AW116" t="str">
        <f t="shared" si="85"/>
        <v/>
      </c>
    </row>
    <row r="117" spans="5:49">
      <c r="E117" s="4" t="str">
        <f t="shared" si="64"/>
        <v/>
      </c>
      <c r="H117" s="17"/>
      <c r="I117" s="17"/>
      <c r="L117" s="23"/>
      <c r="N117" t="str">
        <f t="shared" si="65"/>
        <v/>
      </c>
      <c r="O117" t="str">
        <f t="shared" si="66"/>
        <v/>
      </c>
      <c r="P117" t="str">
        <f t="shared" si="67"/>
        <v/>
      </c>
      <c r="Q117" s="10" t="str">
        <f t="shared" si="94"/>
        <v/>
      </c>
      <c r="R117" s="10" t="str">
        <f t="shared" si="68"/>
        <v/>
      </c>
      <c r="S117" s="10" t="str">
        <f t="shared" si="69"/>
        <v/>
      </c>
      <c r="T117" s="10" t="str">
        <f t="shared" si="86"/>
        <v/>
      </c>
      <c r="U117" s="10" t="str">
        <f t="shared" si="87"/>
        <v/>
      </c>
      <c r="V117" s="10" t="str">
        <f t="shared" si="70"/>
        <v/>
      </c>
      <c r="W117" s="10" t="str">
        <f t="shared" si="71"/>
        <v/>
      </c>
      <c r="X117" s="10" t="str">
        <f t="shared" si="72"/>
        <v/>
      </c>
      <c r="Y117" s="10" t="str">
        <f t="shared" si="73"/>
        <v/>
      </c>
      <c r="Z117" s="8" t="str">
        <f t="shared" si="74"/>
        <v/>
      </c>
      <c r="AA117" s="15" t="str">
        <f t="shared" si="75"/>
        <v/>
      </c>
      <c r="AB117" s="15" t="str">
        <f t="shared" si="76"/>
        <v/>
      </c>
      <c r="AC117" s="15" t="str">
        <f t="shared" si="77"/>
        <v/>
      </c>
      <c r="AD117" s="15" t="str">
        <f t="shared" si="78"/>
        <v/>
      </c>
      <c r="AE117" s="15" t="str">
        <f t="shared" si="79"/>
        <v/>
      </c>
      <c r="AF117" s="15" t="str">
        <f t="shared" si="88"/>
        <v/>
      </c>
      <c r="AG117" s="15" t="str">
        <f t="shared" si="89"/>
        <v/>
      </c>
      <c r="AH117" s="15" t="str">
        <f t="shared" si="90"/>
        <v/>
      </c>
      <c r="AI117" s="15" t="str">
        <f t="shared" si="91"/>
        <v/>
      </c>
      <c r="AJ117" s="15" t="str">
        <f t="shared" si="92"/>
        <v/>
      </c>
      <c r="AK117" s="15" t="str">
        <f t="shared" si="93"/>
        <v/>
      </c>
      <c r="AL117" t="str">
        <f>IF(P117=1,LOOKUP(K117,$AZ$1:$BI$1,$AZ$37:$BI$37)-IF(O117="",0,O117),"")</f>
        <v/>
      </c>
      <c r="AM117" s="10" t="str">
        <f t="shared" si="80"/>
        <v/>
      </c>
      <c r="AN117" s="10" t="str">
        <f>IF(AM117="","",AM117*LOOKUP(K117,$AZ$1:$BI$1,$AZ$7:$BI$7))</f>
        <v/>
      </c>
      <c r="AO117" t="str">
        <f>IF(AN117="","",AN117*LOOKUP(K117,$AZ$1:$BI$1,$AZ$8:$BI$8))</f>
        <v/>
      </c>
      <c r="AP117" t="str">
        <f>IF(AO117="","",AO117/LOOKUP(K117,$AZ$1:$BI$1,$AZ$42:$BI$42))</f>
        <v/>
      </c>
      <c r="AQ117" t="str">
        <f>IF(AO117="","",IF(LOOKUP(K117,$AZ$1:$BI$1,$AZ$37:$BI$37)=0,0.25,MAX(MIN(AP117,2.5),0.5)))</f>
        <v/>
      </c>
      <c r="AR117" t="str">
        <f t="shared" si="81"/>
        <v/>
      </c>
      <c r="AS117" t="str">
        <f t="shared" si="82"/>
        <v/>
      </c>
      <c r="AT117" t="str">
        <f t="shared" si="83"/>
        <v/>
      </c>
      <c r="AU117" t="str">
        <f>IF(OR(AT117="",AT117=0),"",INDEX($AY$1:$BI$5,MATCH(AT117,$AY$1:$AY$5,0),MATCH(K117,$AY$1:$BI$1,0)))</f>
        <v/>
      </c>
      <c r="AV117" t="str">
        <f t="shared" si="84"/>
        <v/>
      </c>
      <c r="AW117" t="str">
        <f t="shared" si="85"/>
        <v/>
      </c>
    </row>
    <row r="118" spans="5:49">
      <c r="E118" s="4" t="str">
        <f t="shared" si="64"/>
        <v/>
      </c>
      <c r="H118" s="17"/>
      <c r="I118" s="17"/>
      <c r="L118" s="23"/>
      <c r="N118" t="str">
        <f t="shared" si="65"/>
        <v/>
      </c>
      <c r="O118" t="str">
        <f t="shared" si="66"/>
        <v/>
      </c>
      <c r="P118" t="str">
        <f t="shared" si="67"/>
        <v/>
      </c>
      <c r="Q118" s="10" t="str">
        <f t="shared" si="94"/>
        <v/>
      </c>
      <c r="R118" s="10" t="str">
        <f t="shared" si="68"/>
        <v/>
      </c>
      <c r="S118" s="10" t="str">
        <f t="shared" si="69"/>
        <v/>
      </c>
      <c r="T118" s="10" t="str">
        <f t="shared" si="86"/>
        <v/>
      </c>
      <c r="U118" s="10" t="str">
        <f t="shared" si="87"/>
        <v/>
      </c>
      <c r="V118" s="10" t="str">
        <f t="shared" si="70"/>
        <v/>
      </c>
      <c r="W118" s="10" t="str">
        <f t="shared" si="71"/>
        <v/>
      </c>
      <c r="X118" s="10" t="str">
        <f t="shared" si="72"/>
        <v/>
      </c>
      <c r="Y118" s="10" t="str">
        <f t="shared" si="73"/>
        <v/>
      </c>
      <c r="Z118" s="8" t="str">
        <f t="shared" si="74"/>
        <v/>
      </c>
      <c r="AA118" s="15" t="str">
        <f t="shared" si="75"/>
        <v/>
      </c>
      <c r="AB118" s="15" t="str">
        <f t="shared" si="76"/>
        <v/>
      </c>
      <c r="AC118" s="15" t="str">
        <f t="shared" si="77"/>
        <v/>
      </c>
      <c r="AD118" s="15" t="str">
        <f t="shared" si="78"/>
        <v/>
      </c>
      <c r="AE118" s="15" t="str">
        <f t="shared" si="79"/>
        <v/>
      </c>
      <c r="AF118" s="15" t="str">
        <f t="shared" si="88"/>
        <v/>
      </c>
      <c r="AG118" s="15" t="str">
        <f t="shared" si="89"/>
        <v/>
      </c>
      <c r="AH118" s="15" t="str">
        <f t="shared" si="90"/>
        <v/>
      </c>
      <c r="AI118" s="15" t="str">
        <f t="shared" si="91"/>
        <v/>
      </c>
      <c r="AJ118" s="15" t="str">
        <f t="shared" si="92"/>
        <v/>
      </c>
      <c r="AK118" s="15" t="str">
        <f t="shared" si="93"/>
        <v/>
      </c>
      <c r="AL118" t="str">
        <f>IF(P118=1,LOOKUP(K118,$AZ$1:$BI$1,$AZ$37:$BI$37)-IF(O118="",0,O118),"")</f>
        <v/>
      </c>
      <c r="AM118" s="10" t="str">
        <f t="shared" si="80"/>
        <v/>
      </c>
      <c r="AN118" s="10" t="str">
        <f>IF(AM118="","",AM118*LOOKUP(K118,$AZ$1:$BI$1,$AZ$7:$BI$7))</f>
        <v/>
      </c>
      <c r="AO118" t="str">
        <f>IF(AN118="","",AN118*LOOKUP(K118,$AZ$1:$BI$1,$AZ$8:$BI$8))</f>
        <v/>
      </c>
      <c r="AP118" t="str">
        <f>IF(AO118="","",AO118/LOOKUP(K118,$AZ$1:$BI$1,$AZ$42:$BI$42))</f>
        <v/>
      </c>
      <c r="AQ118" t="str">
        <f>IF(AO118="","",IF(LOOKUP(K118,$AZ$1:$BI$1,$AZ$37:$BI$37)=0,0.25,MAX(MIN(AP118,2.5),0.5)))</f>
        <v/>
      </c>
      <c r="AR118" t="str">
        <f t="shared" si="81"/>
        <v/>
      </c>
      <c r="AS118" t="str">
        <f t="shared" si="82"/>
        <v/>
      </c>
      <c r="AT118" t="str">
        <f t="shared" si="83"/>
        <v/>
      </c>
      <c r="AU118" t="str">
        <f>IF(OR(AT118="",AT118=0),"",INDEX($AY$1:$BI$5,MATCH(AT118,$AY$1:$AY$5,0),MATCH(K118,$AY$1:$BI$1,0)))</f>
        <v/>
      </c>
      <c r="AV118" t="str">
        <f t="shared" si="84"/>
        <v/>
      </c>
      <c r="AW118" t="str">
        <f t="shared" si="85"/>
        <v/>
      </c>
    </row>
    <row r="119" spans="5:49">
      <c r="E119" s="4" t="str">
        <f t="shared" si="64"/>
        <v/>
      </c>
      <c r="H119" s="17"/>
      <c r="I119" s="17"/>
      <c r="L119" s="23"/>
      <c r="N119" t="str">
        <f t="shared" si="65"/>
        <v/>
      </c>
      <c r="O119" t="str">
        <f t="shared" si="66"/>
        <v/>
      </c>
      <c r="P119" t="str">
        <f t="shared" si="67"/>
        <v/>
      </c>
      <c r="Q119" s="10" t="str">
        <f t="shared" si="94"/>
        <v/>
      </c>
      <c r="R119" s="10" t="str">
        <f t="shared" si="68"/>
        <v/>
      </c>
      <c r="S119" s="10" t="str">
        <f t="shared" si="69"/>
        <v/>
      </c>
      <c r="T119" s="10" t="str">
        <f t="shared" si="86"/>
        <v/>
      </c>
      <c r="U119" s="10" t="str">
        <f t="shared" si="87"/>
        <v/>
      </c>
      <c r="V119" s="10" t="str">
        <f t="shared" si="70"/>
        <v/>
      </c>
      <c r="W119" s="10" t="str">
        <f t="shared" si="71"/>
        <v/>
      </c>
      <c r="X119" s="10" t="str">
        <f t="shared" si="72"/>
        <v/>
      </c>
      <c r="Y119" s="10" t="str">
        <f t="shared" si="73"/>
        <v/>
      </c>
      <c r="Z119" s="8" t="str">
        <f t="shared" si="74"/>
        <v/>
      </c>
      <c r="AA119" s="15" t="str">
        <f t="shared" si="75"/>
        <v/>
      </c>
      <c r="AB119" s="15" t="str">
        <f t="shared" si="76"/>
        <v/>
      </c>
      <c r="AC119" s="15" t="str">
        <f t="shared" si="77"/>
        <v/>
      </c>
      <c r="AD119" s="15" t="str">
        <f t="shared" si="78"/>
        <v/>
      </c>
      <c r="AE119" s="15" t="str">
        <f t="shared" si="79"/>
        <v/>
      </c>
      <c r="AF119" s="15" t="str">
        <f t="shared" si="88"/>
        <v/>
      </c>
      <c r="AG119" s="15" t="str">
        <f t="shared" si="89"/>
        <v/>
      </c>
      <c r="AH119" s="15" t="str">
        <f t="shared" si="90"/>
        <v/>
      </c>
      <c r="AI119" s="15" t="str">
        <f t="shared" si="91"/>
        <v/>
      </c>
      <c r="AJ119" s="15" t="str">
        <f t="shared" si="92"/>
        <v/>
      </c>
      <c r="AK119" s="15" t="str">
        <f t="shared" si="93"/>
        <v/>
      </c>
      <c r="AL119" t="str">
        <f>IF(P119=1,LOOKUP(K119,$AZ$1:$BI$1,$AZ$37:$BI$37)-IF(O119="",0,O119),"")</f>
        <v/>
      </c>
      <c r="AM119" s="10" t="str">
        <f t="shared" si="80"/>
        <v/>
      </c>
      <c r="AN119" s="10" t="str">
        <f>IF(AM119="","",AM119*LOOKUP(K119,$AZ$1:$BI$1,$AZ$7:$BI$7))</f>
        <v/>
      </c>
      <c r="AO119" t="str">
        <f>IF(AN119="","",AN119*LOOKUP(K119,$AZ$1:$BI$1,$AZ$8:$BI$8))</f>
        <v/>
      </c>
      <c r="AP119" t="str">
        <f>IF(AO119="","",AO119/LOOKUP(K119,$AZ$1:$BI$1,$AZ$42:$BI$42))</f>
        <v/>
      </c>
      <c r="AQ119" t="str">
        <f>IF(AO119="","",IF(LOOKUP(K119,$AZ$1:$BI$1,$AZ$37:$BI$37)=0,0.25,MAX(MIN(AP119,2.5),0.5)))</f>
        <v/>
      </c>
      <c r="AR119" t="str">
        <f t="shared" si="81"/>
        <v/>
      </c>
      <c r="AS119" t="str">
        <f t="shared" si="82"/>
        <v/>
      </c>
      <c r="AT119" t="str">
        <f t="shared" si="83"/>
        <v/>
      </c>
      <c r="AU119" t="str">
        <f>IF(OR(AT119="",AT119=0),"",INDEX($AY$1:$BI$5,MATCH(AT119,$AY$1:$AY$5,0),MATCH(K119,$AY$1:$BI$1,0)))</f>
        <v/>
      </c>
      <c r="AV119" t="str">
        <f t="shared" si="84"/>
        <v/>
      </c>
      <c r="AW119" t="str">
        <f t="shared" si="85"/>
        <v/>
      </c>
    </row>
    <row r="120" spans="5:49">
      <c r="E120" s="4" t="str">
        <f t="shared" si="64"/>
        <v/>
      </c>
      <c r="H120" s="17"/>
      <c r="I120" s="17"/>
      <c r="L120" s="23"/>
      <c r="N120" t="str">
        <f t="shared" si="65"/>
        <v/>
      </c>
      <c r="O120" t="str">
        <f t="shared" si="66"/>
        <v/>
      </c>
      <c r="P120" t="str">
        <f t="shared" si="67"/>
        <v/>
      </c>
      <c r="Q120" s="10" t="str">
        <f t="shared" si="94"/>
        <v/>
      </c>
      <c r="R120" s="10" t="str">
        <f t="shared" si="68"/>
        <v/>
      </c>
      <c r="S120" s="10" t="str">
        <f t="shared" si="69"/>
        <v/>
      </c>
      <c r="T120" s="10" t="str">
        <f t="shared" si="86"/>
        <v/>
      </c>
      <c r="U120" s="10" t="str">
        <f t="shared" si="87"/>
        <v/>
      </c>
      <c r="V120" s="10" t="str">
        <f t="shared" si="70"/>
        <v/>
      </c>
      <c r="W120" s="10" t="str">
        <f t="shared" si="71"/>
        <v/>
      </c>
      <c r="X120" s="10" t="str">
        <f t="shared" si="72"/>
        <v/>
      </c>
      <c r="Y120" s="10" t="str">
        <f t="shared" si="73"/>
        <v/>
      </c>
      <c r="Z120" s="8" t="str">
        <f t="shared" si="74"/>
        <v/>
      </c>
      <c r="AA120" s="15" t="str">
        <f t="shared" si="75"/>
        <v/>
      </c>
      <c r="AB120" s="15" t="str">
        <f t="shared" si="76"/>
        <v/>
      </c>
      <c r="AC120" s="15" t="str">
        <f t="shared" si="77"/>
        <v/>
      </c>
      <c r="AD120" s="15" t="str">
        <f t="shared" si="78"/>
        <v/>
      </c>
      <c r="AE120" s="15" t="str">
        <f t="shared" si="79"/>
        <v/>
      </c>
      <c r="AF120" s="15" t="str">
        <f t="shared" si="88"/>
        <v/>
      </c>
      <c r="AG120" s="15" t="str">
        <f t="shared" si="89"/>
        <v/>
      </c>
      <c r="AH120" s="15" t="str">
        <f t="shared" si="90"/>
        <v/>
      </c>
      <c r="AI120" s="15" t="str">
        <f t="shared" si="91"/>
        <v/>
      </c>
      <c r="AJ120" s="15" t="str">
        <f t="shared" si="92"/>
        <v/>
      </c>
      <c r="AK120" s="15" t="str">
        <f t="shared" si="93"/>
        <v/>
      </c>
      <c r="AL120" t="str">
        <f>IF(P120=1,LOOKUP(K120,$AZ$1:$BI$1,$AZ$37:$BI$37)-IF(O120="",0,O120),"")</f>
        <v/>
      </c>
      <c r="AM120" s="10" t="str">
        <f t="shared" si="80"/>
        <v/>
      </c>
      <c r="AN120" s="10" t="str">
        <f>IF(AM120="","",AM120*LOOKUP(K120,$AZ$1:$BI$1,$AZ$7:$BI$7))</f>
        <v/>
      </c>
      <c r="AO120" t="str">
        <f>IF(AN120="","",AN120*LOOKUP(K120,$AZ$1:$BI$1,$AZ$8:$BI$8))</f>
        <v/>
      </c>
      <c r="AP120" t="str">
        <f>IF(AO120="","",AO120/LOOKUP(K120,$AZ$1:$BI$1,$AZ$42:$BI$42))</f>
        <v/>
      </c>
      <c r="AQ120" t="str">
        <f>IF(AO120="","",IF(LOOKUP(K120,$AZ$1:$BI$1,$AZ$37:$BI$37)=0,0.25,MAX(MIN(AP120,2.5),0.5)))</f>
        <v/>
      </c>
      <c r="AR120" t="str">
        <f t="shared" si="81"/>
        <v/>
      </c>
      <c r="AS120" t="str">
        <f t="shared" si="82"/>
        <v/>
      </c>
      <c r="AT120" t="str">
        <f t="shared" si="83"/>
        <v/>
      </c>
      <c r="AU120" t="str">
        <f>IF(OR(AT120="",AT120=0),"",INDEX($AY$1:$BI$5,MATCH(AT120,$AY$1:$AY$5,0),MATCH(K120,$AY$1:$BI$1,0)))</f>
        <v/>
      </c>
      <c r="AV120" t="str">
        <f t="shared" si="84"/>
        <v/>
      </c>
      <c r="AW120" t="str">
        <f t="shared" si="85"/>
        <v/>
      </c>
    </row>
    <row r="121" spans="5:49">
      <c r="F121" s="5" t="s">
        <v>72</v>
      </c>
      <c r="N121" t="str">
        <f t="shared" ref="N121:N124" si="95">IF(AND(H121="",I121=""),"",IF(H121="",0,2-H121)+IF(I121="",0,2-I121))</f>
        <v/>
      </c>
    </row>
    <row r="122" spans="5:49">
      <c r="N122" t="str">
        <f t="shared" si="95"/>
        <v/>
      </c>
    </row>
    <row r="123" spans="5:49">
      <c r="N123" t="str">
        <f t="shared" si="95"/>
        <v/>
      </c>
    </row>
    <row r="124" spans="5:49">
      <c r="N124" t="str">
        <f t="shared" si="95"/>
        <v/>
      </c>
    </row>
  </sheetData>
  <mergeCells count="4">
    <mergeCell ref="B3:C3"/>
    <mergeCell ref="B48:C48"/>
    <mergeCell ref="B1:C1"/>
    <mergeCell ref="B33:C33"/>
  </mergeCells>
  <conditionalFormatting sqref="E1:E1048576">
    <cfRule type="cellIs" dxfId="2" priority="18" operator="between">
      <formula>0</formula>
      <formula>1000</formula>
    </cfRule>
  </conditionalFormatting>
  <conditionalFormatting sqref="AZ7:BI7">
    <cfRule type="colorScale" priority="17">
      <colorScale>
        <cfvo type="num" val="0.5"/>
        <cfvo type="num" val="1"/>
        <cfvo type="num" val="1.5"/>
        <color rgb="FFF8696B"/>
        <color rgb="FFFFEB84"/>
        <color rgb="FF63BE7B"/>
      </colorScale>
    </cfRule>
  </conditionalFormatting>
  <conditionalFormatting sqref="AZ8:BI8">
    <cfRule type="colorScale" priority="16">
      <colorScale>
        <cfvo type="num" val="0.5"/>
        <cfvo type="num" val="1.75"/>
        <cfvo type="num" val="3"/>
        <color rgb="FFF8696B"/>
        <color rgb="FFFFEB84"/>
        <color rgb="FF63BE7B"/>
      </colorScale>
    </cfRule>
  </conditionalFormatting>
  <conditionalFormatting sqref="C19:C21 C27:C29 C7:C9 C11:C17 AZ9:BI23 BJ11:BJ26">
    <cfRule type="colorScale" priority="15">
      <colorScale>
        <cfvo type="num" val="0"/>
        <cfvo type="num" val="0"/>
        <color rgb="FFF8696B"/>
        <color rgb="FF63BE7B"/>
      </colorScale>
    </cfRule>
  </conditionalFormatting>
  <conditionalFormatting sqref="B60 AY11:AY15 B9:B12">
    <cfRule type="expression" dxfId="1" priority="12">
      <formula>"$C$15&lt;=0"</formula>
    </cfRule>
  </conditionalFormatting>
  <conditionalFormatting sqref="C23:C25 C31 BJ24:BJ26">
    <cfRule type="colorScale" priority="7">
      <colorScale>
        <cfvo type="num" val="0"/>
        <cfvo type="num" val="0"/>
        <color rgb="FF63BE7B"/>
        <color rgb="FFF8696B"/>
      </colorScale>
    </cfRule>
  </conditionalFormatting>
  <conditionalFormatting sqref="C10">
    <cfRule type="colorScale" priority="1">
      <colorScale>
        <cfvo type="num" val="0"/>
        <cfvo type="num" val="0"/>
        <color rgb="FFF8696B"/>
        <color rgb="FF63BE7B"/>
      </colorScale>
    </cfRule>
  </conditionalFormatting>
  <pageMargins left="0.70000000000000007" right="0.70000000000000007" top="0.78740157500000008" bottom="0.78740157500000008" header="0.30000000000000004" footer="0.30000000000000004"/>
  <pageSetup paperSize="9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USI_Efficiency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Mhoram</dc:creator>
  <cp:lastModifiedBy>Mhoram</cp:lastModifiedBy>
  <dcterms:created xsi:type="dcterms:W3CDTF">2013-09-04T22:08:54Z</dcterms:created>
  <dcterms:modified xsi:type="dcterms:W3CDTF">2014-08-28T20:17:34Z</dcterms:modified>
</cp:coreProperties>
</file>