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CN34" i="1"/>
  <c r="CN37"/>
  <c r="CN38"/>
  <c r="DI37"/>
  <c r="DI36"/>
  <c r="DI35"/>
  <c r="DI34"/>
  <c r="DI33"/>
  <c r="CN36"/>
  <c r="CN35"/>
  <c r="BQ30"/>
  <c r="G7" i="2"/>
  <c r="D7"/>
  <c r="D6"/>
  <c r="G5"/>
  <c r="F5"/>
  <c r="D5"/>
  <c r="D4"/>
  <c r="I63" i="1"/>
  <c r="H63"/>
  <c r="H60"/>
  <c r="I59"/>
  <c r="I60" s="1"/>
  <c r="H59"/>
  <c r="H40"/>
  <c r="I39"/>
  <c r="I40" s="1"/>
  <c r="H39"/>
  <c r="I36"/>
  <c r="H36"/>
  <c r="I35"/>
  <c r="H35"/>
  <c r="I34"/>
  <c r="H34"/>
  <c r="I31"/>
  <c r="H31"/>
  <c r="BB34"/>
  <c r="BB33"/>
  <c r="AU3"/>
  <c r="AU4"/>
  <c r="AU8"/>
  <c r="AU15"/>
  <c r="AU16"/>
  <c r="AU17"/>
  <c r="AU18"/>
  <c r="AU19"/>
  <c r="AU22"/>
  <c r="AU25"/>
  <c r="AU26"/>
  <c r="AU27"/>
  <c r="AU29"/>
  <c r="AU32"/>
  <c r="AU41"/>
  <c r="AU53"/>
  <c r="AU54"/>
  <c r="AU55"/>
  <c r="AU75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2"/>
  <c r="CN31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AU37" s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AU57" s="1"/>
  <c r="P58"/>
  <c r="P59"/>
  <c r="P60"/>
  <c r="P61"/>
  <c r="P62"/>
  <c r="P63"/>
  <c r="P64"/>
  <c r="P65"/>
  <c r="P66"/>
  <c r="P67"/>
  <c r="P68"/>
  <c r="P69"/>
  <c r="AU69" s="1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N33" l="1"/>
  <c r="CX27"/>
  <c r="CN28"/>
  <c r="CY28"/>
  <c r="Y83" l="1"/>
  <c r="H6" l="1"/>
  <c r="H7" s="1"/>
  <c r="I6"/>
  <c r="I7" s="1"/>
  <c r="AY2"/>
  <c r="AY8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T77" s="1"/>
  <c r="E78"/>
  <c r="T78" s="1"/>
  <c r="AY79"/>
  <c r="AO80"/>
  <c r="AO81"/>
  <c r="AO82"/>
  <c r="AY83"/>
  <c r="E84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80"/>
  <c r="T81"/>
  <c r="T82"/>
  <c r="T83"/>
  <c r="T84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3"/>
  <c r="BF80" s="1"/>
  <c r="R2"/>
  <c r="R75"/>
  <c r="R80"/>
  <c r="R81"/>
  <c r="R82"/>
  <c r="R83"/>
  <c r="R84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80"/>
  <c r="AJ81"/>
  <c r="AJ82"/>
  <c r="AJ83"/>
  <c r="AJ84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1"/>
  <c r="E82"/>
  <c r="E83"/>
  <c r="E87"/>
  <c r="E97"/>
  <c r="E98"/>
  <c r="E99"/>
  <c r="W2"/>
  <c r="W75"/>
  <c r="W80"/>
  <c r="W81"/>
  <c r="W82"/>
  <c r="W83"/>
  <c r="W84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78"/>
  <c r="V80"/>
  <c r="V81"/>
  <c r="V82"/>
  <c r="V83"/>
  <c r="V84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78"/>
  <c r="U80"/>
  <c r="U81"/>
  <c r="U82"/>
  <c r="U83"/>
  <c r="U84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F72"/>
  <c r="BF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G73"/>
  <c r="BG80" s="1"/>
  <c r="BH73"/>
  <c r="BH80" s="1"/>
  <c r="BI73"/>
  <c r="BI80" s="1"/>
  <c r="BJ73"/>
  <c r="BJ80" s="1"/>
  <c r="BK73"/>
  <c r="BK80" s="1"/>
  <c r="BC74"/>
  <c r="BC81" s="1"/>
  <c r="BD74"/>
  <c r="BD81" s="1"/>
  <c r="BE74"/>
  <c r="BE81" s="1"/>
  <c r="BF74"/>
  <c r="BF81" s="1"/>
  <c r="BG74"/>
  <c r="BG81" s="1"/>
  <c r="BH74"/>
  <c r="BH81" s="1"/>
  <c r="BI74"/>
  <c r="BI81" s="1"/>
  <c r="BJ74"/>
  <c r="BJ81" s="1"/>
  <c r="BK74"/>
  <c r="BK81" s="1"/>
  <c r="BB71"/>
  <c r="BB78" s="1"/>
  <c r="BB72"/>
  <c r="BB79" s="1"/>
  <c r="BB73"/>
  <c r="BB80" s="1"/>
  <c r="BB74"/>
  <c r="BB81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70"/>
  <c r="BB77" s="1"/>
  <c r="W77" l="1"/>
  <c r="U77"/>
  <c r="AO115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AO47"/>
  <c r="AY13"/>
  <c r="T12"/>
  <c r="V47"/>
  <c r="V12"/>
  <c r="W12"/>
  <c r="T46"/>
  <c r="U12"/>
  <c r="V79" l="1"/>
  <c r="T79"/>
  <c r="W79"/>
  <c r="U79"/>
  <c r="T76"/>
  <c r="W76"/>
  <c r="V76"/>
  <c r="V74"/>
  <c r="V67"/>
  <c r="U67"/>
  <c r="W67"/>
  <c r="U74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CO17" l="1"/>
  <c r="CO25"/>
  <c r="CO33"/>
  <c r="CO13"/>
  <c r="CO16"/>
  <c r="CO24"/>
  <c r="CO32"/>
  <c r="CO4"/>
  <c r="CO12"/>
  <c r="CO30"/>
  <c r="CO27"/>
  <c r="CO18"/>
  <c r="CO34"/>
  <c r="CO14"/>
  <c r="CO23"/>
  <c r="CO31"/>
  <c r="CO3"/>
  <c r="CO22"/>
  <c r="CO38"/>
  <c r="CO19"/>
  <c r="CO35"/>
  <c r="CO15"/>
  <c r="CO21"/>
  <c r="CO29"/>
  <c r="CO37"/>
  <c r="CO20"/>
  <c r="CO28"/>
  <c r="CO36"/>
  <c r="CO26"/>
  <c r="AM120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L84"/>
  <c r="AK84"/>
  <c r="AI84"/>
  <c r="AH84"/>
  <c r="AM83"/>
  <c r="AL83"/>
  <c r="AK83"/>
  <c r="AI83"/>
  <c r="AH83"/>
  <c r="AM82"/>
  <c r="AL82"/>
  <c r="AK82"/>
  <c r="AI82"/>
  <c r="AH82"/>
  <c r="AM81"/>
  <c r="AL81"/>
  <c r="AK81"/>
  <c r="AI81"/>
  <c r="AH81"/>
  <c r="AM80"/>
  <c r="AL80"/>
  <c r="AK80"/>
  <c r="AI80"/>
  <c r="AH80"/>
  <c r="AK79"/>
  <c r="AM75"/>
  <c r="AL75"/>
  <c r="AK75"/>
  <c r="AI75"/>
  <c r="AH75"/>
  <c r="AM74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H70" s="1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H76" s="1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M78" s="1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H79" s="1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V82"/>
  <c r="AW82" s="1"/>
  <c r="AX82" s="1"/>
  <c r="N83"/>
  <c r="O83"/>
  <c r="S83"/>
  <c r="X83"/>
  <c r="Z83"/>
  <c r="AA83"/>
  <c r="AB83"/>
  <c r="AC83"/>
  <c r="AD83"/>
  <c r="AE83"/>
  <c r="AF83"/>
  <c r="AG83"/>
  <c r="AT83"/>
  <c r="N84"/>
  <c r="O84"/>
  <c r="AP84"/>
  <c r="AQ84" s="1"/>
  <c r="S84"/>
  <c r="X84"/>
  <c r="Y84"/>
  <c r="Z84"/>
  <c r="AA84"/>
  <c r="AB84"/>
  <c r="AC84"/>
  <c r="AD84"/>
  <c r="AE84"/>
  <c r="AF84"/>
  <c r="AG84"/>
  <c r="AT84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AL79" l="1"/>
  <c r="CO6"/>
  <c r="CO10"/>
  <c r="CO5"/>
  <c r="CO11"/>
  <c r="BB32"/>
  <c r="AI79"/>
  <c r="CO7"/>
  <c r="AU28"/>
  <c r="CO9"/>
  <c r="AI76"/>
  <c r="AK76"/>
  <c r="CO8"/>
  <c r="AU77"/>
  <c r="AU76"/>
  <c r="AU46"/>
  <c r="AU43"/>
  <c r="AU40"/>
  <c r="AU31"/>
  <c r="AU56"/>
  <c r="AU78"/>
  <c r="AJ77"/>
  <c r="R77"/>
  <c r="AM77"/>
  <c r="AK77"/>
  <c r="AU79"/>
  <c r="AI77"/>
  <c r="R78"/>
  <c r="AJ78"/>
  <c r="R76"/>
  <c r="AJ76"/>
  <c r="AH78"/>
  <c r="AL77"/>
  <c r="AH77"/>
  <c r="AL78"/>
  <c r="AM76"/>
  <c r="AK78"/>
  <c r="R79"/>
  <c r="AL76"/>
  <c r="AI78"/>
  <c r="AM79"/>
  <c r="AU59"/>
  <c r="AU66"/>
  <c r="AU71"/>
  <c r="AU70"/>
  <c r="AU63"/>
  <c r="AU47"/>
  <c r="AU50"/>
  <c r="AU49"/>
  <c r="AU48"/>
  <c r="AU45"/>
  <c r="AU38"/>
  <c r="AU34"/>
  <c r="AU51"/>
  <c r="AU67"/>
  <c r="AU10"/>
  <c r="AU65"/>
  <c r="AU24"/>
  <c r="AU72"/>
  <c r="AU11"/>
  <c r="AU58"/>
  <c r="AU74"/>
  <c r="AU9"/>
  <c r="AU73"/>
  <c r="AU64"/>
  <c r="AU14"/>
  <c r="AU30"/>
  <c r="AU12"/>
  <c r="AU7"/>
  <c r="AU6"/>
  <c r="AU60"/>
  <c r="AU62"/>
  <c r="AU68"/>
  <c r="AU5"/>
  <c r="AU13"/>
  <c r="AU21"/>
  <c r="AU61"/>
  <c r="AU23"/>
  <c r="AU20"/>
  <c r="AU52"/>
  <c r="AU33"/>
  <c r="AU44"/>
  <c r="AU39"/>
  <c r="AU35"/>
  <c r="AU42"/>
  <c r="AU36"/>
  <c r="BB4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12"/>
  <c r="R12"/>
  <c r="AV58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T44" l="1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U43" s="1"/>
  <c r="BC39"/>
  <c r="AV2"/>
  <c r="AW2" s="1"/>
  <c r="AX2" s="1"/>
  <c r="BB35"/>
  <c r="AR2"/>
  <c r="AN2"/>
  <c r="AJ46" l="1"/>
  <c r="W49"/>
  <c r="W45"/>
  <c r="U47"/>
  <c r="V44"/>
  <c r="BD34"/>
  <c r="BD33"/>
  <c r="BE1"/>
  <c r="BD40"/>
  <c r="BD41"/>
  <c r="U49"/>
  <c r="V45"/>
  <c r="W46"/>
  <c r="V49"/>
  <c r="U44"/>
  <c r="AW63"/>
  <c r="AX63" s="1"/>
  <c r="U45"/>
  <c r="W47"/>
  <c r="V46"/>
  <c r="R47"/>
  <c r="AJ47"/>
  <c r="AK47"/>
  <c r="AH47"/>
  <c r="AI47"/>
  <c r="AL47"/>
  <c r="AM47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BD32" s="1"/>
  <c r="AW46"/>
  <c r="AX46" s="1"/>
  <c r="AW44"/>
  <c r="AX44" s="1"/>
  <c r="AW43"/>
  <c r="AX43" s="1"/>
  <c r="AW42"/>
  <c r="AX42" s="1"/>
  <c r="BD39"/>
  <c r="AW47"/>
  <c r="AX47" s="1"/>
  <c r="BB36"/>
  <c r="T66" l="1"/>
  <c r="AW58"/>
  <c r="AX58" s="1"/>
  <c r="AW59"/>
  <c r="AX59" s="1"/>
  <c r="BE33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V77" s="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AJ79" l="1"/>
  <c r="W78"/>
  <c r="U76"/>
  <c r="T72"/>
  <c r="T71"/>
  <c r="BF33"/>
  <c r="BF34"/>
  <c r="BF32"/>
  <c r="AN7"/>
  <c r="AO7" s="1"/>
  <c r="AP7" s="1"/>
  <c r="AQ7" s="1"/>
  <c r="AN6"/>
  <c r="AO6" s="1"/>
  <c r="AP6" s="1"/>
  <c r="AQ6" s="1"/>
  <c r="AN5"/>
  <c r="AO5" s="1"/>
  <c r="AP5" s="1"/>
  <c r="AQ5" s="1"/>
  <c r="BF41"/>
  <c r="BF40"/>
  <c r="BG1"/>
  <c r="T74"/>
  <c r="T73"/>
  <c r="BF39"/>
  <c r="AO3"/>
  <c r="AQ8"/>
  <c r="AR8" s="1"/>
  <c r="AS8" s="1"/>
  <c r="AP4"/>
  <c r="AQ4" s="1"/>
  <c r="BG34" l="1"/>
  <c r="BG33"/>
  <c r="BG32"/>
  <c r="BG39"/>
  <c r="BG41"/>
  <c r="BG40"/>
  <c r="BH1"/>
  <c r="E8"/>
  <c r="T8" s="1"/>
  <c r="AY8"/>
  <c r="AP3"/>
  <c r="AQ3" s="1"/>
  <c r="AR3" s="1"/>
  <c r="AR5"/>
  <c r="AS5" s="1"/>
  <c r="AR4"/>
  <c r="AS4" s="1"/>
  <c r="AR7"/>
  <c r="AS7" s="1"/>
  <c r="AR6"/>
  <c r="AS6" s="1"/>
  <c r="AY6" s="1"/>
  <c r="E6" s="1"/>
  <c r="BH34" l="1"/>
  <c r="BH33"/>
  <c r="BH32"/>
  <c r="BH39"/>
  <c r="BH40"/>
  <c r="BH41"/>
  <c r="BI1"/>
  <c r="T6"/>
  <c r="V6"/>
  <c r="U6"/>
  <c r="AJ6"/>
  <c r="R6"/>
  <c r="W6"/>
  <c r="AY5"/>
  <c r="E5" s="1"/>
  <c r="T5" s="1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O9" s="1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W93" l="1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9"/>
  <c r="AQ9" s="1"/>
  <c r="AR9" s="1"/>
  <c r="AS9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BE9" l="1"/>
  <c r="AS25"/>
  <c r="AN53"/>
  <c r="AO53" s="1"/>
  <c r="AN65"/>
  <c r="AO65" s="1"/>
  <c r="AO18"/>
  <c r="AY9"/>
  <c r="E9" s="1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O34" s="1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T9" l="1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10"/>
  <c r="BF14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BF1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P34"/>
  <c r="AQ34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26"/>
  <c r="BF36"/>
  <c r="BG35"/>
  <c r="BG37"/>
  <c r="BG31"/>
  <c r="BG10" s="1"/>
  <c r="U23" l="1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H64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E35" s="1"/>
  <c r="AR36"/>
  <c r="AS36" s="1"/>
  <c r="AR34"/>
  <c r="AS34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W65"/>
  <c r="U65"/>
  <c r="AL65"/>
  <c r="AA65"/>
  <c r="S65"/>
  <c r="Z65"/>
  <c r="AF65"/>
  <c r="AB65"/>
  <c r="Y65"/>
  <c r="AG65"/>
  <c r="X65"/>
  <c r="AE65"/>
  <c r="AD65"/>
  <c r="AI65"/>
  <c r="AC65"/>
  <c r="AK65"/>
  <c r="R65"/>
  <c r="AM65"/>
  <c r="AJ65"/>
  <c r="AH65"/>
  <c r="U42"/>
  <c r="AJ42"/>
  <c r="W42"/>
  <c r="R42"/>
  <c r="T42"/>
  <c r="V42"/>
  <c r="T24"/>
  <c r="R24"/>
  <c r="AJ24"/>
  <c r="S64"/>
  <c r="AB64"/>
  <c r="AK64"/>
  <c r="AJ64"/>
  <c r="AE64"/>
  <c r="X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T35"/>
  <c r="W35"/>
  <c r="U35"/>
  <c r="AJ35"/>
  <c r="V35"/>
  <c r="R35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E34" s="1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L35"/>
  <c r="AI35"/>
  <c r="AM35"/>
  <c r="AH35"/>
  <c r="AK35"/>
  <c r="AH21"/>
  <c r="AI21"/>
  <c r="AL21"/>
  <c r="AM21"/>
  <c r="AK21"/>
  <c r="AK39"/>
  <c r="AH4"/>
  <c r="AK4"/>
  <c r="AM4"/>
  <c r="AL4"/>
  <c r="AI4"/>
  <c r="Y4"/>
  <c r="AA35"/>
  <c r="AE35"/>
  <c r="Z35"/>
  <c r="Y35"/>
  <c r="AG35"/>
  <c r="X35"/>
  <c r="AF35"/>
  <c r="AB35"/>
  <c r="S35"/>
  <c r="AD35"/>
  <c r="AC35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AI34"/>
  <c r="AM34"/>
  <c r="AA34"/>
  <c r="AE34"/>
  <c r="AH34"/>
  <c r="W34"/>
  <c r="V34"/>
  <c r="S38"/>
  <c r="AH38"/>
  <c r="T38"/>
  <c r="S36"/>
  <c r="R61"/>
  <c r="X34"/>
  <c r="AE61"/>
  <c r="S34"/>
  <c r="AK61"/>
  <c r="AI61"/>
  <c r="X61"/>
  <c r="AB34"/>
  <c r="AJ34"/>
  <c r="AL61"/>
  <c r="AD34"/>
  <c r="V36"/>
  <c r="V61"/>
  <c r="T61"/>
  <c r="R34"/>
  <c r="AG38"/>
  <c r="AA36"/>
  <c r="U34"/>
  <c r="AH61"/>
  <c r="AJ36"/>
  <c r="R37"/>
  <c r="AA37"/>
  <c r="T37"/>
  <c r="AJ37"/>
  <c r="T36"/>
  <c r="AB38"/>
  <c r="AF34"/>
  <c r="AD36"/>
  <c r="AM38"/>
  <c r="U38"/>
  <c r="W36"/>
  <c r="T34"/>
  <c r="W61"/>
  <c r="U61"/>
  <c r="AB61"/>
  <c r="AJ38"/>
  <c r="R38"/>
  <c r="AC38"/>
  <c r="AC34"/>
  <c r="Z34"/>
  <c r="AK34"/>
  <c r="W38"/>
  <c r="AA61"/>
  <c r="AF61"/>
  <c r="AD38"/>
  <c r="AA38"/>
  <c r="X38"/>
  <c r="Y34"/>
  <c r="AL34"/>
  <c r="AD61"/>
  <c r="AC61"/>
  <c r="AJ61"/>
  <c r="V38"/>
  <c r="Z38"/>
  <c r="AF38"/>
  <c r="AG34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BD29" l="1"/>
  <c r="BD24"/>
  <c r="BD23"/>
  <c r="BD11"/>
  <c r="BD13"/>
  <c r="BD19"/>
  <c r="BD14"/>
  <c r="BD25"/>
  <c r="BD17"/>
  <c r="BD27"/>
  <c r="BD16"/>
  <c r="BD15"/>
  <c r="BD28"/>
  <c r="BD26"/>
  <c r="BD18"/>
  <c r="BD20"/>
  <c r="BD22"/>
  <c r="BD21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9" l="1"/>
  <c r="AY25"/>
  <c r="E25" s="1"/>
  <c r="AJ59" l="1"/>
  <c r="X59"/>
  <c r="AH59"/>
  <c r="U59"/>
  <c r="Y59"/>
  <c r="Z59"/>
  <c r="AK59"/>
  <c r="AI59"/>
  <c r="AA59"/>
  <c r="R59"/>
  <c r="W59"/>
  <c r="T59"/>
  <c r="AG59"/>
  <c r="AM59"/>
  <c r="V59"/>
  <c r="AE59"/>
  <c r="AB59"/>
  <c r="AD59"/>
  <c r="AF59"/>
  <c r="S59"/>
  <c r="AL59"/>
  <c r="AC59"/>
  <c r="V25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AG60"/>
  <c r="AH60"/>
  <c r="T60"/>
  <c r="AL60"/>
  <c r="Y60"/>
  <c r="V60"/>
  <c r="AM60"/>
  <c r="AD60"/>
  <c r="X60"/>
  <c r="AA60"/>
  <c r="AK60"/>
  <c r="W60"/>
  <c r="AJ60"/>
  <c r="AF60"/>
  <c r="AI60"/>
  <c r="Z60"/>
  <c r="AE60"/>
  <c r="AB60"/>
  <c r="R60"/>
  <c r="U60"/>
  <c r="C59" l="1"/>
  <c r="E58" s="1"/>
  <c r="V58" s="1"/>
  <c r="S58" l="1"/>
  <c r="C11" s="1"/>
  <c r="Y58"/>
  <c r="BE19" s="1"/>
  <c r="BL19" s="1"/>
  <c r="AB58"/>
  <c r="BE22" s="1"/>
  <c r="BL22" s="1"/>
  <c r="T58"/>
  <c r="C12" s="1"/>
  <c r="Z58"/>
  <c r="BE20" s="1"/>
  <c r="BL20" s="1"/>
  <c r="U58"/>
  <c r="C13" s="1"/>
  <c r="AK58"/>
  <c r="BE27" s="1"/>
  <c r="BL27" s="1"/>
  <c r="AL58"/>
  <c r="BE28" s="1"/>
  <c r="BL28" s="1"/>
  <c r="AF58"/>
  <c r="C35" s="1"/>
  <c r="AC58"/>
  <c r="C31" s="1"/>
  <c r="AI58"/>
  <c r="BE25" s="1"/>
  <c r="BL25" s="1"/>
  <c r="AH58"/>
  <c r="C23" s="1"/>
  <c r="AM58"/>
  <c r="AA58"/>
  <c r="BE21" s="1"/>
  <c r="BL21" s="1"/>
  <c r="AG58"/>
  <c r="C21" s="1"/>
  <c r="AE58"/>
  <c r="C33" s="1"/>
  <c r="AJ58"/>
  <c r="C25" s="1"/>
  <c r="X58"/>
  <c r="BE18" s="1"/>
  <c r="BL18" s="1"/>
  <c r="AD58"/>
  <c r="C62" s="1"/>
  <c r="R58"/>
  <c r="BE11" s="1"/>
  <c r="C10" s="1"/>
  <c r="W58"/>
  <c r="C82" s="1"/>
  <c r="C14"/>
  <c r="C81"/>
  <c r="C63"/>
  <c r="BE16"/>
  <c r="BL16" s="1"/>
  <c r="C27" l="1"/>
  <c r="C78"/>
  <c r="C68" s="1"/>
  <c r="C44" s="1"/>
  <c r="BE23"/>
  <c r="BL23" s="1"/>
  <c r="BE15"/>
  <c r="BL15" s="1"/>
  <c r="C19"/>
  <c r="C73" s="1"/>
  <c r="C49" s="1"/>
  <c r="C32"/>
  <c r="C20"/>
  <c r="BE14"/>
  <c r="BL14" s="1"/>
  <c r="C17"/>
  <c r="C71" s="1"/>
  <c r="C47" s="1"/>
  <c r="C76"/>
  <c r="C66" s="1"/>
  <c r="C42" s="1"/>
  <c r="BE24"/>
  <c r="BL24" s="1"/>
  <c r="C28"/>
  <c r="C61"/>
  <c r="C15"/>
  <c r="BE26"/>
  <c r="BL26" s="1"/>
  <c r="C80"/>
  <c r="C29"/>
  <c r="C75"/>
  <c r="C65" s="1"/>
  <c r="C41" s="1"/>
  <c r="C58"/>
  <c r="BE17"/>
  <c r="BL17" s="1"/>
  <c r="C24"/>
  <c r="BE13"/>
  <c r="BL13" s="1"/>
  <c r="C77"/>
  <c r="C67" s="1"/>
  <c r="C43" s="1"/>
  <c r="C16"/>
  <c r="C70" s="1"/>
  <c r="C46" s="1"/>
  <c r="C60"/>
  <c r="C83"/>
  <c r="BE29"/>
  <c r="BL29" s="1"/>
  <c r="C18"/>
  <c r="C72" s="1"/>
  <c r="C48" s="1"/>
  <c r="C7" l="1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<sst xmlns="http://schemas.openxmlformats.org/spreadsheetml/2006/main" count="324" uniqueCount="222">
  <si>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</si>
  <si>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</si>
  <si>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</si>
  <si>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</si>
  <si>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</si>
  <si>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</si>
  <si>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</si>
  <si>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</si>
  <si>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</si>
  <si>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</si>
  <si>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</si>
  <si>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</si>
  <si>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</si>
  <si>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</si>
  <si>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</si>
  <si>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</si>
  <si>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</si>
  <si>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</si>
  <si>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</si>
  <si>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</si>
  <si>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</si>
  <si>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</si>
  <si>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</si>
  <si>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</si>
  <si>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</si>
  <si>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</si>
  <si>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</si>
  <si>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</si>
  <si>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</si>
  <si>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</si>
  <si>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</si>
  <si>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</si>
  <si>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</si>
  <si>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</si>
  <si>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</si>
  <si>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</si>
  <si>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</si>
  <si>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</si>
  <si>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</si>
  <si>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</si>
  <si>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</si>
  <si>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</si>
  <si>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</si>
  <si>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</si>
  <si>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</si>
  <si>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</si>
  <si>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</si>
  <si>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</si>
  <si>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</si>
  <si>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</si>
  <si>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</si>
  <si>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</si>
  <si>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</si>
  <si>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</si>
  <si>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</si>
  <si>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</si>
  <si>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</si>
  <si>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</si>
  <si>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</si>
  <si>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</si>
  <si>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</si>
  <si>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</si>
  <si>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</si>
  <si>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</si>
  <si>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</si>
  <si>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</si>
  <si>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</si>
  <si>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</si>
  <si>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</si>
  <si>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</si>
  <si>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</si>
  <si>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</si>
  <si>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</si>
  <si>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</si>
  <si>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</si>
  <si>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</si>
  <si>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</si>
  <si>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</si>
  <si>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</si>
  <si>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</si>
  <si>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</si>
  <si>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</si>
  <si>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</si>
  <si>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</si>
  <si>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</si>
  <si>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</si>
  <si>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</si>
  <si>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</si>
  <si>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</si>
  <si>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</si>
  <si>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</si>
  <si>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</si>
  <si>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</si>
  <si>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</si>
  <si>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</si>
  <si>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</si>
  <si>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</si>
  <si>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</si>
  <si>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</si>
  <si>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</si>
  <si>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</si>
  <si>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</si>
  <si>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</si>
  <si>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</si>
  <si>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</si>
  <si>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</si>
  <si>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</si>
  <si>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</si>
  <si>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</si>
  <si>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</si>
  <si>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</si>
  <si>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</si>
  <si>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</si>
  <si>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</si>
  <si>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</si>
  <si>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</si>
  <si>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</si>
  <si>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</si>
  <si>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</si>
  <si>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</si>
  <si>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</si>
  <si>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</si>
  <si>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</si>
  <si>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</si>
  <si>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</si>
  <si>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</si>
  <si>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</si>
  <si>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</si>
  <si>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</si>
  <si>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</si>
  <si>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</si>
  <si>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</si>
  <si>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</si>
  <si>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</si>
  <si>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</si>
  <si>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</si>
  <si>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</si>
  <si>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</si>
  <si>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</si>
  <si>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</si>
  <si>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</si>
  <si>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</si>
  <si>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</si>
  <si>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</si>
  <si>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</si>
  <si>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</si>
  <si>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</si>
  <si>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</si>
  <si>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</si>
  <si>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</si>
  <si>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</si>
  <si>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</si>
  <si>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</si>
  <si>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</si>
  <si>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</si>
  <si>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</si>
  <si>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</si>
  <si>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</si>
  <si>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</si>
  <si>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</si>
  <si>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</si>
  <si>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</si>
  <si>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</si>
  <si>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</si>
  <si>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</si>
  <si>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</si>
  <si>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</si>
  <si>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</si>
  <si>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</si>
  <si>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</si>
  <si>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</si>
  <si>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</si>
  <si>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</si>
  <si>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</si>
  <si>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</si>
  <si>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</si>
  <si>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</si>
  <si>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</si>
  <si>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</si>
  <si>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</si>
  <si>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</si>
  <si>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</si>
  <si>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</si>
  <si>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</si>
  <si>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Habitation Module</t>
  </si>
  <si>
    <t>PunchCards per Module</t>
  </si>
  <si>
    <t>Kerbal 0.10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</si>
  <si>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</si>
  <si>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</si>
  <si>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</si>
  <si>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</si>
  <si>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</si>
  <si>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</si>
  <si>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</si>
  <si>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</si>
  <si>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</si>
  <si>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</si>
  <si>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</si>
  <si>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</si>
  <si>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</si>
  <si>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</si>
  <si>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</si>
  <si>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</si>
  <si>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</si>
  <si>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</si>
  <si>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t>Is Primary</t>
  </si>
  <si>
    <t>Need more room for basedescriptions? Extend Columns E-AZ further down.</t>
  </si>
  <si>
    <t>Ore Usage / day</t>
  </si>
  <si>
    <t>Minerals Usage /day</t>
  </si>
  <si>
    <t>Substrate Usage /day</t>
  </si>
  <si>
    <t>57 Refueling ILM</t>
  </si>
  <si>
    <t>Water Usage /day</t>
  </si>
  <si>
    <t>Minimal Number of Mining ILMs to run smoothly on Rails</t>
  </si>
  <si>
    <t>Min</t>
  </si>
  <si>
    <t>Sec</t>
  </si>
  <si>
    <t>Time</t>
  </si>
  <si>
    <t>Metal</t>
  </si>
  <si>
    <t>Delta Time</t>
  </si>
  <si>
    <t>Delta Metal</t>
  </si>
  <si>
    <t>..</t>
  </si>
  <si>
    <t>Base 5 contains the logistics hub and a lot of storage for extracted resources and fuel</t>
  </si>
  <si>
    <r>
      <t xml:space="preserve">USI Kolonization System V0.20.9 &amp; TAC LS v0.10
Base Planning Spreadsheet
</t>
    </r>
    <r>
      <rPr>
        <b/>
        <u/>
        <sz val="16"/>
        <color rgb="FFFF0000"/>
        <rFont val="Calibri"/>
        <family val="2"/>
      </rPr>
      <t>ONLY CHANGE THE BLUE CELLS</t>
    </r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</si>
</sst>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  <numFmt numFmtId="172" formatCode="0.000%"/>
  </numFmts>
  <fonts count="7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</font>
    <font>
      <b/>
      <u/>
      <sz val="16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172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 vertical="center"/>
    </xf>
  </cellXfs>
  <cellStyles count="3">
    <cellStyle name="cf1" xfId="2"/>
    <cellStyle name="Prozent" xfId="1" builtinId="5" customBuiltin="1"/>
    <cellStyle name="Standard" xfId="0" builtinId="0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topLeftCell="BN1" zoomScaleNormal="100" workbookViewId="0">
      <pane xSplit="2" ySplit="1" topLeftCell="CB13" activePane="bottomRight" state="frozen"/>
      <selection activeCell="BN1" sqref="BN1"/>
      <selection pane="topRight" activeCell="BP1" sqref="BP1"/>
      <selection pane="bottomLeft" activeCell="BN2" sqref="BN2"/>
      <selection pane="bottomRight" activeCell="CI33" sqref="CI33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customWidth="1"/>
    <col min="29" max="32" width="9" hidden="1" customWidth="1"/>
    <col min="33" max="39" width="9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customWidth="1"/>
    <col min="83" max="91" width="12.85546875" customWidth="1"/>
    <col min="92" max="92" width="15.7109375" customWidth="1"/>
    <col min="93" max="118" width="11.42578125" customWidth="1"/>
  </cols>
  <sheetData>
    <row r="1" spans="2:122" ht="153" customHeight="1">
      <c r="B1" s="42" t="s">
        <v>221</v>
      </c>
      <c r="C1" s="42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205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203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2.8102905982906002E-4</v>
      </c>
      <c r="CI2" s="7">
        <v>1.4100000000000001E-6</v>
      </c>
      <c r="CJ2" s="7">
        <v>1E-3</v>
      </c>
      <c r="CK2" s="7">
        <v>1.951E-6</v>
      </c>
      <c r="CL2" s="7">
        <v>7.5000000000000002E-4</v>
      </c>
      <c r="CM2" s="7">
        <v>1.005E-3</v>
      </c>
      <c r="CN2" s="15"/>
    </row>
    <row r="3" spans="2:122" ht="15" customHeight="1">
      <c r="B3" s="41" t="s">
        <v>22</v>
      </c>
      <c r="C3" s="41"/>
      <c r="E3" s="4" t="str">
        <f t="shared" si="2"/>
        <v/>
      </c>
      <c r="F3" s="19"/>
      <c r="G3" s="34"/>
      <c r="H3" s="35"/>
      <c r="I3" s="35"/>
      <c r="J3" s="36"/>
      <c r="K3" s="19"/>
      <c r="L3" s="37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178</v>
      </c>
      <c r="G4" s="34"/>
      <c r="H4" s="35"/>
      <c r="I4" s="35"/>
      <c r="J4" s="36"/>
      <c r="K4" s="19"/>
      <c r="L4" s="37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184</v>
      </c>
      <c r="BB4" s="5">
        <v>4</v>
      </c>
      <c r="BC4" s="5">
        <v>0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62</v>
      </c>
      <c r="E5" s="4">
        <f t="shared" ca="1" si="2"/>
        <v>1.125</v>
      </c>
      <c r="F5" s="19" t="s">
        <v>114</v>
      </c>
      <c r="G5" s="34">
        <v>9.1</v>
      </c>
      <c r="H5" s="35"/>
      <c r="I5" s="35"/>
      <c r="J5" s="36">
        <v>1</v>
      </c>
      <c r="K5" s="19">
        <v>1</v>
      </c>
      <c r="L5" s="37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197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4">
        <v>9.1999999999999993</v>
      </c>
      <c r="H6" s="35" t="str">
        <f>IF(H5="","",H5)</f>
        <v/>
      </c>
      <c r="I6" s="35" t="str">
        <f>IF(I5="","",I5)</f>
        <v/>
      </c>
      <c r="J6" s="36">
        <v>1</v>
      </c>
      <c r="K6" s="19">
        <v>1</v>
      </c>
      <c r="L6" s="37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200</v>
      </c>
      <c r="BB6" s="5">
        <v>0</v>
      </c>
      <c r="BC6" s="5">
        <v>1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s="43" t="s">
        <v>212</v>
      </c>
      <c r="C7" s="44">
        <f ca="1">ROUNDUP(-MIN(C80:C83)/2333,1)</f>
        <v>8.1999999999999993</v>
      </c>
      <c r="E7" s="4">
        <f t="shared" ca="1" si="2"/>
        <v>1.125</v>
      </c>
      <c r="F7" s="19" t="s">
        <v>117</v>
      </c>
      <c r="G7" s="34">
        <v>9.3000000000000007</v>
      </c>
      <c r="H7" s="35" t="str">
        <f>IF(H6="","",H6)</f>
        <v/>
      </c>
      <c r="I7" s="35" t="str">
        <f>IF(I6="","",I6)</f>
        <v/>
      </c>
      <c r="J7" s="36">
        <v>1</v>
      </c>
      <c r="K7" s="19">
        <v>1</v>
      </c>
      <c r="L7" s="37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s="43"/>
      <c r="C8" s="44"/>
      <c r="E8" s="4" t="str">
        <f t="shared" si="2"/>
        <v/>
      </c>
      <c r="F8" s="19"/>
      <c r="G8" s="34"/>
      <c r="H8" s="35"/>
      <c r="I8" s="35"/>
      <c r="J8" s="36"/>
      <c r="K8" s="19"/>
      <c r="L8" s="37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177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s="43"/>
      <c r="C9" s="44"/>
      <c r="E9" s="4">
        <f t="shared" ca="1" si="2"/>
        <v>1.3976999999999999</v>
      </c>
      <c r="F9" s="19" t="s">
        <v>33</v>
      </c>
      <c r="G9" s="34">
        <v>10</v>
      </c>
      <c r="H9" s="35">
        <v>0.89400000000000002</v>
      </c>
      <c r="I9" s="35"/>
      <c r="J9" s="36">
        <v>3</v>
      </c>
      <c r="K9" s="19">
        <v>1</v>
      </c>
      <c r="L9" s="37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-1.6927083333000001E-5</v>
      </c>
      <c r="AI9" s="15">
        <f t="shared" ca="1" si="23"/>
        <v>-1.7135375623849999E-3</v>
      </c>
      <c r="AJ9" s="15">
        <f t="shared" ca="1" si="24"/>
        <v>-1.1188078703999999E-5</v>
      </c>
      <c r="AK9" s="15">
        <f t="shared" ca="1" si="25"/>
        <v>1.4801288987600001E-3</v>
      </c>
      <c r="AL9" s="15">
        <f t="shared" ca="1" si="26"/>
        <v>1.5393518520000001E-6</v>
      </c>
      <c r="AM9" s="15">
        <f t="shared" ca="1" si="27"/>
        <v>1.4247685185E-5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139</v>
      </c>
      <c r="C10">
        <f ca="1">MIN(BB11:BK11)</f>
        <v>23.271230158730162</v>
      </c>
      <c r="E10" s="4">
        <f t="shared" ca="1" si="2"/>
        <v>2.3192999999999997</v>
      </c>
      <c r="F10" s="19" t="s">
        <v>34</v>
      </c>
      <c r="G10" s="34">
        <v>11</v>
      </c>
      <c r="H10" s="35">
        <v>0.1</v>
      </c>
      <c r="I10" s="35">
        <v>0.246</v>
      </c>
      <c r="J10" s="36">
        <v>3</v>
      </c>
      <c r="K10" s="19">
        <v>1</v>
      </c>
      <c r="L10" s="37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-3.3854166666000003E-5</v>
      </c>
      <c r="AI10" s="15">
        <f t="shared" ca="1" si="23"/>
        <v>-3.4270751247699998E-3</v>
      </c>
      <c r="AJ10" s="15">
        <f t="shared" ca="1" si="24"/>
        <v>-2.2376157407999999E-5</v>
      </c>
      <c r="AK10" s="15">
        <f t="shared" ca="1" si="25"/>
        <v>2.9602577975200001E-3</v>
      </c>
      <c r="AL10" s="15">
        <f t="shared" ca="1" si="26"/>
        <v>3.0787037040000002E-6</v>
      </c>
      <c r="AM10" s="15">
        <f t="shared" ca="1" si="27"/>
        <v>2.849537037E-5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140</v>
      </c>
      <c r="C11">
        <f ca="1">SUM(S:S)</f>
        <v>3.5285870858746828E-2</v>
      </c>
      <c r="E11" s="4">
        <f t="shared" ca="1" si="2"/>
        <v>2.0385</v>
      </c>
      <c r="F11" s="19" t="s">
        <v>31</v>
      </c>
      <c r="G11" s="34">
        <v>0</v>
      </c>
      <c r="H11" s="35">
        <v>0.47</v>
      </c>
      <c r="I11" s="35">
        <v>0.5</v>
      </c>
      <c r="J11" s="36">
        <v>1</v>
      </c>
      <c r="K11" s="19">
        <v>1</v>
      </c>
      <c r="L11" s="37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-3.3854166666000003E-5</v>
      </c>
      <c r="AI11" s="15">
        <f t="shared" ca="1" si="23"/>
        <v>-3.4270751247699998E-3</v>
      </c>
      <c r="AJ11" s="15">
        <f t="shared" ca="1" si="24"/>
        <v>-2.2376157407999999E-5</v>
      </c>
      <c r="AK11" s="15">
        <f t="shared" ca="1" si="25"/>
        <v>2.9602577975200001E-3</v>
      </c>
      <c r="AL11" s="15">
        <f t="shared" ca="1" si="26"/>
        <v>3.0787037040000002E-6</v>
      </c>
      <c r="AM11" s="15">
        <f t="shared" ca="1" si="27"/>
        <v>2.849537037E-5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67.814575116774478</v>
      </c>
      <c r="BE11" s="9">
        <f t="shared" ca="1" si="55"/>
        <v>23.271230158730162</v>
      </c>
      <c r="BF11" s="9">
        <f t="shared" ca="1" si="55"/>
        <v>85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157</v>
      </c>
      <c r="C12">
        <f ca="1">SUM(T:T)</f>
        <v>1.4975555555555555</v>
      </c>
      <c r="E12" s="4">
        <f t="shared" si="2"/>
        <v>1</v>
      </c>
      <c r="F12" s="19" t="s">
        <v>173</v>
      </c>
      <c r="G12" s="34">
        <v>210</v>
      </c>
      <c r="H12" s="35"/>
      <c r="I12" s="35"/>
      <c r="J12" s="36"/>
      <c r="K12" s="19">
        <v>1</v>
      </c>
      <c r="L12" s="37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3.2452726574999999E-4</v>
      </c>
      <c r="CC12" s="7">
        <v>-2.125E-7</v>
      </c>
      <c r="CD12" s="7">
        <v>-2.125E-7</v>
      </c>
      <c r="CE12" s="7"/>
      <c r="CF12" s="7">
        <v>4.2500000000000001E-7</v>
      </c>
      <c r="CG12" s="7"/>
      <c r="CH12" s="7"/>
      <c r="CI12" s="7"/>
      <c r="CJ12" s="7">
        <v>-6.2422730897999999E-4</v>
      </c>
      <c r="CK12" s="7">
        <v>9.0895593895410007E-2</v>
      </c>
      <c r="CL12" s="7"/>
      <c r="CM12" s="7">
        <v>6.8629536528E-4</v>
      </c>
      <c r="CN12" s="15">
        <f>SUM(BT12:CM12)</f>
        <v>-3.6217810782540043E-2</v>
      </c>
      <c r="CO12">
        <f t="shared" si="44"/>
        <v>-1.018165672379684E-3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7.0097889402</v>
      </c>
      <c r="DD12">
        <f t="shared" si="56"/>
        <v>-4.5899999999999995E-3</v>
      </c>
      <c r="DE12">
        <f t="shared" si="56"/>
        <v>-4.5899999999999995E-3</v>
      </c>
      <c r="DF12">
        <f t="shared" si="56"/>
        <v>0</v>
      </c>
      <c r="DG12">
        <f t="shared" si="56"/>
        <v>9.1799999999999989E-3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-13.483309873968</v>
      </c>
      <c r="DL12">
        <f t="shared" si="56"/>
        <v>1963.3448281408562</v>
      </c>
      <c r="DM12">
        <f t="shared" si="56"/>
        <v>0</v>
      </c>
      <c r="DN12">
        <f t="shared" ref="DN12:DN23" si="57">CM12 * 60 * 60 * 6</f>
        <v>14.823979890047998</v>
      </c>
    </row>
    <row r="13" spans="2:122">
      <c r="B13" t="s">
        <v>120</v>
      </c>
      <c r="C13">
        <f ca="1">SUM(U:U)</f>
        <v>5.3105227272727271</v>
      </c>
      <c r="E13" s="4">
        <f t="shared" si="2"/>
        <v>1</v>
      </c>
      <c r="F13" s="19" t="s">
        <v>163</v>
      </c>
      <c r="G13" s="34">
        <v>200</v>
      </c>
      <c r="H13" s="35"/>
      <c r="I13" s="35"/>
      <c r="J13" s="36"/>
      <c r="K13" s="19">
        <v>1</v>
      </c>
      <c r="L13" s="37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-2.0646706095071685E-3</v>
      </c>
      <c r="BE13" s="15">
        <f t="shared" ca="1" si="58"/>
        <v>2.8860953968253986E-2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3.5285870858746821E-2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>
        <v>-2.125E-7</v>
      </c>
      <c r="CD13" s="7">
        <v>-2.125E-7</v>
      </c>
      <c r="CE13" s="7"/>
      <c r="CF13" s="7">
        <v>4.2500000000000001E-7</v>
      </c>
      <c r="CG13" s="7">
        <v>2.3408524086E-4</v>
      </c>
      <c r="CH13" s="7"/>
      <c r="CI13" s="7"/>
      <c r="CJ13" s="7">
        <v>-6.2422730897999999E-4</v>
      </c>
      <c r="CK13" s="7">
        <v>9.0895593895410007E-2</v>
      </c>
      <c r="CL13" s="7"/>
      <c r="CM13" s="7">
        <v>6.8629536528E-4</v>
      </c>
      <c r="CN13" s="15">
        <f t="shared" ref="CN13:CN17" si="60">SUM(BT13:CM13)</f>
        <v>-3.6308252807430046E-2</v>
      </c>
      <c r="CO13">
        <f t="shared" si="44"/>
        <v>-1.0240071631631839E-3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-4.5899999999999995E-3</v>
      </c>
      <c r="DE13">
        <f t="shared" ref="DE13:DE23" si="73">CD13 * 60 * 60 * 6</f>
        <v>-4.5899999999999995E-3</v>
      </c>
      <c r="DF13">
        <f t="shared" ref="DF13:DF23" si="74">CE13 * 60 * 60 * 6</f>
        <v>0</v>
      </c>
      <c r="DG13">
        <f t="shared" ref="DG13:DG23" si="75">CF13 * 60 * 60 * 6</f>
        <v>9.1799999999999989E-3</v>
      </c>
      <c r="DH13">
        <f t="shared" ref="DH13:DH23" si="76">CG13 * 60 * 60 * 6</f>
        <v>5.0562412025759995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-13.483309873968</v>
      </c>
      <c r="DL13">
        <f t="shared" ref="DL13:DL23" si="80">CK13 * 60 * 60 * 6</f>
        <v>1963.3448281408562</v>
      </c>
      <c r="DM13">
        <f t="shared" ref="DM13:DM23" si="81">CL13 * 60 * 60 * 6</f>
        <v>0</v>
      </c>
      <c r="DN13">
        <f t="shared" si="57"/>
        <v>14.823979890047998</v>
      </c>
    </row>
    <row r="14" spans="2:122">
      <c r="B14" t="s">
        <v>141</v>
      </c>
      <c r="C14">
        <f ca="1">SUM(V:V)</f>
        <v>3.0880477528089885</v>
      </c>
      <c r="E14" s="4">
        <f t="shared" si="2"/>
        <v>1</v>
      </c>
      <c r="F14" s="19" t="s">
        <v>163</v>
      </c>
      <c r="G14" s="34">
        <v>200</v>
      </c>
      <c r="H14" s="35"/>
      <c r="I14" s="35"/>
      <c r="J14" s="36"/>
      <c r="K14" s="19">
        <v>1</v>
      </c>
      <c r="L14" s="37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0.29951111111111112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1.4975555555555558</v>
      </c>
      <c r="BN14" s="7" t="s">
        <v>194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1.8726819269400001E-2</v>
      </c>
      <c r="CK14" s="7"/>
      <c r="CL14" s="7"/>
      <c r="CM14" s="7">
        <v>-2.0588860958399999E-2</v>
      </c>
      <c r="CN14" s="23">
        <f t="shared" si="60"/>
        <v>-1.8620416889999977E-3</v>
      </c>
      <c r="CO14">
        <f t="shared" si="44"/>
        <v>-6.2149859937919963E-6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404.49929621903999</v>
      </c>
      <c r="DL14">
        <f t="shared" si="80"/>
        <v>0</v>
      </c>
      <c r="DM14">
        <f t="shared" si="81"/>
        <v>0</v>
      </c>
      <c r="DN14">
        <f t="shared" si="57"/>
        <v>-444.71939670144002</v>
      </c>
    </row>
    <row r="15" spans="2:122">
      <c r="B15" t="s">
        <v>122</v>
      </c>
      <c r="C15">
        <f ca="1">SUM(W:W)</f>
        <v>1.9948363095238095</v>
      </c>
      <c r="E15" s="4" t="str">
        <f t="shared" si="2"/>
        <v/>
      </c>
      <c r="F15" s="19"/>
      <c r="G15" s="34"/>
      <c r="H15" s="35"/>
      <c r="I15" s="35"/>
      <c r="J15" s="36"/>
      <c r="K15" s="19"/>
      <c r="L15" s="37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1.9614242424242423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5.3105227272727271</v>
      </c>
      <c r="BN15" s="7" t="s">
        <v>195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2.1635151050000001E-5</v>
      </c>
      <c r="CC15" s="7">
        <v>-2.125E-7</v>
      </c>
      <c r="CD15" s="7">
        <v>-2.125E-7</v>
      </c>
      <c r="CE15" s="7"/>
      <c r="CF15" s="7">
        <v>4.2500000000000001E-7</v>
      </c>
      <c r="CG15" s="7">
        <v>-1.5605682724000002E-5</v>
      </c>
      <c r="CH15" s="7"/>
      <c r="CI15" s="7">
        <v>7.0431836926519997E-3</v>
      </c>
      <c r="CJ15" s="22">
        <v>-4.1615153932E-5</v>
      </c>
      <c r="CK15" s="7">
        <v>-6.0597062596939996E-3</v>
      </c>
      <c r="CL15" s="7"/>
      <c r="CM15" s="7">
        <v>4.5753024351999997E-5</v>
      </c>
      <c r="CN15" s="23">
        <f t="shared" si="60"/>
        <v>9.9364477170399987E-4</v>
      </c>
      <c r="CO15">
        <f>SUMPRODUCT($BR$2:$CM$2,BR15:CM15)</f>
        <v>-3.8580922434642624E-6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0.46731926268000007</v>
      </c>
      <c r="DD15">
        <f t="shared" si="72"/>
        <v>-4.5899999999999995E-3</v>
      </c>
      <c r="DE15">
        <f t="shared" si="73"/>
        <v>-4.5899999999999995E-3</v>
      </c>
      <c r="DF15">
        <f t="shared" si="74"/>
        <v>0</v>
      </c>
      <c r="DG15">
        <f t="shared" si="75"/>
        <v>9.1799999999999989E-3</v>
      </c>
      <c r="DH15">
        <f t="shared" si="76"/>
        <v>-0.3370827468384</v>
      </c>
      <c r="DI15">
        <f t="shared" si="77"/>
        <v>0</v>
      </c>
      <c r="DJ15">
        <f t="shared" si="78"/>
        <v>152.13276776128322</v>
      </c>
      <c r="DK15">
        <f t="shared" si="79"/>
        <v>-0.89888732493120005</v>
      </c>
      <c r="DL15">
        <f t="shared" si="80"/>
        <v>-130.88965520939041</v>
      </c>
      <c r="DM15">
        <f t="shared" si="81"/>
        <v>0</v>
      </c>
      <c r="DN15">
        <f t="shared" si="57"/>
        <v>0.98826532600319994</v>
      </c>
    </row>
    <row r="16" spans="2:122">
      <c r="B16" t="s">
        <v>123</v>
      </c>
      <c r="C16">
        <f ca="1">SUM(X:X)</f>
        <v>2.9579759196502988E-2</v>
      </c>
      <c r="E16" s="4" t="str">
        <f t="shared" si="2"/>
        <v/>
      </c>
      <c r="F16" s="19"/>
      <c r="G16" s="34"/>
      <c r="H16" s="35"/>
      <c r="I16" s="35"/>
      <c r="J16" s="36"/>
      <c r="K16" s="19"/>
      <c r="L16" s="37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1.2205992509363295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3.0880477528089885</v>
      </c>
      <c r="BN16" t="s">
        <v>196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>
        <v>-2.125E-7</v>
      </c>
      <c r="CD16" s="7">
        <v>-2.125E-7</v>
      </c>
      <c r="CE16" s="7"/>
      <c r="CF16" s="7">
        <v>4.2500000000000001E-7</v>
      </c>
      <c r="CG16" s="7"/>
      <c r="CH16" s="7"/>
      <c r="CI16" s="7">
        <v>-7.0431836926519997E-3</v>
      </c>
      <c r="CJ16" s="7"/>
      <c r="CK16" s="7">
        <v>6.0597062596939996E-3</v>
      </c>
      <c r="CL16" s="7"/>
      <c r="CM16" s="7"/>
      <c r="CN16" s="15">
        <f t="shared" si="60"/>
        <v>-9.8347743295800014E-4</v>
      </c>
      <c r="CO16">
        <f t="shared" ref="CO16:CO38" si="86">SUMPRODUCT($BR$2:$CM$2,BR16:CM16)</f>
        <v>-4.2481084020939756E-6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-4.5899999999999995E-3</v>
      </c>
      <c r="DE16">
        <f t="shared" si="73"/>
        <v>-4.5899999999999995E-3</v>
      </c>
      <c r="DF16">
        <f t="shared" si="74"/>
        <v>0</v>
      </c>
      <c r="DG16">
        <f t="shared" si="75"/>
        <v>9.1799999999999989E-3</v>
      </c>
      <c r="DH16">
        <f t="shared" si="76"/>
        <v>0</v>
      </c>
      <c r="DI16">
        <f t="shared" si="77"/>
        <v>0</v>
      </c>
      <c r="DJ16">
        <f t="shared" si="78"/>
        <v>-152.13276776128322</v>
      </c>
      <c r="DK16">
        <f t="shared" si="79"/>
        <v>0</v>
      </c>
      <c r="DL16">
        <f t="shared" si="80"/>
        <v>130.88965520939041</v>
      </c>
      <c r="DM16">
        <f t="shared" si="81"/>
        <v>0</v>
      </c>
      <c r="DN16">
        <f t="shared" si="57"/>
        <v>0</v>
      </c>
    </row>
    <row r="17" spans="2:119">
      <c r="B17" t="s">
        <v>124</v>
      </c>
      <c r="C17">
        <f ca="1">SUM(Y:Y)</f>
        <v>2.4276106109028472E-2</v>
      </c>
      <c r="E17" s="4" t="str">
        <f t="shared" si="2"/>
        <v/>
      </c>
      <c r="F17" s="19"/>
      <c r="G17" s="34"/>
      <c r="H17" s="35"/>
      <c r="I17" s="35"/>
      <c r="J17" s="36"/>
      <c r="K17" s="19"/>
      <c r="L17" s="37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1.6091765873015873</v>
      </c>
      <c r="BE17" s="15">
        <f t="shared" ca="1" si="87"/>
        <v>0</v>
      </c>
      <c r="BF17" s="15">
        <f t="shared" ca="1" si="87"/>
        <v>0.95940972222222221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1.9948363095238095</v>
      </c>
      <c r="BN17" s="7" t="s">
        <v>187</v>
      </c>
      <c r="BO17" s="7">
        <v>7.4</v>
      </c>
      <c r="BP17" s="7" t="s">
        <v>197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4.6817048173499999E-2</v>
      </c>
      <c r="CK17" s="7"/>
      <c r="CL17" s="7"/>
      <c r="CM17" s="7">
        <v>-5.1472152395999997E-2</v>
      </c>
      <c r="CN17" s="23">
        <f t="shared" si="60"/>
        <v>-4.6551042224999978E-3</v>
      </c>
      <c r="CO17">
        <f t="shared" si="86"/>
        <v>-9.1624649844799949E-6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1011.2482405476001</v>
      </c>
      <c r="DL17">
        <f t="shared" si="80"/>
        <v>0</v>
      </c>
      <c r="DM17">
        <f t="shared" si="81"/>
        <v>0</v>
      </c>
      <c r="DN17">
        <f t="shared" si="57"/>
        <v>-1111.7984917536</v>
      </c>
    </row>
    <row r="18" spans="2:119">
      <c r="B18" t="s">
        <v>125</v>
      </c>
      <c r="C18">
        <f ca="1">SUM(Z:Z)</f>
        <v>5.861947194468504E-3</v>
      </c>
      <c r="E18" s="4" t="str">
        <f t="shared" si="2"/>
        <v/>
      </c>
      <c r="F18" s="19"/>
      <c r="G18" s="34"/>
      <c r="H18" s="35"/>
      <c r="I18" s="35"/>
      <c r="J18" s="36"/>
      <c r="K18" s="19"/>
      <c r="L18" s="37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2.0159196503024757E-5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2.9579759196502988E-2</v>
      </c>
      <c r="BN18" s="7" t="s">
        <v>188</v>
      </c>
      <c r="BO18" s="7">
        <v>7.5</v>
      </c>
      <c r="BP18" s="7" t="s">
        <v>197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5.4087877625000002E-5</v>
      </c>
      <c r="CC18" s="7">
        <v>-2.125E-7</v>
      </c>
      <c r="CD18" s="7">
        <v>-2.125E-7</v>
      </c>
      <c r="CE18" s="7"/>
      <c r="CF18" s="7">
        <v>4.2500000000000001E-7</v>
      </c>
      <c r="CG18" s="7">
        <v>-3.9014206810000002E-5</v>
      </c>
      <c r="CH18" s="7"/>
      <c r="CI18" s="7">
        <v>1.7607959231629999E-2</v>
      </c>
      <c r="CJ18" s="7">
        <v>-1.0403788482999999E-4</v>
      </c>
      <c r="CK18" s="7">
        <v>-1.5149265649234999E-2</v>
      </c>
      <c r="CL18" s="7"/>
      <c r="CM18" s="7">
        <v>1.1438256088E-4</v>
      </c>
      <c r="CN18" s="23">
        <f t="shared" ref="CN18:CN22" si="89">SUM(BT18:CM18)</f>
        <v>2.4841119292600029E-3</v>
      </c>
      <c r="CO18">
        <f t="shared" si="86"/>
        <v>-3.2702306086606596E-6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1.1682981567000001</v>
      </c>
      <c r="DD18">
        <f t="shared" si="72"/>
        <v>-4.5899999999999995E-3</v>
      </c>
      <c r="DE18">
        <f t="shared" si="73"/>
        <v>-4.5899999999999995E-3</v>
      </c>
      <c r="DF18">
        <f t="shared" si="74"/>
        <v>0</v>
      </c>
      <c r="DG18">
        <f t="shared" si="75"/>
        <v>9.1799999999999989E-3</v>
      </c>
      <c r="DH18">
        <f t="shared" si="76"/>
        <v>-0.84270686709600007</v>
      </c>
      <c r="DI18">
        <f t="shared" si="77"/>
        <v>0</v>
      </c>
      <c r="DJ18">
        <f t="shared" si="78"/>
        <v>380.33191940320796</v>
      </c>
      <c r="DK18">
        <f t="shared" si="79"/>
        <v>-2.2472183123280001</v>
      </c>
      <c r="DL18">
        <f t="shared" si="80"/>
        <v>-327.22413802347597</v>
      </c>
      <c r="DM18">
        <f t="shared" si="81"/>
        <v>0</v>
      </c>
      <c r="DN18">
        <f t="shared" si="57"/>
        <v>2.4706633150079997</v>
      </c>
    </row>
    <row r="19" spans="2:119">
      <c r="B19" t="s">
        <v>126</v>
      </c>
      <c r="C19">
        <f ca="1">SUM(AA:AA)</f>
        <v>0.11240718750000001</v>
      </c>
      <c r="E19" s="4" t="str">
        <f t="shared" si="2"/>
        <v/>
      </c>
      <c r="F19" s="19" t="s">
        <v>204</v>
      </c>
      <c r="G19" s="34"/>
      <c r="H19" s="35"/>
      <c r="I19" s="35"/>
      <c r="J19" s="36"/>
      <c r="K19" s="19"/>
      <c r="L19" s="37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-4.9938909715399421E-6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2.4276106109028472E-2</v>
      </c>
      <c r="BN19" s="7" t="s">
        <v>189</v>
      </c>
      <c r="BO19" s="7">
        <v>7.6</v>
      </c>
      <c r="BP19" s="7" t="s">
        <v>197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>
        <v>-2.125E-7</v>
      </c>
      <c r="CD19" s="7">
        <v>-2.125E-7</v>
      </c>
      <c r="CE19" s="7"/>
      <c r="CF19" s="7">
        <v>4.2500000000000001E-7</v>
      </c>
      <c r="CG19" s="7"/>
      <c r="CH19" s="7"/>
      <c r="CI19" s="7">
        <v>-1.7607959231629999E-2</v>
      </c>
      <c r="CJ19" s="7"/>
      <c r="CK19" s="7">
        <v>1.5149265649234999E-2</v>
      </c>
      <c r="CL19" s="7"/>
      <c r="CM19" s="7"/>
      <c r="CN19" s="23">
        <f t="shared" si="89"/>
        <v>-2.4586935823949999E-3</v>
      </c>
      <c r="CO19">
        <f t="shared" si="86"/>
        <v>-4.2452710052349403E-6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-4.5899999999999995E-3</v>
      </c>
      <c r="DE19">
        <f t="shared" si="73"/>
        <v>-4.5899999999999995E-3</v>
      </c>
      <c r="DF19">
        <f t="shared" si="74"/>
        <v>0</v>
      </c>
      <c r="DG19">
        <f t="shared" si="75"/>
        <v>9.1799999999999989E-3</v>
      </c>
      <c r="DH19">
        <f t="shared" si="76"/>
        <v>0</v>
      </c>
      <c r="DI19">
        <f t="shared" si="77"/>
        <v>0</v>
      </c>
      <c r="DJ19">
        <f t="shared" si="78"/>
        <v>-380.33191940320796</v>
      </c>
      <c r="DK19">
        <f t="shared" si="79"/>
        <v>0</v>
      </c>
      <c r="DL19">
        <f t="shared" si="80"/>
        <v>327.22413802347597</v>
      </c>
      <c r="DM19">
        <f t="shared" si="81"/>
        <v>0</v>
      </c>
      <c r="DN19">
        <f t="shared" si="57"/>
        <v>0</v>
      </c>
    </row>
    <row r="20" spans="2:119">
      <c r="B20" t="s">
        <v>127</v>
      </c>
      <c r="C20">
        <f ca="1">SUM(AB:AB)</f>
        <v>1.3715140397767858E-4</v>
      </c>
      <c r="E20" s="4">
        <f t="shared" ca="1" si="2"/>
        <v>2.1862500000000002</v>
      </c>
      <c r="F20" s="19" t="s">
        <v>36</v>
      </c>
      <c r="G20" s="34">
        <v>12</v>
      </c>
      <c r="H20" s="35">
        <v>0.09</v>
      </c>
      <c r="I20" s="35">
        <v>0.08</v>
      </c>
      <c r="J20" s="36">
        <v>6</v>
      </c>
      <c r="K20" s="19">
        <v>2</v>
      </c>
      <c r="L20" s="37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-3.3854166666000003E-5</v>
      </c>
      <c r="AI20" s="15">
        <f t="shared" ca="1" si="23"/>
        <v>-3.4270751247699998E-3</v>
      </c>
      <c r="AJ20" s="15">
        <f t="shared" ca="1" si="24"/>
        <v>-2.2376157407999999E-5</v>
      </c>
      <c r="AK20" s="15">
        <f t="shared" ca="1" si="25"/>
        <v>2.9602577975200001E-3</v>
      </c>
      <c r="AL20" s="15">
        <f t="shared" ca="1" si="26"/>
        <v>3.0787037040000002E-6</v>
      </c>
      <c r="AM20" s="15">
        <f t="shared" ca="1" si="27"/>
        <v>2.849537037E-5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-1.5165305531485375E-5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5.861947194468504E-3</v>
      </c>
      <c r="BN20" s="7" t="s">
        <v>190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>
        <v>-2.125E-7</v>
      </c>
      <c r="CD20" s="7">
        <v>-2.125E-7</v>
      </c>
      <c r="CE20" s="7"/>
      <c r="CF20" s="7">
        <v>4.2500000000000001E-7</v>
      </c>
      <c r="CG20" s="7">
        <v>1.5605682724000002E-5</v>
      </c>
      <c r="CH20" s="7"/>
      <c r="CI20" s="7"/>
      <c r="CJ20" s="7"/>
      <c r="CK20" s="7"/>
      <c r="CL20" s="7">
        <v>-1.5605682724000002E-5</v>
      </c>
      <c r="CM20" s="7"/>
      <c r="CN20" s="15">
        <f t="shared" si="89"/>
        <v>0</v>
      </c>
      <c r="CO20">
        <f t="shared" si="86"/>
        <v>-4.2617042620429994E-6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-4.5899999999999995E-3</v>
      </c>
      <c r="DE20">
        <f t="shared" si="73"/>
        <v>-4.5899999999999995E-3</v>
      </c>
      <c r="DF20">
        <f t="shared" si="74"/>
        <v>0</v>
      </c>
      <c r="DG20">
        <f t="shared" si="75"/>
        <v>9.1799999999999989E-3</v>
      </c>
      <c r="DH20">
        <f t="shared" si="76"/>
        <v>0.3370827468384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-0.3370827468384</v>
      </c>
      <c r="DN20">
        <f t="shared" si="57"/>
        <v>0</v>
      </c>
    </row>
    <row r="21" spans="2:119">
      <c r="B21" t="s">
        <v>132</v>
      </c>
      <c r="C21">
        <f ca="1">SUM(AG:AG)</f>
        <v>2.0621795028142855E-4</v>
      </c>
      <c r="E21" s="4">
        <f t="shared" ca="1" si="2"/>
        <v>2.2218749999999998</v>
      </c>
      <c r="F21" s="19" t="s">
        <v>36</v>
      </c>
      <c r="G21" s="34">
        <v>12</v>
      </c>
      <c r="H21" s="35">
        <v>0</v>
      </c>
      <c r="I21" s="35">
        <v>7.4999999999999997E-2</v>
      </c>
      <c r="J21" s="36">
        <v>6</v>
      </c>
      <c r="K21" s="19">
        <v>2</v>
      </c>
      <c r="L21" s="37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-3.3854166666000003E-5</v>
      </c>
      <c r="AI21" s="15">
        <f t="shared" ca="1" si="23"/>
        <v>-3.4270751247699998E-3</v>
      </c>
      <c r="AJ21" s="15">
        <f t="shared" ca="1" si="24"/>
        <v>-2.2376157407999999E-5</v>
      </c>
      <c r="AK21" s="15">
        <f t="shared" ca="1" si="25"/>
        <v>2.9602577975200001E-3</v>
      </c>
      <c r="AL21" s="15">
        <f t="shared" ca="1" si="26"/>
        <v>3.0787037040000002E-6</v>
      </c>
      <c r="AM21" s="15">
        <f t="shared" ca="1" si="27"/>
        <v>2.849537037E-5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191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-2.1635151050000001E-5</v>
      </c>
      <c r="CC21" s="7">
        <v>-2.125E-7</v>
      </c>
      <c r="CD21" s="7">
        <v>-2.125E-7</v>
      </c>
      <c r="CE21" s="7"/>
      <c r="CF21" s="7">
        <v>4.2500000000000001E-7</v>
      </c>
      <c r="CG21" s="7"/>
      <c r="CH21" s="7">
        <v>2.1635151050000001E-5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-4.6333526127411581E-6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-0.46731926268000007</v>
      </c>
      <c r="DD21">
        <f t="shared" si="72"/>
        <v>-4.5899999999999995E-3</v>
      </c>
      <c r="DE21">
        <f t="shared" si="73"/>
        <v>-4.5899999999999995E-3</v>
      </c>
      <c r="DF21">
        <f t="shared" si="74"/>
        <v>0</v>
      </c>
      <c r="DG21">
        <f t="shared" si="75"/>
        <v>9.1799999999999989E-3</v>
      </c>
      <c r="DH21">
        <f t="shared" si="76"/>
        <v>0</v>
      </c>
      <c r="DI21">
        <f t="shared" si="77"/>
        <v>0.46731926268000007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E22" s="4" t="str">
        <f t="shared" si="2"/>
        <v/>
      </c>
      <c r="F22" s="19"/>
      <c r="G22" s="34"/>
      <c r="H22" s="35"/>
      <c r="I22" s="35"/>
      <c r="J22" s="36"/>
      <c r="K22" s="19"/>
      <c r="L22" s="37"/>
      <c r="M22" s="19"/>
      <c r="N22" s="28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4.7520063913392857E-4</v>
      </c>
      <c r="BE22" s="15">
        <f t="shared" ca="1" si="95"/>
        <v>2.7043938812499994E-5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1.3715140397767858E-4</v>
      </c>
      <c r="BN22" s="7" t="s">
        <v>192</v>
      </c>
      <c r="BO22" s="7">
        <v>8.3000000000000007</v>
      </c>
      <c r="BP22" s="7" t="s">
        <v>200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7.8028413620000005E-5</v>
      </c>
      <c r="CH22" s="7"/>
      <c r="CI22" s="7"/>
      <c r="CJ22" s="7"/>
      <c r="CK22" s="7"/>
      <c r="CL22" s="7">
        <v>-7.8028413620000005E-5</v>
      </c>
      <c r="CM22" s="7"/>
      <c r="CN22" s="15">
        <f t="shared" si="89"/>
        <v>0</v>
      </c>
      <c r="CO22">
        <f t="shared" si="86"/>
        <v>-4.3085213102149989E-6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1.6854137341920001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-1.6854137341920001</v>
      </c>
      <c r="DN22">
        <f t="shared" si="57"/>
        <v>0</v>
      </c>
    </row>
    <row r="23" spans="2:119">
      <c r="B23" t="s">
        <v>133</v>
      </c>
      <c r="C23">
        <f ca="1">SUM(AH:AH)</f>
        <v>1.0447518242100002E-4</v>
      </c>
      <c r="E23" s="4">
        <f t="shared" si="2"/>
        <v>0</v>
      </c>
      <c r="F23" s="19" t="s">
        <v>99</v>
      </c>
      <c r="G23" s="34">
        <v>101</v>
      </c>
      <c r="H23" s="35">
        <v>1</v>
      </c>
      <c r="I23" s="35">
        <v>1</v>
      </c>
      <c r="J23" s="36"/>
      <c r="K23" s="19">
        <v>2</v>
      </c>
      <c r="L23" s="37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-3.3854166666000003E-5</v>
      </c>
      <c r="AI23" s="15">
        <f t="shared" si="23"/>
        <v>-3.4270751247699998E-3</v>
      </c>
      <c r="AJ23" s="15">
        <f t="shared" si="24"/>
        <v>-2.2376157407999999E-5</v>
      </c>
      <c r="AK23" s="15">
        <f t="shared" si="25"/>
        <v>2.9602577975200001E-3</v>
      </c>
      <c r="AL23" s="15">
        <f t="shared" si="26"/>
        <v>3.0787037040000002E-6</v>
      </c>
      <c r="AM23" s="15">
        <f t="shared" si="27"/>
        <v>2.849537037E-5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2.2572505368642856E-4</v>
      </c>
      <c r="BE23" s="15">
        <f t="shared" ca="1" si="96"/>
        <v>-1.9507103405000018E-5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2.0621795028142855E-4</v>
      </c>
      <c r="BN23" s="7" t="s">
        <v>193</v>
      </c>
      <c r="BO23" s="7">
        <v>8.4</v>
      </c>
      <c r="BP23" s="7" t="s">
        <v>200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-1.0817575525E-4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1.0817575525E-4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-6.1667630637057931E-6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-2.3365963134000003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2.3365963134000003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134</v>
      </c>
      <c r="C24">
        <f ca="1">SUM(AI:AI)</f>
        <v>3.9351868999699995E-2</v>
      </c>
      <c r="E24" s="4">
        <f t="shared" si="2"/>
        <v>1</v>
      </c>
      <c r="F24" s="19" t="s">
        <v>173</v>
      </c>
      <c r="G24" s="34">
        <v>210</v>
      </c>
      <c r="H24" s="35"/>
      <c r="I24" s="35"/>
      <c r="J24" s="36"/>
      <c r="K24" s="19">
        <v>2</v>
      </c>
      <c r="L24" s="37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-8.4635416665000007E-5</v>
      </c>
      <c r="BC24" s="15">
        <f t="shared" ca="1" si="97"/>
        <v>-1.0156249999800001E-4</v>
      </c>
      <c r="BD24" s="15">
        <f t="shared" ca="1" si="97"/>
        <v>-1.6927083333000001E-5</v>
      </c>
      <c r="BE24" s="15">
        <f t="shared" ca="1" si="97"/>
        <v>1.4533654954200002E-4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-5.7788450453999997E-5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135</v>
      </c>
      <c r="C25">
        <f ca="1">ROUND(SUM(AJ:AJ),15)</f>
        <v>1.2505347740600001E-4</v>
      </c>
      <c r="E25" s="4" t="str">
        <f t="shared" si="2"/>
        <v/>
      </c>
      <c r="F25" s="19"/>
      <c r="G25" s="34"/>
      <c r="H25" s="35"/>
      <c r="I25" s="35"/>
      <c r="J25" s="36"/>
      <c r="K25" s="19"/>
      <c r="L25" s="38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-8.5676878119250004E-3</v>
      </c>
      <c r="BC25" s="15">
        <f t="shared" ca="1" si="150"/>
        <v>-1.0281225374309999E-2</v>
      </c>
      <c r="BD25" s="15">
        <f t="shared" ca="1" si="150"/>
        <v>-1.7135375623849999E-3</v>
      </c>
      <c r="BE25" s="15">
        <f t="shared" ca="1" si="150"/>
        <v>5.9914319748319997E-2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3.9351868999699995E-2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E26" s="4" t="str">
        <f t="shared" si="2"/>
        <v/>
      </c>
      <c r="F26" s="19"/>
      <c r="G26" s="34"/>
      <c r="H26" s="35"/>
      <c r="I26" s="35"/>
      <c r="J26" s="36"/>
      <c r="K26" s="19"/>
      <c r="L26" s="37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-5.5940393520000003E-5</v>
      </c>
      <c r="BC26" s="15">
        <f t="shared" ca="1" si="151"/>
        <v>-6.7128472224E-5</v>
      </c>
      <c r="BD26" s="15">
        <f t="shared" ca="1" si="151"/>
        <v>-1.5271686862268572E-3</v>
      </c>
      <c r="BE26" s="15">
        <f t="shared" ca="1" si="151"/>
        <v>1.7752910293768573E-3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1.2505347740600012E-4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B27" t="s">
        <v>136</v>
      </c>
      <c r="C27">
        <f ca="1">SUM(AK:AK)</f>
        <v>0.1869656882289818</v>
      </c>
      <c r="E27" s="4" t="str">
        <f t="shared" si="2"/>
        <v/>
      </c>
      <c r="F27" s="19" t="s">
        <v>179</v>
      </c>
      <c r="G27" s="34"/>
      <c r="H27" s="35"/>
      <c r="I27" s="35"/>
      <c r="J27" s="36"/>
      <c r="K27" s="19"/>
      <c r="L27" s="37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7.4006444938000005E-3</v>
      </c>
      <c r="BC27" s="15">
        <f t="shared" ca="1" si="152"/>
        <v>8.8807733925599999E-3</v>
      </c>
      <c r="BD27" s="15">
        <f t="shared" ca="1" si="152"/>
        <v>0.22222657121618433</v>
      </c>
      <c r="BE27" s="15">
        <f t="shared" ca="1" si="152"/>
        <v>-5.1542300873562499E-2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0.18696568822898185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137</v>
      </c>
      <c r="C28">
        <f ca="1">SUM(AL:AL)</f>
        <v>-9.7031046353999998E-5</v>
      </c>
      <c r="E28" s="4">
        <f t="shared" ca="1" si="2"/>
        <v>0.5</v>
      </c>
      <c r="F28" s="19" t="s">
        <v>54</v>
      </c>
      <c r="G28" s="34">
        <v>6.1</v>
      </c>
      <c r="H28" s="35"/>
      <c r="I28" s="35"/>
      <c r="J28" s="36">
        <v>1</v>
      </c>
      <c r="K28" s="19">
        <v>3</v>
      </c>
      <c r="L28" s="37"/>
      <c r="M28" s="19"/>
      <c r="N28" t="str">
        <f t="shared" si="38"/>
        <v/>
      </c>
      <c r="O28" t="str">
        <f t="shared" si="39"/>
        <v/>
      </c>
      <c r="P28">
        <f t="shared" si="92"/>
        <v>1</v>
      </c>
      <c r="Q28">
        <f t="shared" si="40"/>
        <v>1</v>
      </c>
      <c r="R28" s="10">
        <f t="shared" ca="1" si="6"/>
        <v>-2.5</v>
      </c>
      <c r="S28" s="10">
        <f t="shared" ca="1" si="7"/>
        <v>-4.2499999999999998E-4</v>
      </c>
      <c r="T28" s="10">
        <f t="shared" ca="1" si="8"/>
        <v>0</v>
      </c>
      <c r="U28" s="10">
        <f t="shared" ca="1" si="9"/>
        <v>0</v>
      </c>
      <c r="V28" s="10">
        <f t="shared" ca="1" si="10"/>
        <v>0</v>
      </c>
      <c r="W28" s="10">
        <f t="shared" ca="1" si="11"/>
        <v>-6.3750000000000001E-2</v>
      </c>
      <c r="X28" s="10">
        <f t="shared" ca="1" si="12"/>
        <v>0</v>
      </c>
      <c r="Y28" s="10">
        <f t="shared" ca="1" si="13"/>
        <v>0</v>
      </c>
      <c r="Z28" s="10">
        <f t="shared" ca="1" si="14"/>
        <v>0</v>
      </c>
      <c r="AA28" s="10">
        <f t="shared" ca="1" si="15"/>
        <v>0</v>
      </c>
      <c r="AB28" s="8">
        <f t="shared" ca="1" si="16"/>
        <v>1.6226363287499999E-4</v>
      </c>
      <c r="AC28" s="15">
        <f t="shared" ca="1" si="17"/>
        <v>-1.0625E-7</v>
      </c>
      <c r="AD28" s="15">
        <f t="shared" ca="1" si="18"/>
        <v>-1.0625E-7</v>
      </c>
      <c r="AE28" s="15">
        <f t="shared" ca="1" si="19"/>
        <v>0</v>
      </c>
      <c r="AF28" s="15">
        <f t="shared" ca="1" si="20"/>
        <v>2.125E-7</v>
      </c>
      <c r="AG28" s="15">
        <f t="shared" ca="1" si="21"/>
        <v>0</v>
      </c>
      <c r="AH28" s="15">
        <f t="shared" ca="1" si="22"/>
        <v>0</v>
      </c>
      <c r="AI28" s="15">
        <f t="shared" ca="1" si="23"/>
        <v>0</v>
      </c>
      <c r="AJ28" s="15">
        <f t="shared" ca="1" si="24"/>
        <v>-3.1211365449E-4</v>
      </c>
      <c r="AK28" s="15">
        <f t="shared" ca="1" si="25"/>
        <v>4.5447796947705003E-2</v>
      </c>
      <c r="AL28" s="15">
        <f t="shared" ca="1" si="26"/>
        <v>0</v>
      </c>
      <c r="AM28" s="15">
        <f t="shared" ca="1" si="27"/>
        <v>3.4314768264E-4</v>
      </c>
      <c r="AN28">
        <f t="shared" ca="1" si="28"/>
        <v>1</v>
      </c>
      <c r="AO28" s="10">
        <f t="shared" ca="1" si="29"/>
        <v>0.5</v>
      </c>
      <c r="AP28" s="10">
        <f t="shared" ca="1" si="30"/>
        <v>0.75</v>
      </c>
      <c r="AQ28">
        <f t="shared" ca="1" si="31"/>
        <v>2.25</v>
      </c>
      <c r="AR28">
        <f t="shared" ca="1" si="32"/>
        <v>0.32142857142857145</v>
      </c>
      <c r="AS28">
        <f t="shared" ca="1" si="33"/>
        <v>0.5</v>
      </c>
      <c r="AT28">
        <f t="shared" si="41"/>
        <v>6</v>
      </c>
      <c r="AU28">
        <f t="shared" si="42"/>
        <v>2</v>
      </c>
      <c r="AV28">
        <f t="shared" si="34"/>
        <v>0</v>
      </c>
      <c r="AW28" t="str">
        <f t="shared" si="35"/>
        <v/>
      </c>
      <c r="AX28" t="str">
        <f t="shared" si="43"/>
        <v/>
      </c>
      <c r="AY28">
        <f t="shared" ca="1" si="54"/>
        <v>0.5</v>
      </c>
      <c r="BA28" t="s">
        <v>137</v>
      </c>
      <c r="BB28" s="15">
        <f t="shared" ref="BB28:BK28" ca="1" si="153">IF(BB$31=1,SUMIF($K:$K,BB$1,$AL:$AL),"")</f>
        <v>7.6967592600000006E-6</v>
      </c>
      <c r="BC28" s="15">
        <f t="shared" ca="1" si="153"/>
        <v>9.236111112E-6</v>
      </c>
      <c r="BD28" s="15">
        <f t="shared" ca="1" si="153"/>
        <v>1.5393518520000001E-6</v>
      </c>
      <c r="BE28" s="15">
        <f t="shared" ca="1" si="153"/>
        <v>-1.15503268578E-4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-9.7031046354000011E-5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142</v>
      </c>
      <c r="C29">
        <f ca="1">ROUND(SUM(AM:AM),15)</f>
        <v>-1.12174750883E-4</v>
      </c>
      <c r="E29" s="4" t="str">
        <f t="shared" si="2"/>
        <v/>
      </c>
      <c r="F29" s="19"/>
      <c r="G29" s="34"/>
      <c r="H29" s="35"/>
      <c r="I29" s="35"/>
      <c r="J29" s="36"/>
      <c r="K29" s="19"/>
      <c r="L29" s="37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7.1238425924999993E-5</v>
      </c>
      <c r="BC29" s="15">
        <f t="shared" ca="1" si="154"/>
        <v>8.5486111109999999E-5</v>
      </c>
      <c r="BD29" s="15">
        <f t="shared" ca="1" si="154"/>
        <v>1.6809650008649999E-3</v>
      </c>
      <c r="BE29" s="15">
        <f t="shared" ca="1" si="154"/>
        <v>-1.9498642887830001E-3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-1.1217475088300013E-4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E30" s="4">
        <f t="shared" ca="1" si="2"/>
        <v>0.9642857142857143</v>
      </c>
      <c r="F30" s="19" t="s">
        <v>54</v>
      </c>
      <c r="G30" s="34">
        <v>6.1</v>
      </c>
      <c r="H30" s="35">
        <v>0.5</v>
      </c>
      <c r="I30" s="35"/>
      <c r="J30" s="36">
        <v>1</v>
      </c>
      <c r="K30" s="19">
        <v>3</v>
      </c>
      <c r="L30" s="37"/>
      <c r="M30" s="19"/>
      <c r="N30">
        <f t="shared" si="38"/>
        <v>1.5</v>
      </c>
      <c r="O30">
        <f t="shared" si="39"/>
        <v>1</v>
      </c>
      <c r="P30">
        <f t="shared" si="92"/>
        <v>1</v>
      </c>
      <c r="Q30">
        <f t="shared" si="40"/>
        <v>1</v>
      </c>
      <c r="R30" s="10">
        <f t="shared" ca="1" si="6"/>
        <v>-4.8630952380952381</v>
      </c>
      <c r="S30" s="10">
        <f t="shared" ca="1" si="7"/>
        <v>-8.1964285714285711E-4</v>
      </c>
      <c r="T30" s="10">
        <f t="shared" ca="1" si="8"/>
        <v>0</v>
      </c>
      <c r="U30" s="10">
        <f t="shared" ca="1" si="9"/>
        <v>0</v>
      </c>
      <c r="V30" s="10">
        <f t="shared" ca="1" si="10"/>
        <v>0</v>
      </c>
      <c r="W30" s="10">
        <f t="shared" ca="1" si="11"/>
        <v>-0.12294642857142858</v>
      </c>
      <c r="X30" s="10">
        <f t="shared" ca="1" si="12"/>
        <v>0</v>
      </c>
      <c r="Y30" s="10">
        <f t="shared" ca="1" si="13"/>
        <v>0</v>
      </c>
      <c r="Z30" s="10">
        <f t="shared" ca="1" si="14"/>
        <v>0</v>
      </c>
      <c r="AA30" s="10">
        <f t="shared" ca="1" si="15"/>
        <v>0</v>
      </c>
      <c r="AB30" s="8">
        <f t="shared" ca="1" si="16"/>
        <v>3.1293700625892855E-4</v>
      </c>
      <c r="AC30" s="15">
        <f t="shared" ca="1" si="17"/>
        <v>-2.0491071428571429E-7</v>
      </c>
      <c r="AD30" s="15">
        <f t="shared" ca="1" si="18"/>
        <v>-2.0491071428571429E-7</v>
      </c>
      <c r="AE30" s="15">
        <f t="shared" ca="1" si="19"/>
        <v>0</v>
      </c>
      <c r="AF30" s="15">
        <f t="shared" ca="1" si="20"/>
        <v>4.0982142857142859E-7</v>
      </c>
      <c r="AG30" s="15">
        <f t="shared" ca="1" si="21"/>
        <v>0</v>
      </c>
      <c r="AH30" s="15">
        <f t="shared" ca="1" si="22"/>
        <v>-1.6927083333000001E-5</v>
      </c>
      <c r="AI30" s="15">
        <f t="shared" ca="1" si="23"/>
        <v>-1.7135375623849999E-3</v>
      </c>
      <c r="AJ30" s="15">
        <f t="shared" ca="1" si="24"/>
        <v>-6.1312155522042855E-4</v>
      </c>
      <c r="AK30" s="15">
        <f t="shared" ca="1" si="25"/>
        <v>8.9129451583619651E-2</v>
      </c>
      <c r="AL30" s="15">
        <f t="shared" ca="1" si="26"/>
        <v>1.5393518520000001E-6</v>
      </c>
      <c r="AM30" s="15">
        <f t="shared" ca="1" si="27"/>
        <v>6.7603250170500005E-4</v>
      </c>
      <c r="AN30">
        <f t="shared" ca="1" si="28"/>
        <v>0</v>
      </c>
      <c r="AO30" s="10">
        <f t="shared" ca="1" si="29"/>
        <v>1.5</v>
      </c>
      <c r="AP30" s="10">
        <f t="shared" ca="1" si="30"/>
        <v>2.25</v>
      </c>
      <c r="AQ30">
        <f t="shared" ca="1" si="31"/>
        <v>6.75</v>
      </c>
      <c r="AR30">
        <f t="shared" ca="1" si="32"/>
        <v>0.9642857142857143</v>
      </c>
      <c r="AS30">
        <f t="shared" ca="1" si="33"/>
        <v>0.9642857142857143</v>
      </c>
      <c r="AT30">
        <f t="shared" si="41"/>
        <v>6</v>
      </c>
      <c r="AU30">
        <f t="shared" si="42"/>
        <v>2</v>
      </c>
      <c r="AV30">
        <f t="shared" si="34"/>
        <v>0</v>
      </c>
      <c r="AW30" t="str">
        <f t="shared" si="35"/>
        <v/>
      </c>
      <c r="AX30" t="str">
        <f t="shared" si="43"/>
        <v/>
      </c>
      <c r="AY30">
        <f t="shared" ca="1" si="54"/>
        <v>0.9642857142857143</v>
      </c>
      <c r="BN30" s="7" t="s">
        <v>186</v>
      </c>
      <c r="BO30" s="7">
        <v>100</v>
      </c>
      <c r="BQ30">
        <f>-0.0277777777777778-0.0138888888888889</f>
        <v>-4.1666666666666699E-2</v>
      </c>
      <c r="CH30">
        <v>-1.6927083333000001E-5</v>
      </c>
      <c r="CI30">
        <v>-1.7135375623849999E-3</v>
      </c>
      <c r="CJ30">
        <v>-1.1188078703999999E-5</v>
      </c>
      <c r="CK30">
        <v>1.4801288987600001E-3</v>
      </c>
      <c r="CL30">
        <v>1.5393518520000001E-6</v>
      </c>
      <c r="CM30">
        <v>1.4247685185E-5</v>
      </c>
      <c r="CN30" s="15">
        <f>SUM(BT30:CM30)</f>
        <v>-2.4573678862499976E-4</v>
      </c>
      <c r="CO30">
        <f t="shared" si="86"/>
        <v>-2.7822881647711128E-19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-0.36562499999280001</v>
      </c>
      <c r="DJ30">
        <f t="shared" si="117"/>
        <v>-37.012411347515993</v>
      </c>
      <c r="DK30">
        <f t="shared" si="118"/>
        <v>-0.24166250000639999</v>
      </c>
      <c r="DL30">
        <f t="shared" si="119"/>
        <v>31.970784213216</v>
      </c>
      <c r="DM30">
        <f t="shared" si="120"/>
        <v>3.3250000003200005E-2</v>
      </c>
      <c r="DN30">
        <f t="shared" si="121"/>
        <v>0.30774999999600006</v>
      </c>
    </row>
    <row r="31" spans="2:119">
      <c r="B31" t="s">
        <v>128</v>
      </c>
      <c r="C31">
        <f ca="1">ROUND(SUM(AC:AC),15)</f>
        <v>0</v>
      </c>
      <c r="E31" s="4">
        <f t="shared" ca="1" si="2"/>
        <v>0.9642857142857143</v>
      </c>
      <c r="F31" s="19" t="s">
        <v>80</v>
      </c>
      <c r="G31" s="34">
        <v>6.2</v>
      </c>
      <c r="H31" s="35">
        <f>IF(H30="","",H30)</f>
        <v>0.5</v>
      </c>
      <c r="I31" s="35" t="str">
        <f>IF(I30="","",I30)</f>
        <v/>
      </c>
      <c r="J31" s="36">
        <v>1</v>
      </c>
      <c r="K31" s="19">
        <v>3</v>
      </c>
      <c r="L31" s="38"/>
      <c r="M31" s="19">
        <v>1</v>
      </c>
      <c r="N31">
        <f t="shared" si="38"/>
        <v>1.5</v>
      </c>
      <c r="O31">
        <f t="shared" si="39"/>
        <v>1</v>
      </c>
      <c r="P31">
        <f t="shared" si="92"/>
        <v>1</v>
      </c>
      <c r="Q31">
        <f t="shared" si="40"/>
        <v>0</v>
      </c>
      <c r="R31" s="10">
        <f t="shared" ca="1" si="6"/>
        <v>-4.8214285714285712</v>
      </c>
      <c r="S31" s="10">
        <f t="shared" ca="1" si="7"/>
        <v>-8.1964285714285711E-4</v>
      </c>
      <c r="T31" s="10">
        <f t="shared" ca="1" si="8"/>
        <v>0</v>
      </c>
      <c r="U31" s="10">
        <f t="shared" ca="1" si="9"/>
        <v>0</v>
      </c>
      <c r="V31" s="10">
        <f t="shared" ca="1" si="10"/>
        <v>0</v>
      </c>
      <c r="W31" s="10">
        <f t="shared" ca="1" si="11"/>
        <v>-0.12294642857142858</v>
      </c>
      <c r="X31" s="10">
        <f t="shared" ca="1" si="12"/>
        <v>0</v>
      </c>
      <c r="Y31" s="10">
        <f t="shared" ca="1" si="13"/>
        <v>0</v>
      </c>
      <c r="Z31" s="10">
        <f t="shared" ca="1" si="14"/>
        <v>0</v>
      </c>
      <c r="AA31" s="10">
        <f t="shared" ca="1" si="15"/>
        <v>0</v>
      </c>
      <c r="AB31" s="8">
        <f t="shared" ca="1" si="16"/>
        <v>0</v>
      </c>
      <c r="AC31" s="15">
        <f t="shared" ca="1" si="17"/>
        <v>-2.0491071428571429E-7</v>
      </c>
      <c r="AD31" s="15">
        <f t="shared" ca="1" si="18"/>
        <v>-2.0491071428571429E-7</v>
      </c>
      <c r="AE31" s="15">
        <f t="shared" ca="1" si="19"/>
        <v>0</v>
      </c>
      <c r="AF31" s="15">
        <f t="shared" ca="1" si="20"/>
        <v>4.0982142857142859E-7</v>
      </c>
      <c r="AG31" s="15">
        <f t="shared" ca="1" si="21"/>
        <v>2.2572505368642856E-4</v>
      </c>
      <c r="AH31" s="15">
        <f t="shared" ca="1" si="22"/>
        <v>0</v>
      </c>
      <c r="AI31" s="15">
        <f t="shared" ca="1" si="23"/>
        <v>0</v>
      </c>
      <c r="AJ31" s="15">
        <f t="shared" ca="1" si="24"/>
        <v>-6.0193347651642855E-4</v>
      </c>
      <c r="AK31" s="15">
        <f t="shared" ca="1" si="25"/>
        <v>8.7649322684859657E-2</v>
      </c>
      <c r="AL31" s="15">
        <f t="shared" ca="1" si="26"/>
        <v>0</v>
      </c>
      <c r="AM31" s="15">
        <f t="shared" ca="1" si="27"/>
        <v>6.6178481652000006E-4</v>
      </c>
      <c r="AN31">
        <f t="shared" ca="1" si="28"/>
        <v>0</v>
      </c>
      <c r="AO31" s="10">
        <f t="shared" ca="1" si="29"/>
        <v>1.5</v>
      </c>
      <c r="AP31" s="10">
        <f t="shared" ca="1" si="30"/>
        <v>2.25</v>
      </c>
      <c r="AQ31">
        <f t="shared" ca="1" si="31"/>
        <v>6.75</v>
      </c>
      <c r="AR31">
        <f t="shared" ca="1" si="32"/>
        <v>0.9642857142857143</v>
      </c>
      <c r="AS31">
        <f t="shared" ca="1" si="33"/>
        <v>0.9642857142857143</v>
      </c>
      <c r="AT31">
        <f t="shared" si="41"/>
        <v>6</v>
      </c>
      <c r="AU31">
        <f t="shared" si="42"/>
        <v>2</v>
      </c>
      <c r="AV31">
        <f t="shared" si="34"/>
        <v>0</v>
      </c>
      <c r="AW31" t="str">
        <f t="shared" si="35"/>
        <v/>
      </c>
      <c r="AX31" t="str">
        <f t="shared" si="43"/>
        <v/>
      </c>
      <c r="AY31">
        <f t="shared" ca="1" si="54"/>
        <v>0.9642857142857143</v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99</v>
      </c>
      <c r="BO31" s="7">
        <v>101</v>
      </c>
      <c r="CN31" s="15">
        <f t="shared" ref="CN31:CN38" si="156">SUM(BT31:CM31)</f>
        <v>0</v>
      </c>
      <c r="CO31">
        <f t="shared" si="86"/>
        <v>0</v>
      </c>
    </row>
    <row r="32" spans="2:119">
      <c r="B32" t="s">
        <v>129</v>
      </c>
      <c r="C32">
        <f ca="1">ROUND(SUM(AD:AD),15)</f>
        <v>0</v>
      </c>
      <c r="E32" s="4" t="str">
        <f t="shared" si="2"/>
        <v/>
      </c>
      <c r="F32" s="19"/>
      <c r="G32" s="34"/>
      <c r="H32" s="35"/>
      <c r="I32" s="35"/>
      <c r="J32" s="36"/>
      <c r="K32" s="19"/>
      <c r="L32" s="38"/>
      <c r="M32" s="19"/>
      <c r="N32" t="str">
        <f t="shared" si="38"/>
        <v/>
      </c>
      <c r="O32" t="str">
        <f t="shared" si="39"/>
        <v/>
      </c>
      <c r="P32" t="str">
        <f t="shared" si="92"/>
        <v/>
      </c>
      <c r="Q32" t="str">
        <f t="shared" si="40"/>
        <v/>
      </c>
      <c r="R32" s="10" t="str">
        <f t="shared" si="6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3"/>
        <v/>
      </c>
      <c r="Z32" s="10" t="str">
        <f t="shared" si="14"/>
        <v/>
      </c>
      <c r="AA32" s="10" t="str">
        <f t="shared" si="15"/>
        <v/>
      </c>
      <c r="AB32" s="8" t="str">
        <f t="shared" si="16"/>
        <v/>
      </c>
      <c r="AC32" s="15" t="str">
        <f t="shared" si="17"/>
        <v/>
      </c>
      <c r="AD32" s="15" t="str">
        <f t="shared" si="18"/>
        <v/>
      </c>
      <c r="AE32" s="15" t="str">
        <f t="shared" si="19"/>
        <v/>
      </c>
      <c r="AF32" s="15" t="str">
        <f t="shared" si="20"/>
        <v/>
      </c>
      <c r="AG32" s="15" t="str">
        <f t="shared" si="21"/>
        <v/>
      </c>
      <c r="AH32" s="15" t="str">
        <f t="shared" si="22"/>
        <v/>
      </c>
      <c r="AI32" s="15" t="str">
        <f t="shared" si="23"/>
        <v/>
      </c>
      <c r="AJ32" s="15" t="str">
        <f t="shared" si="24"/>
        <v/>
      </c>
      <c r="AK32" s="15" t="str">
        <f t="shared" si="25"/>
        <v/>
      </c>
      <c r="AL32" s="15" t="str">
        <f t="shared" si="26"/>
        <v/>
      </c>
      <c r="AM32" s="15" t="str">
        <f t="shared" si="27"/>
        <v/>
      </c>
      <c r="AN32" t="str">
        <f t="shared" si="28"/>
        <v/>
      </c>
      <c r="AO32" s="10" t="str">
        <f t="shared" si="29"/>
        <v/>
      </c>
      <c r="AP32" s="10" t="str">
        <f t="shared" si="30"/>
        <v/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41"/>
        <v/>
      </c>
      <c r="AU32" t="str">
        <f t="shared" si="42"/>
        <v/>
      </c>
      <c r="AV32" t="str">
        <f t="shared" si="34"/>
        <v/>
      </c>
      <c r="AW32" t="str">
        <f t="shared" si="35"/>
        <v/>
      </c>
      <c r="AX32" t="str">
        <f t="shared" si="43"/>
        <v/>
      </c>
      <c r="AY32" t="str">
        <f t="shared" si="54"/>
        <v/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163</v>
      </c>
      <c r="BO32" s="7">
        <v>200</v>
      </c>
      <c r="BQ32">
        <v>-2.5</v>
      </c>
      <c r="CN32" s="15">
        <f t="shared" si="156"/>
        <v>0</v>
      </c>
      <c r="CO32">
        <f t="shared" si="86"/>
        <v>0</v>
      </c>
    </row>
    <row r="33" spans="2:113">
      <c r="B33" t="s">
        <v>130</v>
      </c>
      <c r="C33">
        <f ca="1">ROUND(SUM(AE:AE),15)</f>
        <v>0</v>
      </c>
      <c r="E33" s="4">
        <f t="shared" ca="1" si="2"/>
        <v>8.9347017924020636E-5</v>
      </c>
      <c r="F33" s="19" t="s">
        <v>44</v>
      </c>
      <c r="G33" s="34">
        <v>3.4</v>
      </c>
      <c r="H33" s="35"/>
      <c r="I33" s="35"/>
      <c r="J33" s="36">
        <v>1</v>
      </c>
      <c r="K33" s="19">
        <v>3</v>
      </c>
      <c r="L33" s="38">
        <v>8.9347017924020636E-5</v>
      </c>
      <c r="M33" s="19"/>
      <c r="N33" t="str">
        <f t="shared" si="38"/>
        <v/>
      </c>
      <c r="O33" t="str">
        <f t="shared" si="39"/>
        <v/>
      </c>
      <c r="P33">
        <f t="shared" si="92"/>
        <v>1</v>
      </c>
      <c r="Q33">
        <f t="shared" si="40"/>
        <v>1</v>
      </c>
      <c r="R33" s="10">
        <f t="shared" ca="1" si="6"/>
        <v>-4.4673508962010319E-4</v>
      </c>
      <c r="S33" s="10">
        <f t="shared" ca="1" si="7"/>
        <v>-7.5944965235417536E-8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0</v>
      </c>
      <c r="X33" s="10">
        <f t="shared" ca="1" si="12"/>
        <v>2.2783489570625262E-5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-1.8986241308854386E-11</v>
      </c>
      <c r="AD33" s="15">
        <f t="shared" ca="1" si="18"/>
        <v>-1.8986241308854386E-11</v>
      </c>
      <c r="AE33" s="15">
        <f t="shared" ca="1" si="19"/>
        <v>0</v>
      </c>
      <c r="AF33" s="15">
        <f t="shared" ca="1" si="20"/>
        <v>-2.2783451598142642E-5</v>
      </c>
      <c r="AG33" s="15">
        <f t="shared" ca="1" si="21"/>
        <v>0</v>
      </c>
      <c r="AH33" s="15">
        <f t="shared" ca="1" si="22"/>
        <v>0</v>
      </c>
      <c r="AI33" s="15">
        <f t="shared" ca="1" si="23"/>
        <v>0</v>
      </c>
      <c r="AJ33" s="15">
        <f t="shared" ca="1" si="24"/>
        <v>0</v>
      </c>
      <c r="AK33" s="15">
        <f t="shared" ca="1" si="25"/>
        <v>0</v>
      </c>
      <c r="AL33" s="15">
        <f t="shared" ca="1" si="26"/>
        <v>0</v>
      </c>
      <c r="AM33" s="15">
        <f t="shared" ca="1" si="27"/>
        <v>0</v>
      </c>
      <c r="AN33">
        <f t="shared" ca="1" si="28"/>
        <v>1</v>
      </c>
      <c r="AO33" s="10">
        <f t="shared" ca="1" si="29"/>
        <v>0.5</v>
      </c>
      <c r="AP33" s="10">
        <f t="shared" ca="1" si="30"/>
        <v>0.75</v>
      </c>
      <c r="AQ33">
        <f t="shared" ca="1" si="31"/>
        <v>2.25</v>
      </c>
      <c r="AR33">
        <f t="shared" ca="1" si="32"/>
        <v>0.32142857142857145</v>
      </c>
      <c r="AS33">
        <f t="shared" ca="1" si="33"/>
        <v>0.5</v>
      </c>
      <c r="AT33">
        <f t="shared" si="41"/>
        <v>3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0.5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4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168</v>
      </c>
      <c r="BO33" s="7">
        <v>201</v>
      </c>
      <c r="BQ33">
        <v>-2.5</v>
      </c>
      <c r="CN33" s="15">
        <f t="shared" si="156"/>
        <v>0</v>
      </c>
      <c r="CO33">
        <f t="shared" si="86"/>
        <v>0</v>
      </c>
      <c r="DI33">
        <f>DI30/DI21</f>
        <v>-0.78238803574241733</v>
      </c>
    </row>
    <row r="34" spans="2:113">
      <c r="E34" s="4">
        <f t="shared" ref="E34:E65" ca="1" si="159">IF(P34="","",IF(AND(G34&gt;=200,G34&lt;300),100%,MIN(L34,AY34)))</f>
        <v>1.7152242271898735E-5</v>
      </c>
      <c r="F34" s="19" t="s">
        <v>46</v>
      </c>
      <c r="G34" s="34">
        <v>3.1</v>
      </c>
      <c r="H34" s="35" t="str">
        <f t="shared" ref="H34:I34" si="160">IF(H33="","",H33)</f>
        <v/>
      </c>
      <c r="I34" s="35" t="str">
        <f t="shared" si="160"/>
        <v/>
      </c>
      <c r="J34" s="36">
        <v>1</v>
      </c>
      <c r="K34" s="19">
        <v>3</v>
      </c>
      <c r="L34" s="38">
        <v>1.7152242271898735E-5</v>
      </c>
      <c r="M34" s="19">
        <v>1</v>
      </c>
      <c r="N34" t="str">
        <f t="shared" si="38"/>
        <v/>
      </c>
      <c r="O34" t="str">
        <f t="shared" si="39"/>
        <v/>
      </c>
      <c r="P34">
        <f t="shared" si="92"/>
        <v>1</v>
      </c>
      <c r="Q34">
        <f t="shared" si="40"/>
        <v>0</v>
      </c>
      <c r="R34" s="10">
        <f t="shared" ref="R34:R65" ca="1" si="161">IF($G34="","",IF(AND(G34&gt;=200,G34&lt;300),1,$J34)*LOOKUP($G34,$BO:$BO,BQ:BQ)*$E34+IF(M34="",IF(O34="",0,O34*LOOKUP(100,BO:BO,BQ:BQ)),0))</f>
        <v>-2.1440302839873419E-5</v>
      </c>
      <c r="S34" s="10">
        <f t="shared" ref="S34:S65" ca="1" si="162">IF($G34="","",$J34*LOOKUP($G34,$BO:$BO,BR:BR)*$E34)</f>
        <v>-1.4579405931113924E-8</v>
      </c>
      <c r="T34" s="10">
        <f t="shared" ref="T34:T65" ca="1" si="163">IF($G34="","",IF(AND(G34&gt;=200,G34&lt;300),1,$J34)*LOOKUP($G34,$BO:$BO,BS:BS)*$E34+IF($G34=200,INDEX($BA:$BK,MATCH("Karbonite",$BA:$BA,0),MATCH($K34,$BA$1:$BK$1,0)),0))</f>
        <v>0</v>
      </c>
      <c r="U34" s="10">
        <f t="shared" ref="U34:U65" ca="1" si="164">IF($G34="","",$J34*LOOKUP($G34,$BO:$BO,BT:BT)*$E34+IF($G34=201,INDEX($BA:$BK,MATCH("Ore",$BA:$BA,0),MATCH($K34,$BA$1:$BK$1,0)),0))</f>
        <v>0</v>
      </c>
      <c r="V34" s="10">
        <f t="shared" ref="V34:V65" ca="1" si="165">IF($G34="","",$J34*LOOKUP($G34,$BO:$BO,BU:BU)*$E34+IF($G34=202,INDEX($BA:$BK,MATCH("Minerals",$BA:$BA,0),MATCH($K34,$BA$1:$BK$1,0)),0))</f>
        <v>0</v>
      </c>
      <c r="W34" s="10">
        <f t="shared" ref="W34:W65" ca="1" si="166">IF($G34="","",$J34*LOOKUP($G34,$BO:$BO,BV:BV)*$E34+IF($G34=203,INDEX($BA:$BK,MATCH("Substrate",$BA:$BA,0),MATCH($K34,$BA$1:$BK$1,0)),0))</f>
        <v>0</v>
      </c>
      <c r="X34" s="10">
        <f t="shared" ref="X34:X65" ca="1" si="167">IF($G34="","",$J34*LOOKUP($G34,$BO:$BO,BW:BW)*$E34)</f>
        <v>-2.6242930676005065E-6</v>
      </c>
      <c r="Y34" s="10">
        <f t="shared" ref="Y34:Y65" ca="1" si="168">IF($G34="","",$J34*LOOKUP($G34,$BO:$BO,BX:BX)*$E34)</f>
        <v>0</v>
      </c>
      <c r="Z34" s="10">
        <f t="shared" ref="Z34:Z65" ca="1" si="169">IF($G34="","",$J34*LOOKUP($G34,$BO:$BO,BY:BY)*$E34)</f>
        <v>0</v>
      </c>
      <c r="AA34" s="10">
        <f t="shared" ref="AA34:AA65" ca="1" si="170">IF($G34="","",$J34*LOOKUP($G34,$BO:$BO,BZ:BZ)*$E34)</f>
        <v>0</v>
      </c>
      <c r="AB34" s="8">
        <f t="shared" ref="AB34:AB65" ca="1" si="171">IF($G34="","",$J34*LOOKUP($G34,$BO:$BO,CB:CB)*$E34)</f>
        <v>0</v>
      </c>
      <c r="AC34" s="15">
        <f t="shared" ref="AC34:AC65" ca="1" si="172">IF($G34="","",$J34*LOOKUP($G34,$BO:$BO,CC:CC)*$E34)</f>
        <v>2.6242894227490232E-6</v>
      </c>
      <c r="AD34" s="15">
        <f t="shared" ref="AD34:AD65" ca="1" si="173">IF($G34="","",$J34*LOOKUP($G34,$BO:$BO,CD:CD)*$E34)</f>
        <v>-3.6448514827784816E-12</v>
      </c>
      <c r="AE34" s="15">
        <f t="shared" ref="AE34:AE65" ca="1" si="174">IF($G34="","",$J34*LOOKUP($G34,$BO:$BO,CE:CE)*$E34)</f>
        <v>0</v>
      </c>
      <c r="AF34" s="15">
        <f t="shared" ref="AF34:AF65" ca="1" si="175">IF($G34="","",$J34*LOOKUP($G34,$BO:$BO,CF:CF)*$E34)</f>
        <v>7.2897029655569631E-12</v>
      </c>
      <c r="AG34" s="15">
        <f t="shared" ref="AG34:AG65" ca="1" si="176">IF($G34="","",$J34*LOOKUP($G34,$BO:$BO,CG:CG)*$E34)</f>
        <v>0</v>
      </c>
      <c r="AH34" s="15">
        <f t="shared" ref="AH34:AH65" ca="1" si="177">IF($G34="","",$J34*LOOKUP($G34,$BO:$BO,CH:CH)*$E34+IF($M34=1,0,IF($O34="",0,$O34*LOOKUP(100,$BO:$BO,CH:CH))))</f>
        <v>0</v>
      </c>
      <c r="AI34" s="15">
        <f t="shared" ref="AI34:AI65" ca="1" si="178">IF($G34="","",$J34*LOOKUP($G34,$BO:$BO,CI:CI)*$E34+IF($M34=1,0,IF($O34="",0,$O34*LOOKUP(100,$BO:$BO,CI:CI))))</f>
        <v>0</v>
      </c>
      <c r="AJ34" s="15">
        <f t="shared" ref="AJ34:AJ65" ca="1" si="179">IF($G34="","",$J34*LOOKUP($G34,$BO:$BO,CJ:CJ)*$E34+IF($M34=1,0,IF($O34="",0,$O34*LOOKUP(100,$BO:$BO,CJ:CJ)))+IF($G34=204,INDEX($BA:$BK,MATCH("Water",$BA:$BA,0),MATCH($K34,$BA$1:$BK$1,0)),0))</f>
        <v>0</v>
      </c>
      <c r="AK34" s="15">
        <f t="shared" ref="AK34:AK65" ca="1" si="180">IF($G34="","",$J34*LOOKUP($G34,$BO:$BO,CK:CK)*$E34+IF($M34=1,0,IF($O34="",0,$O34*LOOKUP(100,$BO:$BO,CK:CK))))</f>
        <v>0</v>
      </c>
      <c r="AL34" s="15">
        <f t="shared" ref="AL34:AL65" ca="1" si="181">IF($G34="","",$J34*LOOKUP($G34,$BO:$BO,CL:CL)*$E34+IF($M34=1,0,IF($O34="",0,$O34*LOOKUP(100,$BO:$BO,CL:CL))))</f>
        <v>0</v>
      </c>
      <c r="AM34" s="15">
        <f t="shared" ref="AM34:AM65" ca="1" si="182">IF($G34="","",$J34*LOOKUP($G34,$BO:$BO,CM:CM)*$E34+IF($M34=1,0,IF($O34="",0,$O34*LOOKUP(100,$BO:$BO,CM:CM))))</f>
        <v>0</v>
      </c>
      <c r="AN34">
        <f t="shared" ref="AN34:AN65" ca="1" si="183">IF(P34=1,LOOKUP(K34,$BB$1:$BK$1,$BB$32:$BK$32)-IF(O34="",0,O34),"")</f>
        <v>1</v>
      </c>
      <c r="AO34" s="10">
        <f t="shared" ref="AO34:AO65" ca="1" si="184">IF(OR(P34="",P34=0),"",AN34/2+IF(N34="",0,N34))</f>
        <v>0.5</v>
      </c>
      <c r="AP34" s="10">
        <f t="shared" ref="AP34:AP65" ca="1" si="185">IF(AO34="","",AO34*LOOKUP(K34,$BB$1:$BK$1,$BB$9:$BK$9))</f>
        <v>0.75</v>
      </c>
      <c r="AQ34">
        <f t="shared" ref="AQ34:AQ65" ca="1" si="186">IF(AP34="","",AP34*LOOKUP(K34,$BB$1:$BK$1,$BB$10:$BK$10))</f>
        <v>2.25</v>
      </c>
      <c r="AR34">
        <f t="shared" ref="AR34:AR65" ca="1" si="187">IF(AQ34="","",AQ34/LOOKUP(K34,$BB$1:$BK$1,$BB$37:$BK$37))</f>
        <v>0.32142857142857145</v>
      </c>
      <c r="AS34">
        <f t="shared" ref="AS34:AS65" ca="1" si="188">IF(AQ34="","",IF(LOOKUP(K34,$BB$1:$BK$1,$BB$32:$BK$32)=0,0.25,MAX(MIN(AR34,2.5),0.5)))</f>
        <v>0.5</v>
      </c>
      <c r="AT34">
        <f t="shared" si="41"/>
        <v>3</v>
      </c>
      <c r="AU34">
        <f t="shared" si="42"/>
        <v>1</v>
      </c>
      <c r="AV34">
        <f t="shared" ref="AV34:AV65" si="189">IF(P34="","",LOOKUP(G34,BO:BO,BP:BP))</f>
        <v>0</v>
      </c>
      <c r="AW34" t="str">
        <f t="shared" ref="AW34:AW65" si="190">IF(OR(AV34="",AV34=0),"",INDEX($BA$1:$BK$7,MATCH(AV34,$BA$1:$BA$7,0),MATCH(K34,$BA$1:$BK$1,0)))</f>
        <v/>
      </c>
      <c r="AX34" t="str">
        <f t="shared" si="43"/>
        <v/>
      </c>
      <c r="AY34">
        <f t="shared" ca="1" si="54"/>
        <v>0.5</v>
      </c>
      <c r="BA34" t="s">
        <v>13</v>
      </c>
      <c r="BB34">
        <f>SUMIFS($P:$P,$K:$K,BB1,$Q:$Q,1)*2+BB7</f>
        <v>14</v>
      </c>
      <c r="BC34">
        <f t="shared" ref="BC34:BK34" ca="1" si="191">SUMIFS($P:$P,$K:$K,BC1,$Q:$Q,1)*2+BC7</f>
        <v>11</v>
      </c>
      <c r="BD34">
        <f t="shared" ca="1" si="191"/>
        <v>8</v>
      </c>
      <c r="BE34">
        <f t="shared" ca="1" si="191"/>
        <v>6</v>
      </c>
      <c r="BF34">
        <f t="shared" ca="1" si="191"/>
        <v>0</v>
      </c>
      <c r="BG34">
        <f t="shared" ca="1" si="191"/>
        <v>0</v>
      </c>
      <c r="BH34">
        <f t="shared" ca="1" si="191"/>
        <v>0</v>
      </c>
      <c r="BI34">
        <f t="shared" ca="1" si="191"/>
        <v>0</v>
      </c>
      <c r="BJ34">
        <f t="shared" ca="1" si="191"/>
        <v>0</v>
      </c>
      <c r="BK34">
        <f t="shared" ca="1" si="191"/>
        <v>0</v>
      </c>
      <c r="BN34" s="7" t="s">
        <v>164</v>
      </c>
      <c r="BO34" s="7">
        <v>202</v>
      </c>
      <c r="BQ34">
        <v>-2.5</v>
      </c>
      <c r="CI34" s="15"/>
      <c r="CN34" s="15">
        <f t="shared" si="156"/>
        <v>0</v>
      </c>
      <c r="CO34">
        <f t="shared" si="86"/>
        <v>0</v>
      </c>
      <c r="DI34">
        <f>DC21/DC15</f>
        <v>-1</v>
      </c>
    </row>
    <row r="35" spans="2:113">
      <c r="B35" t="s">
        <v>131</v>
      </c>
      <c r="C35">
        <f ca="1">ROUND(SUM(AF:AF),15)</f>
        <v>0</v>
      </c>
      <c r="E35" s="4">
        <f t="shared" ca="1" si="159"/>
        <v>4.8959715407254328E-5</v>
      </c>
      <c r="F35" s="19" t="s">
        <v>43</v>
      </c>
      <c r="G35" s="34">
        <v>3.2</v>
      </c>
      <c r="H35" s="35" t="str">
        <f t="shared" ref="H35:I35" si="192">IF(H34="","",H34)</f>
        <v/>
      </c>
      <c r="I35" s="35" t="str">
        <f t="shared" si="192"/>
        <v/>
      </c>
      <c r="J35" s="36">
        <v>1</v>
      </c>
      <c r="K35" s="19">
        <v>3</v>
      </c>
      <c r="L35" s="38">
        <v>4.8959715407254328E-5</v>
      </c>
      <c r="M35" s="19">
        <v>1</v>
      </c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0</v>
      </c>
      <c r="R35" s="10">
        <f t="shared" ca="1" si="161"/>
        <v>-6.119964425906791E-5</v>
      </c>
      <c r="S35" s="10">
        <f t="shared" ca="1" si="162"/>
        <v>-4.1615758096166174E-8</v>
      </c>
      <c r="T35" s="10">
        <f t="shared" ca="1" si="163"/>
        <v>0</v>
      </c>
      <c r="U35" s="10">
        <f t="shared" ca="1" si="164"/>
        <v>0</v>
      </c>
      <c r="V35" s="10">
        <f t="shared" ca="1" si="165"/>
        <v>0</v>
      </c>
      <c r="W35" s="10">
        <f t="shared" ca="1" si="166"/>
        <v>0</v>
      </c>
      <c r="X35" s="10">
        <f t="shared" ca="1" si="167"/>
        <v>0</v>
      </c>
      <c r="Y35" s="10">
        <f t="shared" ca="1" si="168"/>
        <v>-4.9938909715399421E-6</v>
      </c>
      <c r="Z35" s="10">
        <f t="shared" ca="1" si="169"/>
        <v>0</v>
      </c>
      <c r="AA35" s="10">
        <f t="shared" ca="1" si="170"/>
        <v>0</v>
      </c>
      <c r="AB35" s="8">
        <f t="shared" ca="1" si="171"/>
        <v>0</v>
      </c>
      <c r="AC35" s="15">
        <f t="shared" ca="1" si="172"/>
        <v>0</v>
      </c>
      <c r="AD35" s="15">
        <f t="shared" ca="1" si="173"/>
        <v>4.9938805676004168E-6</v>
      </c>
      <c r="AE35" s="15">
        <f t="shared" ca="1" si="174"/>
        <v>-1.0403939524041544E-11</v>
      </c>
      <c r="AF35" s="15">
        <f t="shared" ca="1" si="175"/>
        <v>2.0807879048083089E-11</v>
      </c>
      <c r="AG35" s="15">
        <f t="shared" ca="1" si="176"/>
        <v>0</v>
      </c>
      <c r="AH35" s="15">
        <f t="shared" ca="1" si="177"/>
        <v>0</v>
      </c>
      <c r="AI35" s="15">
        <f t="shared" ca="1" si="178"/>
        <v>0</v>
      </c>
      <c r="AJ35" s="15">
        <f t="shared" ca="1" si="179"/>
        <v>0</v>
      </c>
      <c r="AK35" s="15">
        <f t="shared" ca="1" si="180"/>
        <v>0</v>
      </c>
      <c r="AL35" s="15">
        <f t="shared" ca="1" si="181"/>
        <v>0</v>
      </c>
      <c r="AM35" s="15">
        <f t="shared" ca="1" si="182"/>
        <v>0</v>
      </c>
      <c r="AN35">
        <f t="shared" ca="1" si="183"/>
        <v>1</v>
      </c>
      <c r="AO35" s="10">
        <f t="shared" ca="1" si="184"/>
        <v>0.5</v>
      </c>
      <c r="AP35" s="10">
        <f t="shared" ca="1" si="185"/>
        <v>0.75</v>
      </c>
      <c r="AQ35">
        <f t="shared" ca="1" si="186"/>
        <v>2.25</v>
      </c>
      <c r="AR35">
        <f t="shared" ca="1" si="187"/>
        <v>0.32142857142857145</v>
      </c>
      <c r="AS35">
        <f t="shared" ca="1" si="188"/>
        <v>0.5</v>
      </c>
      <c r="AT35">
        <f t="shared" si="41"/>
        <v>3</v>
      </c>
      <c r="AU35">
        <f t="shared" si="42"/>
        <v>1</v>
      </c>
      <c r="AV35">
        <f t="shared" si="189"/>
        <v>0</v>
      </c>
      <c r="AW35" t="str">
        <f t="shared" si="190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3">BB34+BB2</f>
        <v>14</v>
      </c>
      <c r="BC35">
        <f t="shared" ca="1" si="193"/>
        <v>11</v>
      </c>
      <c r="BD35">
        <f t="shared" ca="1" si="193"/>
        <v>8</v>
      </c>
      <c r="BE35">
        <f t="shared" ca="1" si="193"/>
        <v>6</v>
      </c>
      <c r="BF35">
        <f t="shared" ca="1" si="193"/>
        <v>0</v>
      </c>
      <c r="BG35">
        <f t="shared" ca="1" si="193"/>
        <v>0</v>
      </c>
      <c r="BH35">
        <f t="shared" ca="1" si="193"/>
        <v>0</v>
      </c>
      <c r="BI35">
        <f t="shared" ca="1" si="193"/>
        <v>0</v>
      </c>
      <c r="BJ35">
        <f t="shared" ca="1" si="193"/>
        <v>0</v>
      </c>
      <c r="BK35">
        <f t="shared" ca="1" si="193"/>
        <v>0</v>
      </c>
      <c r="BN35" s="7" t="s">
        <v>150</v>
      </c>
      <c r="BO35" s="7">
        <v>203</v>
      </c>
      <c r="BQ35">
        <v>-2.5</v>
      </c>
      <c r="CL35" s="15"/>
      <c r="CN35" s="15">
        <f t="shared" si="156"/>
        <v>0</v>
      </c>
      <c r="CO35">
        <f t="shared" si="86"/>
        <v>0</v>
      </c>
      <c r="DI35">
        <f>DH15/DH20</f>
        <v>-1</v>
      </c>
    </row>
    <row r="36" spans="2:113">
      <c r="E36" s="4">
        <f t="shared" ca="1" si="159"/>
        <v>2.973589319899093E-4</v>
      </c>
      <c r="F36" s="19" t="s">
        <v>45</v>
      </c>
      <c r="G36" s="34">
        <v>3.3</v>
      </c>
      <c r="H36" s="35" t="str">
        <f t="shared" ref="H36:I36" si="194">IF(H35="","",H35)</f>
        <v/>
      </c>
      <c r="I36" s="35" t="str">
        <f t="shared" si="194"/>
        <v/>
      </c>
      <c r="J36" s="36">
        <v>1</v>
      </c>
      <c r="K36" s="19">
        <v>3</v>
      </c>
      <c r="L36" s="38">
        <v>2.973589319899093E-4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1"/>
        <v>-3.7169866498738661E-4</v>
      </c>
      <c r="S36" s="10">
        <f t="shared" ca="1" si="162"/>
        <v>-2.5275509219142291E-7</v>
      </c>
      <c r="T36" s="10">
        <f t="shared" ca="1" si="163"/>
        <v>0</v>
      </c>
      <c r="U36" s="10">
        <f t="shared" ca="1" si="164"/>
        <v>0</v>
      </c>
      <c r="V36" s="10">
        <f t="shared" ca="1" si="165"/>
        <v>0</v>
      </c>
      <c r="W36" s="10">
        <f t="shared" ca="1" si="166"/>
        <v>0</v>
      </c>
      <c r="X36" s="10">
        <f t="shared" ca="1" si="167"/>
        <v>0</v>
      </c>
      <c r="Y36" s="10">
        <f t="shared" ca="1" si="168"/>
        <v>0</v>
      </c>
      <c r="Z36" s="10">
        <f t="shared" ca="1" si="169"/>
        <v>-1.5165305531485375E-5</v>
      </c>
      <c r="AA36" s="10">
        <f t="shared" ca="1" si="170"/>
        <v>0</v>
      </c>
      <c r="AB36" s="8">
        <f t="shared" ca="1" si="171"/>
        <v>0</v>
      </c>
      <c r="AC36" s="15">
        <f t="shared" ca="1" si="172"/>
        <v>0</v>
      </c>
      <c r="AD36" s="15">
        <f t="shared" ca="1" si="173"/>
        <v>0</v>
      </c>
      <c r="AE36" s="15">
        <f t="shared" ca="1" si="174"/>
        <v>1.5165179153939278E-5</v>
      </c>
      <c r="AF36" s="15">
        <f t="shared" ca="1" si="175"/>
        <v>1.2637754609571147E-10</v>
      </c>
      <c r="AG36" s="15">
        <f t="shared" ca="1" si="176"/>
        <v>0</v>
      </c>
      <c r="AH36" s="15">
        <f t="shared" ca="1" si="177"/>
        <v>0</v>
      </c>
      <c r="AI36" s="15">
        <f t="shared" ca="1" si="178"/>
        <v>0</v>
      </c>
      <c r="AJ36" s="15">
        <f t="shared" ca="1" si="179"/>
        <v>0</v>
      </c>
      <c r="AK36" s="15">
        <f t="shared" ca="1" si="180"/>
        <v>0</v>
      </c>
      <c r="AL36" s="15">
        <f t="shared" ca="1" si="181"/>
        <v>0</v>
      </c>
      <c r="AM36" s="15">
        <f t="shared" ca="1" si="182"/>
        <v>0</v>
      </c>
      <c r="AN36">
        <f t="shared" ca="1" si="183"/>
        <v>1</v>
      </c>
      <c r="AO36" s="10">
        <f t="shared" ca="1" si="184"/>
        <v>0.5</v>
      </c>
      <c r="AP36" s="10">
        <f t="shared" ca="1" si="185"/>
        <v>0.75</v>
      </c>
      <c r="AQ36">
        <f t="shared" ca="1" si="186"/>
        <v>2.25</v>
      </c>
      <c r="AR36">
        <f t="shared" ca="1" si="187"/>
        <v>0.32142857142857145</v>
      </c>
      <c r="AS36">
        <f t="shared" ca="1" si="188"/>
        <v>0.5</v>
      </c>
      <c r="AT36">
        <f t="shared" si="41"/>
        <v>3</v>
      </c>
      <c r="AU36">
        <f t="shared" si="42"/>
        <v>1</v>
      </c>
      <c r="AV36">
        <f t="shared" si="189"/>
        <v>0</v>
      </c>
      <c r="AW36" t="str">
        <f t="shared" si="190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5">BB33+BB35/4</f>
        <v>19.5</v>
      </c>
      <c r="BC36" s="7">
        <f t="shared" ref="BC36" ca="1" si="196">BC33+BC35/4</f>
        <v>18.75</v>
      </c>
      <c r="BD36" s="7">
        <f t="shared" ref="BD36" ca="1" si="197">BD33+BD35/4</f>
        <v>6</v>
      </c>
      <c r="BE36" s="7">
        <f t="shared" ref="BE36" ca="1" si="198">BE33+BE35/4</f>
        <v>4.5</v>
      </c>
      <c r="BF36" s="7">
        <f t="shared" ref="BF36" ca="1" si="199">BF33+BF35/4</f>
        <v>0</v>
      </c>
      <c r="BG36" s="7">
        <f t="shared" ref="BG36" ca="1" si="200">BG33+BG35/4</f>
        <v>0</v>
      </c>
      <c r="BH36" s="7">
        <f t="shared" ref="BH36" ca="1" si="201">BH33+BH35/4</f>
        <v>0</v>
      </c>
      <c r="BI36" s="7">
        <f t="shared" ref="BI36" ca="1" si="202">BI33+BI35/4</f>
        <v>0</v>
      </c>
      <c r="BJ36" s="7">
        <f t="shared" ref="BJ36" ca="1" si="203">BJ33+BJ35/4</f>
        <v>0</v>
      </c>
      <c r="BK36" s="7">
        <f t="shared" ref="BK36" ca="1" si="204">BK33+BK35/4</f>
        <v>0</v>
      </c>
      <c r="BN36" s="7" t="s">
        <v>169</v>
      </c>
      <c r="BO36" s="7">
        <v>204</v>
      </c>
      <c r="BQ36">
        <v>-2.5</v>
      </c>
      <c r="CL36" s="15"/>
      <c r="CN36" s="15">
        <f t="shared" si="156"/>
        <v>0</v>
      </c>
      <c r="CO36">
        <f t="shared" si="86"/>
        <v>0</v>
      </c>
      <c r="DI36">
        <f>DM20/DM30</f>
        <v>-10.137826971607787</v>
      </c>
    </row>
    <row r="37" spans="2:113">
      <c r="B37" s="41" t="s">
        <v>88</v>
      </c>
      <c r="C37" s="41"/>
      <c r="E37" s="4" t="str">
        <f t="shared" si="159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8"/>
        <v/>
      </c>
      <c r="O37" t="str">
        <f t="shared" si="39"/>
        <v/>
      </c>
      <c r="P37" t="str">
        <f t="shared" si="92"/>
        <v/>
      </c>
      <c r="Q37" t="str">
        <f t="shared" si="40"/>
        <v/>
      </c>
      <c r="R37" s="10" t="str">
        <f t="shared" si="161"/>
        <v/>
      </c>
      <c r="S37" s="10" t="str">
        <f t="shared" si="162"/>
        <v/>
      </c>
      <c r="T37" s="10" t="str">
        <f t="shared" si="163"/>
        <v/>
      </c>
      <c r="U37" s="10" t="str">
        <f t="shared" si="164"/>
        <v/>
      </c>
      <c r="V37" s="10" t="str">
        <f t="shared" si="165"/>
        <v/>
      </c>
      <c r="W37" s="10" t="str">
        <f t="shared" si="166"/>
        <v/>
      </c>
      <c r="X37" s="10" t="str">
        <f t="shared" si="167"/>
        <v/>
      </c>
      <c r="Y37" s="10" t="str">
        <f t="shared" si="168"/>
        <v/>
      </c>
      <c r="Z37" s="10" t="str">
        <f t="shared" si="169"/>
        <v/>
      </c>
      <c r="AA37" s="10" t="str">
        <f t="shared" si="170"/>
        <v/>
      </c>
      <c r="AB37" s="8" t="str">
        <f t="shared" si="171"/>
        <v/>
      </c>
      <c r="AC37" s="15" t="str">
        <f t="shared" si="172"/>
        <v/>
      </c>
      <c r="AD37" s="15" t="str">
        <f t="shared" si="173"/>
        <v/>
      </c>
      <c r="AE37" s="15" t="str">
        <f t="shared" si="174"/>
        <v/>
      </c>
      <c r="AF37" s="15" t="str">
        <f t="shared" si="175"/>
        <v/>
      </c>
      <c r="AG37" s="15" t="str">
        <f t="shared" si="176"/>
        <v/>
      </c>
      <c r="AH37" s="15" t="str">
        <f t="shared" si="177"/>
        <v/>
      </c>
      <c r="AI37" s="15" t="str">
        <f t="shared" si="178"/>
        <v/>
      </c>
      <c r="AJ37" s="15" t="str">
        <f t="shared" si="179"/>
        <v/>
      </c>
      <c r="AK37" s="15" t="str">
        <f t="shared" si="180"/>
        <v/>
      </c>
      <c r="AL37" s="15" t="str">
        <f t="shared" si="181"/>
        <v/>
      </c>
      <c r="AM37" s="15" t="str">
        <f t="shared" si="182"/>
        <v/>
      </c>
      <c r="AN37" t="str">
        <f t="shared" si="183"/>
        <v/>
      </c>
      <c r="AO37" s="10" t="str">
        <f t="shared" si="184"/>
        <v/>
      </c>
      <c r="AP37" s="10" t="str">
        <f t="shared" si="185"/>
        <v/>
      </c>
      <c r="AQ37" t="str">
        <f t="shared" si="186"/>
        <v/>
      </c>
      <c r="AR37" t="str">
        <f t="shared" si="187"/>
        <v/>
      </c>
      <c r="AS37" t="str">
        <f t="shared" si="188"/>
        <v/>
      </c>
      <c r="AT37" t="str">
        <f t="shared" si="41"/>
        <v/>
      </c>
      <c r="AU37" t="str">
        <f t="shared" si="42"/>
        <v/>
      </c>
      <c r="AV37" t="str">
        <f t="shared" si="189"/>
        <v/>
      </c>
      <c r="AW37" t="str">
        <f t="shared" si="190"/>
        <v/>
      </c>
      <c r="AX37" t="str">
        <f t="shared" si="43"/>
        <v/>
      </c>
      <c r="AY37" t="str">
        <f t="shared" si="54"/>
        <v/>
      </c>
      <c r="BA37" t="s">
        <v>18</v>
      </c>
      <c r="BB37" s="7">
        <f t="shared" ref="BB37:BK37" si="205">SUMIF($K:$K,BB1,$J:$J)</f>
        <v>10</v>
      </c>
      <c r="BC37" s="7">
        <f t="shared" ca="1" si="205"/>
        <v>12</v>
      </c>
      <c r="BD37" s="7">
        <f t="shared" ca="1" si="205"/>
        <v>7</v>
      </c>
      <c r="BE37" s="7">
        <f t="shared" ca="1" si="205"/>
        <v>5</v>
      </c>
      <c r="BF37" s="7">
        <f t="shared" ca="1" si="205"/>
        <v>0</v>
      </c>
      <c r="BG37" s="7">
        <f t="shared" ca="1" si="205"/>
        <v>0</v>
      </c>
      <c r="BH37" s="7">
        <f t="shared" ca="1" si="205"/>
        <v>0</v>
      </c>
      <c r="BI37" s="7">
        <f t="shared" ca="1" si="205"/>
        <v>0</v>
      </c>
      <c r="BJ37" s="7">
        <f t="shared" ca="1" si="205"/>
        <v>0</v>
      </c>
      <c r="BK37" s="7">
        <f t="shared" ca="1" si="205"/>
        <v>0</v>
      </c>
      <c r="BN37" s="7" t="s">
        <v>173</v>
      </c>
      <c r="BO37" s="7">
        <v>210</v>
      </c>
      <c r="BQ37">
        <v>100</v>
      </c>
      <c r="BS37">
        <v>-0.2</v>
      </c>
      <c r="CN37" s="15">
        <f t="shared" si="156"/>
        <v>0</v>
      </c>
      <c r="CO37">
        <f t="shared" si="86"/>
        <v>-2.5000000000000005E-3</v>
      </c>
      <c r="DI37">
        <f>DI36*DI33</f>
        <v>7.9317145310127151</v>
      </c>
    </row>
    <row r="38" spans="2:113">
      <c r="B38" s="25"/>
      <c r="E38" s="4">
        <f t="shared" ca="1" si="159"/>
        <v>0.5</v>
      </c>
      <c r="F38" s="19" t="s">
        <v>48</v>
      </c>
      <c r="G38" s="34">
        <v>4.0999999999999996</v>
      </c>
      <c r="H38" s="35"/>
      <c r="I38" s="35"/>
      <c r="J38" s="36">
        <v>0</v>
      </c>
      <c r="K38" s="19">
        <v>3</v>
      </c>
      <c r="L38" s="37"/>
      <c r="M38" s="19"/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1</v>
      </c>
      <c r="R38" s="10">
        <f t="shared" ca="1" si="161"/>
        <v>0</v>
      </c>
      <c r="S38" s="10">
        <f t="shared" ca="1" si="162"/>
        <v>0</v>
      </c>
      <c r="T38" s="10">
        <f t="shared" ca="1" si="163"/>
        <v>0</v>
      </c>
      <c r="U38" s="10">
        <f t="shared" ca="1" si="164"/>
        <v>0</v>
      </c>
      <c r="V38" s="10">
        <f t="shared" ca="1" si="165"/>
        <v>0</v>
      </c>
      <c r="W38" s="10">
        <f t="shared" ca="1" si="166"/>
        <v>0</v>
      </c>
      <c r="X38" s="10">
        <f t="shared" ca="1" si="167"/>
        <v>0</v>
      </c>
      <c r="Y38" s="10">
        <f t="shared" ca="1" si="168"/>
        <v>0</v>
      </c>
      <c r="Z38" s="10">
        <f t="shared" ca="1" si="169"/>
        <v>0</v>
      </c>
      <c r="AA38" s="10">
        <f t="shared" ca="1" si="170"/>
        <v>0</v>
      </c>
      <c r="AB38" s="8">
        <f t="shared" ca="1" si="171"/>
        <v>0</v>
      </c>
      <c r="AC38" s="15">
        <f t="shared" ca="1" si="172"/>
        <v>0</v>
      </c>
      <c r="AD38" s="15">
        <f t="shared" ca="1" si="173"/>
        <v>0</v>
      </c>
      <c r="AE38" s="15">
        <f t="shared" ca="1" si="174"/>
        <v>0</v>
      </c>
      <c r="AF38" s="15">
        <f t="shared" ca="1" si="175"/>
        <v>0</v>
      </c>
      <c r="AG38" s="15">
        <f t="shared" ca="1" si="176"/>
        <v>0</v>
      </c>
      <c r="AH38" s="15">
        <f t="shared" ca="1" si="177"/>
        <v>0</v>
      </c>
      <c r="AI38" s="15">
        <f t="shared" ca="1" si="178"/>
        <v>0</v>
      </c>
      <c r="AJ38" s="15">
        <f t="shared" ca="1" si="179"/>
        <v>0</v>
      </c>
      <c r="AK38" s="15">
        <f t="shared" ca="1" si="180"/>
        <v>0</v>
      </c>
      <c r="AL38" s="15">
        <f t="shared" ca="1" si="181"/>
        <v>0</v>
      </c>
      <c r="AM38" s="15">
        <f t="shared" ca="1" si="182"/>
        <v>0</v>
      </c>
      <c r="AN38">
        <f t="shared" ca="1" si="183"/>
        <v>1</v>
      </c>
      <c r="AO38" s="10">
        <f t="shared" ca="1" si="184"/>
        <v>0.5</v>
      </c>
      <c r="AP38" s="10">
        <f t="shared" ca="1" si="185"/>
        <v>0.75</v>
      </c>
      <c r="AQ38">
        <f t="shared" ca="1" si="186"/>
        <v>2.25</v>
      </c>
      <c r="AR38">
        <f t="shared" ca="1" si="187"/>
        <v>0.32142857142857145</v>
      </c>
      <c r="AS38">
        <f t="shared" ca="1" si="188"/>
        <v>0.5</v>
      </c>
      <c r="AT38">
        <f t="shared" si="41"/>
        <v>4</v>
      </c>
      <c r="AU38">
        <f t="shared" si="42"/>
        <v>1</v>
      </c>
      <c r="AV38">
        <f t="shared" si="189"/>
        <v>0</v>
      </c>
      <c r="AW38" t="str">
        <f t="shared" si="190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/>
      <c r="BO38" s="7"/>
      <c r="CN38" s="15">
        <f t="shared" si="156"/>
        <v>0</v>
      </c>
      <c r="CO38">
        <f t="shared" si="86"/>
        <v>0</v>
      </c>
    </row>
    <row r="39" spans="2:113">
      <c r="B39" t="s">
        <v>51</v>
      </c>
      <c r="C39" s="19">
        <v>2333</v>
      </c>
      <c r="E39" s="4">
        <f t="shared" ca="1" si="159"/>
        <v>0.5</v>
      </c>
      <c r="F39" s="19" t="s">
        <v>49</v>
      </c>
      <c r="G39" s="34">
        <v>4.2</v>
      </c>
      <c r="H39" s="35" t="str">
        <f>IF(H38="","",H38)</f>
        <v/>
      </c>
      <c r="I39" s="35" t="str">
        <f>IF(I38="","",I38)</f>
        <v/>
      </c>
      <c r="J39" s="36">
        <v>0</v>
      </c>
      <c r="K39" s="19">
        <v>3</v>
      </c>
      <c r="L39" s="37"/>
      <c r="M39" s="19">
        <v>1</v>
      </c>
      <c r="N39" t="str">
        <f t="shared" si="38"/>
        <v/>
      </c>
      <c r="O39" t="str">
        <f t="shared" si="39"/>
        <v/>
      </c>
      <c r="P39">
        <f t="shared" si="92"/>
        <v>1</v>
      </c>
      <c r="Q39">
        <f t="shared" si="40"/>
        <v>0</v>
      </c>
      <c r="R39" s="10">
        <f t="shared" ca="1" si="161"/>
        <v>0</v>
      </c>
      <c r="S39" s="10">
        <f t="shared" ca="1" si="162"/>
        <v>0</v>
      </c>
      <c r="T39" s="10">
        <f t="shared" ca="1" si="163"/>
        <v>0</v>
      </c>
      <c r="U39" s="10">
        <f t="shared" ca="1" si="164"/>
        <v>0</v>
      </c>
      <c r="V39" s="10">
        <f t="shared" ca="1" si="165"/>
        <v>0</v>
      </c>
      <c r="W39" s="10">
        <f t="shared" ca="1" si="166"/>
        <v>0</v>
      </c>
      <c r="X39" s="10">
        <f t="shared" ca="1" si="167"/>
        <v>0</v>
      </c>
      <c r="Y39" s="10">
        <f t="shared" ca="1" si="168"/>
        <v>0</v>
      </c>
      <c r="Z39" s="10">
        <f t="shared" ca="1" si="169"/>
        <v>0</v>
      </c>
      <c r="AA39" s="10">
        <f t="shared" ca="1" si="170"/>
        <v>0</v>
      </c>
      <c r="AB39" s="8">
        <f t="shared" ca="1" si="171"/>
        <v>0</v>
      </c>
      <c r="AC39" s="15">
        <f t="shared" ca="1" si="172"/>
        <v>0</v>
      </c>
      <c r="AD39" s="15">
        <f t="shared" ca="1" si="173"/>
        <v>0</v>
      </c>
      <c r="AE39" s="15">
        <f t="shared" ca="1" si="174"/>
        <v>0</v>
      </c>
      <c r="AF39" s="15">
        <f t="shared" ca="1" si="175"/>
        <v>0</v>
      </c>
      <c r="AG39" s="15">
        <f t="shared" ca="1" si="176"/>
        <v>0</v>
      </c>
      <c r="AH39" s="15">
        <f t="shared" ca="1" si="177"/>
        <v>0</v>
      </c>
      <c r="AI39" s="15">
        <f t="shared" ca="1" si="178"/>
        <v>0</v>
      </c>
      <c r="AJ39" s="15">
        <f t="shared" ca="1" si="179"/>
        <v>0</v>
      </c>
      <c r="AK39" s="15">
        <f t="shared" ca="1" si="180"/>
        <v>0</v>
      </c>
      <c r="AL39" s="15">
        <f t="shared" ca="1" si="181"/>
        <v>0</v>
      </c>
      <c r="AM39" s="15">
        <f t="shared" ca="1" si="182"/>
        <v>0</v>
      </c>
      <c r="AN39">
        <f t="shared" ca="1" si="183"/>
        <v>1</v>
      </c>
      <c r="AO39" s="10">
        <f t="shared" ca="1" si="184"/>
        <v>0.5</v>
      </c>
      <c r="AP39" s="10">
        <f t="shared" ca="1" si="185"/>
        <v>0.75</v>
      </c>
      <c r="AQ39">
        <f t="shared" ca="1" si="186"/>
        <v>2.25</v>
      </c>
      <c r="AR39">
        <f t="shared" ca="1" si="187"/>
        <v>0.32142857142857145</v>
      </c>
      <c r="AS39">
        <f t="shared" ca="1" si="188"/>
        <v>0.5</v>
      </c>
      <c r="AT39">
        <f t="shared" si="41"/>
        <v>4</v>
      </c>
      <c r="AU39">
        <f t="shared" si="42"/>
        <v>1</v>
      </c>
      <c r="AV39">
        <f t="shared" si="189"/>
        <v>0</v>
      </c>
      <c r="AW39" t="str">
        <f t="shared" si="190"/>
        <v/>
      </c>
      <c r="AX39" t="str">
        <f t="shared" si="43"/>
        <v/>
      </c>
      <c r="AY39">
        <f t="shared" ca="1" si="54"/>
        <v>0.5</v>
      </c>
      <c r="BA39" t="s">
        <v>11</v>
      </c>
      <c r="BB39">
        <f t="shared" ref="BB39:BK39" si="208">BB3+BB4+BB7+SUMIFS($P:$P,$K:$K,BB1,$M:$M,"")+SUM(BB58:BB65)</f>
        <v>20</v>
      </c>
      <c r="BC39">
        <f t="shared" ca="1" si="208"/>
        <v>15</v>
      </c>
      <c r="BD39">
        <f t="shared" ca="1" si="208"/>
        <v>11</v>
      </c>
      <c r="BE39">
        <f t="shared" ca="1" si="208"/>
        <v>7</v>
      </c>
      <c r="BF39">
        <f t="shared" ca="1" si="208"/>
        <v>9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113">
      <c r="E40" s="4">
        <f t="shared" ca="1" si="159"/>
        <v>0.5</v>
      </c>
      <c r="F40" s="19" t="s">
        <v>50</v>
      </c>
      <c r="G40" s="34">
        <v>4.3</v>
      </c>
      <c r="H40" s="35" t="str">
        <f>IF(H39="","",H39)</f>
        <v/>
      </c>
      <c r="I40" s="35" t="str">
        <f>IF(I39="","",I39)</f>
        <v/>
      </c>
      <c r="J40" s="36">
        <v>0</v>
      </c>
      <c r="K40" s="19">
        <v>3</v>
      </c>
      <c r="L40" s="37"/>
      <c r="M40" s="19">
        <v>1</v>
      </c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0</v>
      </c>
      <c r="R40" s="10">
        <f t="shared" ca="1" si="161"/>
        <v>0</v>
      </c>
      <c r="S40" s="10">
        <f t="shared" ca="1" si="162"/>
        <v>0</v>
      </c>
      <c r="T40" s="10">
        <f t="shared" ca="1" si="163"/>
        <v>0</v>
      </c>
      <c r="U40" s="10">
        <f t="shared" ca="1" si="164"/>
        <v>0</v>
      </c>
      <c r="V40" s="10">
        <f t="shared" ca="1" si="165"/>
        <v>0</v>
      </c>
      <c r="W40" s="10">
        <f t="shared" ca="1" si="166"/>
        <v>0</v>
      </c>
      <c r="X40" s="10">
        <f t="shared" ca="1" si="167"/>
        <v>0</v>
      </c>
      <c r="Y40" s="10">
        <f t="shared" ca="1" si="168"/>
        <v>0</v>
      </c>
      <c r="Z40" s="10">
        <f t="shared" ca="1" si="169"/>
        <v>0</v>
      </c>
      <c r="AA40" s="10">
        <f t="shared" ca="1" si="170"/>
        <v>0</v>
      </c>
      <c r="AB40" s="8">
        <f t="shared" ca="1" si="171"/>
        <v>0</v>
      </c>
      <c r="AC40" s="15">
        <f t="shared" ca="1" si="172"/>
        <v>0</v>
      </c>
      <c r="AD40" s="15">
        <f t="shared" ca="1" si="173"/>
        <v>0</v>
      </c>
      <c r="AE40" s="15">
        <f t="shared" ca="1" si="174"/>
        <v>0</v>
      </c>
      <c r="AF40" s="15">
        <f t="shared" ca="1" si="175"/>
        <v>0</v>
      </c>
      <c r="AG40" s="15">
        <f t="shared" ca="1" si="176"/>
        <v>0</v>
      </c>
      <c r="AH40" s="15">
        <f t="shared" ca="1" si="177"/>
        <v>0</v>
      </c>
      <c r="AI40" s="15">
        <f t="shared" ca="1" si="178"/>
        <v>0</v>
      </c>
      <c r="AJ40" s="15">
        <f t="shared" ca="1" si="179"/>
        <v>0</v>
      </c>
      <c r="AK40" s="15">
        <f t="shared" ca="1" si="180"/>
        <v>0</v>
      </c>
      <c r="AL40" s="15">
        <f t="shared" ca="1" si="181"/>
        <v>0</v>
      </c>
      <c r="AM40" s="15">
        <f t="shared" ca="1" si="182"/>
        <v>0</v>
      </c>
      <c r="AN40">
        <f t="shared" ca="1" si="183"/>
        <v>1</v>
      </c>
      <c r="AO40" s="10">
        <f t="shared" ca="1" si="184"/>
        <v>0.5</v>
      </c>
      <c r="AP40" s="10">
        <f t="shared" ca="1" si="185"/>
        <v>0.75</v>
      </c>
      <c r="AQ40">
        <f t="shared" ca="1" si="186"/>
        <v>2.25</v>
      </c>
      <c r="AR40">
        <f t="shared" ca="1" si="187"/>
        <v>0.32142857142857145</v>
      </c>
      <c r="AS40">
        <f t="shared" ca="1" si="188"/>
        <v>0.5</v>
      </c>
      <c r="AT40">
        <f t="shared" si="41"/>
        <v>4</v>
      </c>
      <c r="AU40">
        <f t="shared" si="42"/>
        <v>1</v>
      </c>
      <c r="AV40">
        <f t="shared" si="189"/>
        <v>0</v>
      </c>
      <c r="AW40" t="str">
        <f t="shared" si="190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113">
      <c r="B41" t="s">
        <v>89</v>
      </c>
      <c r="C41" s="18" t="str">
        <f ca="1">CONCATENATE(ROUNDDOWN(C65/(60*60*6),0),"d:",ROUNDDOWN(MOD(C65,60*60*6)/3600,0),"h:",ROUNDDOWN(MOD(C65,3600)/60,0),"m:",ROUNDDOWN(MOD(C65,60),0),"s")</f>
        <v>1d:5h:17m:36s</v>
      </c>
      <c r="E41" s="4" t="str">
        <f t="shared" si="159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8"/>
        <v/>
      </c>
      <c r="O41" t="str">
        <f t="shared" si="39"/>
        <v/>
      </c>
      <c r="P41" t="str">
        <f t="shared" si="92"/>
        <v/>
      </c>
      <c r="Q41" t="str">
        <f t="shared" si="40"/>
        <v/>
      </c>
      <c r="R41" s="10" t="str">
        <f t="shared" si="161"/>
        <v/>
      </c>
      <c r="S41" s="10" t="str">
        <f t="shared" si="162"/>
        <v/>
      </c>
      <c r="T41" s="10" t="str">
        <f t="shared" si="163"/>
        <v/>
      </c>
      <c r="U41" s="10" t="str">
        <f t="shared" si="164"/>
        <v/>
      </c>
      <c r="V41" s="10" t="str">
        <f t="shared" si="165"/>
        <v/>
      </c>
      <c r="W41" s="10" t="str">
        <f t="shared" si="166"/>
        <v/>
      </c>
      <c r="X41" s="10" t="str">
        <f t="shared" si="167"/>
        <v/>
      </c>
      <c r="Y41" s="10" t="str">
        <f t="shared" si="168"/>
        <v/>
      </c>
      <c r="Z41" s="10" t="str">
        <f t="shared" si="169"/>
        <v/>
      </c>
      <c r="AA41" s="10" t="str">
        <f t="shared" si="170"/>
        <v/>
      </c>
      <c r="AB41" s="8" t="str">
        <f t="shared" si="171"/>
        <v/>
      </c>
      <c r="AC41" s="15" t="str">
        <f t="shared" si="172"/>
        <v/>
      </c>
      <c r="AD41" s="15" t="str">
        <f t="shared" si="173"/>
        <v/>
      </c>
      <c r="AE41" s="15" t="str">
        <f t="shared" si="174"/>
        <v/>
      </c>
      <c r="AF41" s="15" t="str">
        <f t="shared" si="175"/>
        <v/>
      </c>
      <c r="AG41" s="15" t="str">
        <f t="shared" si="176"/>
        <v/>
      </c>
      <c r="AH41" s="15" t="str">
        <f t="shared" si="177"/>
        <v/>
      </c>
      <c r="AI41" s="15" t="str">
        <f t="shared" si="178"/>
        <v/>
      </c>
      <c r="AJ41" s="15" t="str">
        <f t="shared" si="179"/>
        <v/>
      </c>
      <c r="AK41" s="15" t="str">
        <f t="shared" si="180"/>
        <v/>
      </c>
      <c r="AL41" s="15" t="str">
        <f t="shared" si="181"/>
        <v/>
      </c>
      <c r="AM41" s="15" t="str">
        <f t="shared" si="182"/>
        <v/>
      </c>
      <c r="AN41" t="str">
        <f t="shared" si="183"/>
        <v/>
      </c>
      <c r="AO41" s="10" t="str">
        <f t="shared" si="184"/>
        <v/>
      </c>
      <c r="AP41" s="10" t="str">
        <f t="shared" si="185"/>
        <v/>
      </c>
      <c r="AQ41" t="str">
        <f t="shared" si="186"/>
        <v/>
      </c>
      <c r="AR41" t="str">
        <f t="shared" si="187"/>
        <v/>
      </c>
      <c r="AS41" t="str">
        <f t="shared" si="188"/>
        <v/>
      </c>
      <c r="AT41" t="str">
        <f t="shared" si="41"/>
        <v/>
      </c>
      <c r="AU41" t="str">
        <f t="shared" si="42"/>
        <v/>
      </c>
      <c r="AV41" t="str">
        <f t="shared" si="189"/>
        <v/>
      </c>
      <c r="AW41" t="str">
        <f t="shared" si="190"/>
        <v/>
      </c>
      <c r="AX41" t="str">
        <f t="shared" si="43"/>
        <v/>
      </c>
      <c r="AY41" t="str">
        <f t="shared" si="54"/>
        <v/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113">
      <c r="B42" t="s">
        <v>90</v>
      </c>
      <c r="C42" s="18" t="str">
        <f ca="1">CONCATENATE(ROUNDDOWN(C66/(60*60*6),0),"d:",ROUNDDOWN(MOD(C66,60*60*6)/3600,0),"h:",ROUNDDOWN(MOD(C66,3600)/60,0),"m:",ROUNDDOWN(MOD(C66,60),0),"s")</f>
        <v>2d:1h:38m:13s</v>
      </c>
      <c r="E42" s="4">
        <f t="shared" si="159"/>
        <v>1</v>
      </c>
      <c r="F42" s="19" t="s">
        <v>173</v>
      </c>
      <c r="G42" s="34">
        <v>210</v>
      </c>
      <c r="H42" s="35"/>
      <c r="I42" s="35"/>
      <c r="J42" s="36"/>
      <c r="K42" s="19">
        <v>3</v>
      </c>
      <c r="L42" s="37"/>
      <c r="M42" s="19"/>
      <c r="N42" t="str">
        <f t="shared" si="38"/>
        <v/>
      </c>
      <c r="O42" t="str">
        <f t="shared" si="39"/>
        <v/>
      </c>
      <c r="P42">
        <f t="shared" si="92"/>
        <v>0</v>
      </c>
      <c r="Q42">
        <f t="shared" si="40"/>
        <v>1</v>
      </c>
      <c r="R42" s="10">
        <f t="shared" si="161"/>
        <v>100</v>
      </c>
      <c r="S42" s="10">
        <f t="shared" si="162"/>
        <v>0</v>
      </c>
      <c r="T42" s="10">
        <f t="shared" si="163"/>
        <v>-0.2</v>
      </c>
      <c r="U42" s="10">
        <f t="shared" si="164"/>
        <v>0</v>
      </c>
      <c r="V42" s="10">
        <f t="shared" si="165"/>
        <v>0</v>
      </c>
      <c r="W42" s="10">
        <f t="shared" si="166"/>
        <v>0</v>
      </c>
      <c r="X42" s="10">
        <f t="shared" si="167"/>
        <v>0</v>
      </c>
      <c r="Y42" s="10">
        <f t="shared" si="168"/>
        <v>0</v>
      </c>
      <c r="Z42" s="10">
        <f t="shared" si="169"/>
        <v>0</v>
      </c>
      <c r="AA42" s="10">
        <f t="shared" si="170"/>
        <v>0</v>
      </c>
      <c r="AB42" s="8">
        <f t="shared" si="171"/>
        <v>0</v>
      </c>
      <c r="AC42" s="15">
        <f t="shared" si="172"/>
        <v>0</v>
      </c>
      <c r="AD42" s="15">
        <f t="shared" si="173"/>
        <v>0</v>
      </c>
      <c r="AE42" s="15">
        <f t="shared" si="174"/>
        <v>0</v>
      </c>
      <c r="AF42" s="15">
        <f t="shared" si="175"/>
        <v>0</v>
      </c>
      <c r="AG42" s="15">
        <f t="shared" si="176"/>
        <v>0</v>
      </c>
      <c r="AH42" s="15">
        <f t="shared" si="177"/>
        <v>0</v>
      </c>
      <c r="AI42" s="15">
        <f t="shared" si="178"/>
        <v>0</v>
      </c>
      <c r="AJ42" s="15">
        <f t="shared" si="179"/>
        <v>0</v>
      </c>
      <c r="AK42" s="15">
        <f t="shared" si="180"/>
        <v>0</v>
      </c>
      <c r="AL42" s="15">
        <f t="shared" si="181"/>
        <v>0</v>
      </c>
      <c r="AM42" s="15">
        <f t="shared" si="182"/>
        <v>0</v>
      </c>
      <c r="AN42" t="str">
        <f t="shared" si="183"/>
        <v/>
      </c>
      <c r="AO42" s="10" t="str">
        <f t="shared" si="184"/>
        <v/>
      </c>
      <c r="AP42" s="10" t="str">
        <f t="shared" si="185"/>
        <v/>
      </c>
      <c r="AQ42" t="str">
        <f t="shared" si="186"/>
        <v/>
      </c>
      <c r="AR42" t="str">
        <f t="shared" si="187"/>
        <v/>
      </c>
      <c r="AS42" t="str">
        <f t="shared" si="188"/>
        <v/>
      </c>
      <c r="AT42">
        <f t="shared" si="41"/>
        <v>210</v>
      </c>
      <c r="AU42">
        <f t="shared" si="42"/>
        <v>0</v>
      </c>
      <c r="AV42">
        <f t="shared" si="189"/>
        <v>0</v>
      </c>
      <c r="AW42" t="str">
        <f t="shared" si="190"/>
        <v/>
      </c>
      <c r="AX42" t="str">
        <f t="shared" si="43"/>
        <v/>
      </c>
      <c r="AY42" t="str">
        <f t="shared" si="54"/>
        <v/>
      </c>
    </row>
    <row r="43" spans="2:113">
      <c r="B43" t="s">
        <v>91</v>
      </c>
      <c r="C43" s="18" t="str">
        <f ca="1">CONCATENATE(ROUNDDOWN(C67/(60*60*6),0),"d:",ROUNDDOWN(MOD(C67,60*60*6)/3600,0),"h:",ROUNDDOWN(MOD(C67,3600)/60,0),"m:",ROUNDDOWN(MOD(C67,60),0),"s")</f>
        <v>2d:4h:26m:10s</v>
      </c>
      <c r="E43" s="4">
        <f t="shared" si="159"/>
        <v>1</v>
      </c>
      <c r="F43" s="19" t="s">
        <v>168</v>
      </c>
      <c r="G43" s="34">
        <v>201</v>
      </c>
      <c r="H43" s="35"/>
      <c r="I43" s="35"/>
      <c r="J43" s="36"/>
      <c r="K43" s="19">
        <v>3</v>
      </c>
      <c r="L43" s="37"/>
      <c r="M43" s="19"/>
      <c r="N43" t="str">
        <f t="shared" si="38"/>
        <v/>
      </c>
      <c r="O43" t="str">
        <f t="shared" si="39"/>
        <v/>
      </c>
      <c r="P43">
        <f t="shared" si="92"/>
        <v>0</v>
      </c>
      <c r="Q43">
        <f t="shared" si="40"/>
        <v>1</v>
      </c>
      <c r="R43" s="10">
        <f t="shared" si="161"/>
        <v>-2.5</v>
      </c>
      <c r="S43" s="10">
        <f t="shared" si="162"/>
        <v>0</v>
      </c>
      <c r="T43" s="10">
        <f t="shared" si="163"/>
        <v>0</v>
      </c>
      <c r="U43" s="10">
        <f t="shared" ca="1" si="164"/>
        <v>1.9614242424242423</v>
      </c>
      <c r="V43" s="10">
        <f t="shared" si="165"/>
        <v>0</v>
      </c>
      <c r="W43" s="10">
        <f t="shared" si="166"/>
        <v>0</v>
      </c>
      <c r="X43" s="10">
        <f t="shared" si="167"/>
        <v>0</v>
      </c>
      <c r="Y43" s="10">
        <f t="shared" si="168"/>
        <v>0</v>
      </c>
      <c r="Z43" s="10">
        <f t="shared" si="169"/>
        <v>0</v>
      </c>
      <c r="AA43" s="10">
        <f t="shared" si="170"/>
        <v>0</v>
      </c>
      <c r="AB43" s="8">
        <f t="shared" si="171"/>
        <v>0</v>
      </c>
      <c r="AC43" s="15">
        <f t="shared" si="172"/>
        <v>0</v>
      </c>
      <c r="AD43" s="15">
        <f t="shared" si="173"/>
        <v>0</v>
      </c>
      <c r="AE43" s="15">
        <f t="shared" si="174"/>
        <v>0</v>
      </c>
      <c r="AF43" s="15">
        <f t="shared" si="175"/>
        <v>0</v>
      </c>
      <c r="AG43" s="15">
        <f t="shared" si="176"/>
        <v>0</v>
      </c>
      <c r="AH43" s="15">
        <f t="shared" si="177"/>
        <v>0</v>
      </c>
      <c r="AI43" s="15">
        <f t="shared" si="178"/>
        <v>0</v>
      </c>
      <c r="AJ43" s="15">
        <f t="shared" si="179"/>
        <v>0</v>
      </c>
      <c r="AK43" s="15">
        <f t="shared" si="180"/>
        <v>0</v>
      </c>
      <c r="AL43" s="15">
        <f t="shared" si="181"/>
        <v>0</v>
      </c>
      <c r="AM43" s="15">
        <f t="shared" si="182"/>
        <v>0</v>
      </c>
      <c r="AN43" t="str">
        <f t="shared" si="183"/>
        <v/>
      </c>
      <c r="AO43" s="10" t="str">
        <f t="shared" si="184"/>
        <v/>
      </c>
      <c r="AP43" s="10" t="str">
        <f t="shared" si="185"/>
        <v/>
      </c>
      <c r="AQ43" t="str">
        <f t="shared" si="186"/>
        <v/>
      </c>
      <c r="AR43" t="str">
        <f t="shared" si="187"/>
        <v/>
      </c>
      <c r="AS43" t="str">
        <f t="shared" si="188"/>
        <v/>
      </c>
      <c r="AT43">
        <f t="shared" si="41"/>
        <v>201</v>
      </c>
      <c r="AU43">
        <f t="shared" si="42"/>
        <v>0</v>
      </c>
      <c r="AV43">
        <f t="shared" si="189"/>
        <v>0</v>
      </c>
      <c r="AW43" t="str">
        <f t="shared" si="190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113">
      <c r="B44" t="s">
        <v>92</v>
      </c>
      <c r="C44" s="18" t="str">
        <f ca="1">CONCATENATE(ROUNDDOWN(C68/(60*60*6),0),"d:",ROUNDDOWN(MOD(C68,60*60*6)/3600,0),"h:",ROUNDDOWN(MOD(C68,3600)/60,0),"m:",ROUNDDOWN(MOD(C68,60),0),"s")</f>
        <v>5d:4h:35m:29s</v>
      </c>
      <c r="E44" s="4">
        <f t="shared" si="159"/>
        <v>1</v>
      </c>
      <c r="F44" s="19" t="s">
        <v>164</v>
      </c>
      <c r="G44" s="34">
        <v>202</v>
      </c>
      <c r="H44" s="35"/>
      <c r="I44" s="35"/>
      <c r="J44" s="36"/>
      <c r="K44" s="19">
        <v>3</v>
      </c>
      <c r="L44" s="37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1"/>
        <v>-2.5</v>
      </c>
      <c r="S44" s="10">
        <f t="shared" si="162"/>
        <v>0</v>
      </c>
      <c r="T44" s="10">
        <f t="shared" si="163"/>
        <v>0</v>
      </c>
      <c r="U44" s="10">
        <f t="shared" si="164"/>
        <v>0</v>
      </c>
      <c r="V44" s="10">
        <f t="shared" ca="1" si="165"/>
        <v>1.2205992509363295</v>
      </c>
      <c r="W44" s="10">
        <f t="shared" si="166"/>
        <v>0</v>
      </c>
      <c r="X44" s="10">
        <f t="shared" si="167"/>
        <v>0</v>
      </c>
      <c r="Y44" s="10">
        <f t="shared" si="168"/>
        <v>0</v>
      </c>
      <c r="Z44" s="10">
        <f t="shared" si="169"/>
        <v>0</v>
      </c>
      <c r="AA44" s="10">
        <f t="shared" si="170"/>
        <v>0</v>
      </c>
      <c r="AB44" s="8">
        <f t="shared" si="171"/>
        <v>0</v>
      </c>
      <c r="AC44" s="15">
        <f t="shared" si="172"/>
        <v>0</v>
      </c>
      <c r="AD44" s="15">
        <f t="shared" si="173"/>
        <v>0</v>
      </c>
      <c r="AE44" s="15">
        <f t="shared" si="174"/>
        <v>0</v>
      </c>
      <c r="AF44" s="15">
        <f t="shared" si="175"/>
        <v>0</v>
      </c>
      <c r="AG44" s="15">
        <f t="shared" si="176"/>
        <v>0</v>
      </c>
      <c r="AH44" s="15">
        <f t="shared" si="177"/>
        <v>0</v>
      </c>
      <c r="AI44" s="15">
        <f t="shared" si="178"/>
        <v>0</v>
      </c>
      <c r="AJ44" s="15">
        <f t="shared" si="179"/>
        <v>0</v>
      </c>
      <c r="AK44" s="15">
        <f t="shared" si="180"/>
        <v>0</v>
      </c>
      <c r="AL44" s="15">
        <f t="shared" si="181"/>
        <v>0</v>
      </c>
      <c r="AM44" s="15">
        <f t="shared" si="182"/>
        <v>0</v>
      </c>
      <c r="AN44" t="str">
        <f t="shared" si="183"/>
        <v/>
      </c>
      <c r="AO44" s="10" t="str">
        <f t="shared" si="184"/>
        <v/>
      </c>
      <c r="AP44" s="10" t="str">
        <f t="shared" si="185"/>
        <v/>
      </c>
      <c r="AQ44" t="str">
        <f t="shared" si="186"/>
        <v/>
      </c>
      <c r="AR44" t="str">
        <f t="shared" si="187"/>
        <v/>
      </c>
      <c r="AS44" t="str">
        <f t="shared" si="188"/>
        <v/>
      </c>
      <c r="AT44">
        <f t="shared" si="41"/>
        <v>202</v>
      </c>
      <c r="AU44">
        <f t="shared" si="42"/>
        <v>0</v>
      </c>
      <c r="AV44">
        <f t="shared" si="189"/>
        <v>0</v>
      </c>
      <c r="AW44" t="str">
        <f t="shared" si="190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113">
      <c r="E45" s="4">
        <f t="shared" si="159"/>
        <v>1</v>
      </c>
      <c r="F45" s="19" t="s">
        <v>150</v>
      </c>
      <c r="G45" s="34">
        <v>203</v>
      </c>
      <c r="H45" s="35"/>
      <c r="I45" s="35"/>
      <c r="J45" s="36"/>
      <c r="K45" s="19">
        <v>3</v>
      </c>
      <c r="L45" s="37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1"/>
        <v>-2.5</v>
      </c>
      <c r="S45" s="10">
        <f t="shared" si="162"/>
        <v>0</v>
      </c>
      <c r="T45" s="10">
        <f t="shared" si="163"/>
        <v>0</v>
      </c>
      <c r="U45" s="10">
        <f t="shared" si="164"/>
        <v>0</v>
      </c>
      <c r="V45" s="10">
        <f t="shared" si="165"/>
        <v>0</v>
      </c>
      <c r="W45" s="10">
        <f t="shared" ca="1" si="166"/>
        <v>0.95940972222222221</v>
      </c>
      <c r="X45" s="10">
        <f t="shared" si="167"/>
        <v>0</v>
      </c>
      <c r="Y45" s="10">
        <f t="shared" si="168"/>
        <v>0</v>
      </c>
      <c r="Z45" s="10">
        <f t="shared" si="169"/>
        <v>0</v>
      </c>
      <c r="AA45" s="10">
        <f t="shared" si="170"/>
        <v>0</v>
      </c>
      <c r="AB45" s="8">
        <f t="shared" si="171"/>
        <v>0</v>
      </c>
      <c r="AC45" s="15">
        <f t="shared" si="172"/>
        <v>0</v>
      </c>
      <c r="AD45" s="15">
        <f t="shared" si="173"/>
        <v>0</v>
      </c>
      <c r="AE45" s="15">
        <f t="shared" si="174"/>
        <v>0</v>
      </c>
      <c r="AF45" s="15">
        <f t="shared" si="175"/>
        <v>0</v>
      </c>
      <c r="AG45" s="15">
        <f t="shared" si="176"/>
        <v>0</v>
      </c>
      <c r="AH45" s="15">
        <f t="shared" si="177"/>
        <v>0</v>
      </c>
      <c r="AI45" s="15">
        <f t="shared" si="178"/>
        <v>0</v>
      </c>
      <c r="AJ45" s="15">
        <f t="shared" si="179"/>
        <v>0</v>
      </c>
      <c r="AK45" s="15">
        <f t="shared" si="180"/>
        <v>0</v>
      </c>
      <c r="AL45" s="15">
        <f t="shared" si="181"/>
        <v>0</v>
      </c>
      <c r="AM45" s="15">
        <f t="shared" si="182"/>
        <v>0</v>
      </c>
      <c r="AN45" t="str">
        <f t="shared" si="183"/>
        <v/>
      </c>
      <c r="AO45" s="10" t="str">
        <f t="shared" si="184"/>
        <v/>
      </c>
      <c r="AP45" s="10" t="str">
        <f t="shared" si="185"/>
        <v/>
      </c>
      <c r="AQ45" t="str">
        <f t="shared" si="186"/>
        <v/>
      </c>
      <c r="AR45" t="str">
        <f t="shared" si="187"/>
        <v/>
      </c>
      <c r="AS45" t="str">
        <f t="shared" si="188"/>
        <v/>
      </c>
      <c r="AT45">
        <f t="shared" si="41"/>
        <v>203</v>
      </c>
      <c r="AU45">
        <f t="shared" si="42"/>
        <v>0</v>
      </c>
      <c r="AV45">
        <f t="shared" si="189"/>
        <v>0</v>
      </c>
      <c r="AW45" t="str">
        <f t="shared" si="190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113">
      <c r="B46" t="s">
        <v>93</v>
      </c>
      <c r="C46" s="18" t="str">
        <f ca="1">CONCATENATE(ROUNDDOWN(C70/(60*60*6),0),"d:",ROUNDDOWN(MOD(C70,60*60*6)/3600,0),"h:",ROUNDDOWN(MOD(C70,3600)/60,0),"m:",ROUNDDOWN(MOD(C70,60),0),"s")</f>
        <v>10d:5h:43m:34s</v>
      </c>
      <c r="E46" s="4">
        <f t="shared" si="159"/>
        <v>1</v>
      </c>
      <c r="F46" s="19" t="s">
        <v>169</v>
      </c>
      <c r="G46" s="34">
        <v>204</v>
      </c>
      <c r="H46" s="35"/>
      <c r="I46" s="35"/>
      <c r="J46" s="36"/>
      <c r="K46" s="19">
        <v>3</v>
      </c>
      <c r="L46" s="37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1"/>
        <v>-2.5</v>
      </c>
      <c r="S46" s="10">
        <f t="shared" si="162"/>
        <v>0</v>
      </c>
      <c r="T46" s="10">
        <f t="shared" si="163"/>
        <v>0</v>
      </c>
      <c r="U46" s="10">
        <f t="shared" si="164"/>
        <v>0</v>
      </c>
      <c r="V46" s="10">
        <f t="shared" si="165"/>
        <v>0</v>
      </c>
      <c r="W46" s="10">
        <f t="shared" si="166"/>
        <v>0</v>
      </c>
      <c r="X46" s="10">
        <f t="shared" si="167"/>
        <v>0</v>
      </c>
      <c r="Y46" s="10">
        <f t="shared" si="168"/>
        <v>0</v>
      </c>
      <c r="Z46" s="10">
        <f t="shared" si="169"/>
        <v>0</v>
      </c>
      <c r="AA46" s="10">
        <f t="shared" si="170"/>
        <v>0</v>
      </c>
      <c r="AB46" s="8">
        <f t="shared" si="171"/>
        <v>0</v>
      </c>
      <c r="AC46" s="15">
        <f t="shared" si="172"/>
        <v>0</v>
      </c>
      <c r="AD46" s="15">
        <f t="shared" si="173"/>
        <v>0</v>
      </c>
      <c r="AE46" s="15">
        <f t="shared" si="174"/>
        <v>0</v>
      </c>
      <c r="AF46" s="15">
        <f t="shared" si="175"/>
        <v>0</v>
      </c>
      <c r="AG46" s="15">
        <f t="shared" si="176"/>
        <v>0</v>
      </c>
      <c r="AH46" s="15">
        <f t="shared" si="177"/>
        <v>0</v>
      </c>
      <c r="AI46" s="15">
        <f t="shared" si="178"/>
        <v>0</v>
      </c>
      <c r="AJ46" s="15">
        <f t="shared" ca="1" si="179"/>
        <v>0</v>
      </c>
      <c r="AK46" s="15">
        <f t="shared" si="180"/>
        <v>0</v>
      </c>
      <c r="AL46" s="15">
        <f t="shared" si="181"/>
        <v>0</v>
      </c>
      <c r="AM46" s="15">
        <f t="shared" si="182"/>
        <v>0</v>
      </c>
      <c r="AN46" t="str">
        <f t="shared" si="183"/>
        <v/>
      </c>
      <c r="AO46" s="10" t="str">
        <f t="shared" si="184"/>
        <v/>
      </c>
      <c r="AP46" s="10" t="str">
        <f t="shared" si="185"/>
        <v/>
      </c>
      <c r="AQ46" t="str">
        <f t="shared" si="186"/>
        <v/>
      </c>
      <c r="AR46" t="str">
        <f t="shared" si="187"/>
        <v/>
      </c>
      <c r="AS46" t="str">
        <f t="shared" si="188"/>
        <v/>
      </c>
      <c r="AT46">
        <f t="shared" si="41"/>
        <v>204</v>
      </c>
      <c r="AU46">
        <f t="shared" si="42"/>
        <v>0</v>
      </c>
      <c r="AV46">
        <f t="shared" si="189"/>
        <v>0</v>
      </c>
      <c r="AW46" t="str">
        <f t="shared" si="190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113">
      <c r="B47" t="s">
        <v>94</v>
      </c>
      <c r="C47" s="18" t="str">
        <f ca="1">CONCATENATE(ROUNDDOWN(C71/(60*60*6),0),"d:",ROUNDDOWN(MOD(C71,60*60*6)/3600,0),"h:",ROUNDDOWN(MOD(C71,3600)/60,0),"m:",ROUNDDOWN(MOD(C71,60),0),"s")</f>
        <v>13d:2h:5m:8s</v>
      </c>
      <c r="E47" s="4">
        <f t="shared" si="159"/>
        <v>1</v>
      </c>
      <c r="F47" s="19" t="s">
        <v>168</v>
      </c>
      <c r="G47" s="34">
        <v>201</v>
      </c>
      <c r="H47" s="35"/>
      <c r="I47" s="35"/>
      <c r="J47" s="36"/>
      <c r="K47" s="19">
        <v>3</v>
      </c>
      <c r="L47" s="37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1"/>
        <v>-2.5</v>
      </c>
      <c r="S47" s="10">
        <f t="shared" si="162"/>
        <v>0</v>
      </c>
      <c r="T47" s="10">
        <f t="shared" si="163"/>
        <v>0</v>
      </c>
      <c r="U47" s="10">
        <f t="shared" ca="1" si="164"/>
        <v>1.9614242424242423</v>
      </c>
      <c r="V47" s="10">
        <f t="shared" si="165"/>
        <v>0</v>
      </c>
      <c r="W47" s="10">
        <f t="shared" si="166"/>
        <v>0</v>
      </c>
      <c r="X47" s="10">
        <f t="shared" si="167"/>
        <v>0</v>
      </c>
      <c r="Y47" s="10">
        <f t="shared" si="168"/>
        <v>0</v>
      </c>
      <c r="Z47" s="10">
        <f t="shared" si="169"/>
        <v>0</v>
      </c>
      <c r="AA47" s="10">
        <f t="shared" si="170"/>
        <v>0</v>
      </c>
      <c r="AB47" s="8">
        <f t="shared" si="171"/>
        <v>0</v>
      </c>
      <c r="AC47" s="15">
        <f t="shared" si="172"/>
        <v>0</v>
      </c>
      <c r="AD47" s="15">
        <f t="shared" si="173"/>
        <v>0</v>
      </c>
      <c r="AE47" s="15">
        <f t="shared" si="174"/>
        <v>0</v>
      </c>
      <c r="AF47" s="15">
        <f t="shared" si="175"/>
        <v>0</v>
      </c>
      <c r="AG47" s="15">
        <f t="shared" si="176"/>
        <v>0</v>
      </c>
      <c r="AH47" s="15">
        <f t="shared" si="177"/>
        <v>0</v>
      </c>
      <c r="AI47" s="15">
        <f t="shared" si="178"/>
        <v>0</v>
      </c>
      <c r="AJ47" s="15">
        <f t="shared" si="179"/>
        <v>0</v>
      </c>
      <c r="AK47" s="15">
        <f t="shared" si="180"/>
        <v>0</v>
      </c>
      <c r="AL47" s="15">
        <f t="shared" si="181"/>
        <v>0</v>
      </c>
      <c r="AM47" s="15">
        <f t="shared" si="182"/>
        <v>0</v>
      </c>
      <c r="AN47" t="str">
        <f t="shared" si="183"/>
        <v/>
      </c>
      <c r="AO47" s="10" t="str">
        <f t="shared" si="184"/>
        <v/>
      </c>
      <c r="AP47" s="10" t="str">
        <f t="shared" si="185"/>
        <v/>
      </c>
      <c r="AQ47" t="str">
        <f t="shared" si="186"/>
        <v/>
      </c>
      <c r="AR47" t="str">
        <f t="shared" si="187"/>
        <v/>
      </c>
      <c r="AS47" t="str">
        <f t="shared" si="188"/>
        <v/>
      </c>
      <c r="AT47">
        <f t="shared" si="41"/>
        <v>201</v>
      </c>
      <c r="AU47">
        <f t="shared" si="42"/>
        <v>0</v>
      </c>
      <c r="AV47">
        <f t="shared" si="189"/>
        <v>0</v>
      </c>
      <c r="AW47" t="str">
        <f t="shared" si="190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113">
      <c r="B48" t="s">
        <v>95</v>
      </c>
      <c r="C48" s="18" t="str">
        <f ca="1">CONCATENATE(ROUNDDOWN(C72/(60*60*6),0),"d:",ROUNDDOWN(MOD(C72,60*60*6)/3600,0),"h:",ROUNDDOWN(MOD(C72,3600)/60,0),"m:",ROUNDDOWN(MOD(C72,60),0),"s")</f>
        <v>55d:1h:39m:31s</v>
      </c>
      <c r="E48" s="4">
        <f t="shared" si="159"/>
        <v>1</v>
      </c>
      <c r="F48" s="19" t="s">
        <v>164</v>
      </c>
      <c r="G48" s="34">
        <v>202</v>
      </c>
      <c r="H48" s="35"/>
      <c r="I48" s="35"/>
      <c r="J48" s="36"/>
      <c r="K48" s="19">
        <v>3</v>
      </c>
      <c r="L48" s="37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1"/>
        <v>-2.5</v>
      </c>
      <c r="S48" s="10">
        <f t="shared" si="162"/>
        <v>0</v>
      </c>
      <c r="T48" s="10">
        <f t="shared" si="163"/>
        <v>0</v>
      </c>
      <c r="U48" s="10">
        <f t="shared" si="164"/>
        <v>0</v>
      </c>
      <c r="V48" s="10">
        <f t="shared" ca="1" si="165"/>
        <v>1.2205992509363295</v>
      </c>
      <c r="W48" s="10">
        <f t="shared" si="166"/>
        <v>0</v>
      </c>
      <c r="X48" s="10">
        <f t="shared" si="167"/>
        <v>0</v>
      </c>
      <c r="Y48" s="10">
        <f t="shared" si="168"/>
        <v>0</v>
      </c>
      <c r="Z48" s="10">
        <f t="shared" si="169"/>
        <v>0</v>
      </c>
      <c r="AA48" s="10">
        <f t="shared" si="170"/>
        <v>0</v>
      </c>
      <c r="AB48" s="8">
        <f t="shared" si="171"/>
        <v>0</v>
      </c>
      <c r="AC48" s="15">
        <f t="shared" si="172"/>
        <v>0</v>
      </c>
      <c r="AD48" s="15">
        <f t="shared" si="173"/>
        <v>0</v>
      </c>
      <c r="AE48" s="15">
        <f t="shared" si="174"/>
        <v>0</v>
      </c>
      <c r="AF48" s="15">
        <f t="shared" si="175"/>
        <v>0</v>
      </c>
      <c r="AG48" s="15">
        <f t="shared" si="176"/>
        <v>0</v>
      </c>
      <c r="AH48" s="15">
        <f t="shared" si="177"/>
        <v>0</v>
      </c>
      <c r="AI48" s="15">
        <f t="shared" si="178"/>
        <v>0</v>
      </c>
      <c r="AJ48" s="15">
        <f t="shared" si="179"/>
        <v>0</v>
      </c>
      <c r="AK48" s="15">
        <f t="shared" si="180"/>
        <v>0</v>
      </c>
      <c r="AL48" s="15">
        <f t="shared" si="181"/>
        <v>0</v>
      </c>
      <c r="AM48" s="15">
        <f t="shared" si="182"/>
        <v>0</v>
      </c>
      <c r="AN48" t="str">
        <f t="shared" si="183"/>
        <v/>
      </c>
      <c r="AO48" s="10" t="str">
        <f t="shared" si="184"/>
        <v/>
      </c>
      <c r="AP48" s="10" t="str">
        <f t="shared" si="185"/>
        <v/>
      </c>
      <c r="AQ48" t="str">
        <f t="shared" si="186"/>
        <v/>
      </c>
      <c r="AR48" t="str">
        <f t="shared" si="187"/>
        <v/>
      </c>
      <c r="AS48" t="str">
        <f t="shared" si="188"/>
        <v/>
      </c>
      <c r="AT48">
        <f t="shared" si="41"/>
        <v>202</v>
      </c>
      <c r="AU48">
        <f t="shared" si="42"/>
        <v>0</v>
      </c>
      <c r="AV48">
        <f t="shared" si="189"/>
        <v>0</v>
      </c>
      <c r="AW48" t="str">
        <f t="shared" si="190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str">
        <f ca="1">CONCATENATE(ROUNDDOWN(C73/(60*60*6),0),"d:",ROUNDDOWN(MOD(C73,60*60*6)/3600,0),"h:",ROUNDDOWN(MOD(C73,3600)/60,0),"m:",ROUNDDOWN(MOD(C73,60),0),"s")</f>
        <v>5d:4h:35m:29s</v>
      </c>
      <c r="E49" s="4">
        <f t="shared" si="159"/>
        <v>1</v>
      </c>
      <c r="F49" s="19" t="s">
        <v>150</v>
      </c>
      <c r="G49" s="34">
        <v>203</v>
      </c>
      <c r="H49" s="35"/>
      <c r="I49" s="35"/>
      <c r="J49" s="36"/>
      <c r="K49" s="19">
        <v>3</v>
      </c>
      <c r="L49" s="37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1"/>
        <v>-2.5</v>
      </c>
      <c r="S49" s="10">
        <f t="shared" si="162"/>
        <v>0</v>
      </c>
      <c r="T49" s="10">
        <f t="shared" si="163"/>
        <v>0</v>
      </c>
      <c r="U49" s="10">
        <f t="shared" si="164"/>
        <v>0</v>
      </c>
      <c r="V49" s="10">
        <f t="shared" si="165"/>
        <v>0</v>
      </c>
      <c r="W49" s="10">
        <f t="shared" ca="1" si="166"/>
        <v>0.95940972222222221</v>
      </c>
      <c r="X49" s="10">
        <f t="shared" si="167"/>
        <v>0</v>
      </c>
      <c r="Y49" s="10">
        <f t="shared" si="168"/>
        <v>0</v>
      </c>
      <c r="Z49" s="10">
        <f t="shared" si="169"/>
        <v>0</v>
      </c>
      <c r="AA49" s="10">
        <f t="shared" si="170"/>
        <v>0</v>
      </c>
      <c r="AB49" s="8">
        <f t="shared" si="171"/>
        <v>0</v>
      </c>
      <c r="AC49" s="15">
        <f t="shared" si="172"/>
        <v>0</v>
      </c>
      <c r="AD49" s="15">
        <f t="shared" si="173"/>
        <v>0</v>
      </c>
      <c r="AE49" s="15">
        <f t="shared" si="174"/>
        <v>0</v>
      </c>
      <c r="AF49" s="15">
        <f t="shared" si="175"/>
        <v>0</v>
      </c>
      <c r="AG49" s="15">
        <f t="shared" si="176"/>
        <v>0</v>
      </c>
      <c r="AH49" s="15">
        <f t="shared" si="177"/>
        <v>0</v>
      </c>
      <c r="AI49" s="15">
        <f t="shared" si="178"/>
        <v>0</v>
      </c>
      <c r="AJ49" s="15">
        <f t="shared" si="179"/>
        <v>0</v>
      </c>
      <c r="AK49" s="15">
        <f t="shared" si="180"/>
        <v>0</v>
      </c>
      <c r="AL49" s="15">
        <f t="shared" si="181"/>
        <v>0</v>
      </c>
      <c r="AM49" s="15">
        <f t="shared" si="182"/>
        <v>0</v>
      </c>
      <c r="AN49" t="str">
        <f t="shared" si="183"/>
        <v/>
      </c>
      <c r="AO49" s="10" t="str">
        <f t="shared" si="184"/>
        <v/>
      </c>
      <c r="AP49" s="10" t="str">
        <f t="shared" si="185"/>
        <v/>
      </c>
      <c r="AQ49" t="str">
        <f t="shared" si="186"/>
        <v/>
      </c>
      <c r="AR49" t="str">
        <f t="shared" si="187"/>
        <v/>
      </c>
      <c r="AS49" t="str">
        <f t="shared" si="188"/>
        <v/>
      </c>
      <c r="AT49">
        <f t="shared" si="41"/>
        <v>203</v>
      </c>
      <c r="AU49">
        <f t="shared" si="42"/>
        <v>0</v>
      </c>
      <c r="AV49">
        <f t="shared" si="189"/>
        <v>0</v>
      </c>
      <c r="AW49" t="str">
        <f t="shared" si="190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169</v>
      </c>
      <c r="G50" s="34">
        <v>204</v>
      </c>
      <c r="H50" s="35"/>
      <c r="I50" s="35"/>
      <c r="J50" s="36"/>
      <c r="K50" s="19">
        <v>3</v>
      </c>
      <c r="L50" s="37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1"/>
        <v>-2.5</v>
      </c>
      <c r="S50" s="10">
        <f t="shared" si="162"/>
        <v>0</v>
      </c>
      <c r="T50" s="10">
        <f t="shared" si="163"/>
        <v>0</v>
      </c>
      <c r="U50" s="10">
        <f t="shared" si="164"/>
        <v>0</v>
      </c>
      <c r="V50" s="10">
        <f t="shared" si="165"/>
        <v>0</v>
      </c>
      <c r="W50" s="10">
        <f t="shared" si="166"/>
        <v>0</v>
      </c>
      <c r="X50" s="10">
        <f t="shared" si="167"/>
        <v>0</v>
      </c>
      <c r="Y50" s="10">
        <f t="shared" si="168"/>
        <v>0</v>
      </c>
      <c r="Z50" s="10">
        <f t="shared" si="169"/>
        <v>0</v>
      </c>
      <c r="AA50" s="10">
        <f t="shared" si="170"/>
        <v>0</v>
      </c>
      <c r="AB50" s="8">
        <f t="shared" si="171"/>
        <v>0</v>
      </c>
      <c r="AC50" s="15">
        <f t="shared" si="172"/>
        <v>0</v>
      </c>
      <c r="AD50" s="15">
        <f t="shared" si="173"/>
        <v>0</v>
      </c>
      <c r="AE50" s="15">
        <f t="shared" si="174"/>
        <v>0</v>
      </c>
      <c r="AF50" s="15">
        <f t="shared" si="175"/>
        <v>0</v>
      </c>
      <c r="AG50" s="15">
        <f t="shared" si="176"/>
        <v>0</v>
      </c>
      <c r="AH50" s="15">
        <f t="shared" si="177"/>
        <v>0</v>
      </c>
      <c r="AI50" s="15">
        <f t="shared" si="178"/>
        <v>0</v>
      </c>
      <c r="AJ50" s="15">
        <f t="shared" ca="1" si="179"/>
        <v>0</v>
      </c>
      <c r="AK50" s="15">
        <f t="shared" si="180"/>
        <v>0</v>
      </c>
      <c r="AL50" s="15">
        <f t="shared" si="181"/>
        <v>0</v>
      </c>
      <c r="AM50" s="15">
        <f t="shared" si="182"/>
        <v>0</v>
      </c>
      <c r="AN50" t="str">
        <f t="shared" si="183"/>
        <v/>
      </c>
      <c r="AO50" s="10" t="str">
        <f t="shared" si="184"/>
        <v/>
      </c>
      <c r="AP50" s="10" t="str">
        <f t="shared" si="185"/>
        <v/>
      </c>
      <c r="AQ50" t="str">
        <f t="shared" si="186"/>
        <v/>
      </c>
      <c r="AR50" t="str">
        <f t="shared" si="187"/>
        <v/>
      </c>
      <c r="AS50" t="str">
        <f t="shared" si="188"/>
        <v/>
      </c>
      <c r="AT50">
        <f t="shared" si="41"/>
        <v>204</v>
      </c>
      <c r="AU50">
        <f t="shared" si="42"/>
        <v>0</v>
      </c>
      <c r="AV50">
        <f t="shared" si="189"/>
        <v>0</v>
      </c>
      <c r="AW50" t="str">
        <f t="shared" si="190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E51" s="4" t="str">
        <f t="shared" si="159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8"/>
        <v/>
      </c>
      <c r="O51" t="str">
        <f t="shared" si="39"/>
        <v/>
      </c>
      <c r="P51" t="str">
        <f t="shared" si="92"/>
        <v/>
      </c>
      <c r="Q51" t="str">
        <f t="shared" si="40"/>
        <v/>
      </c>
      <c r="R51" s="10" t="str">
        <f t="shared" si="161"/>
        <v/>
      </c>
      <c r="S51" s="10" t="str">
        <f t="shared" si="162"/>
        <v/>
      </c>
      <c r="T51" s="10" t="str">
        <f t="shared" si="163"/>
        <v/>
      </c>
      <c r="U51" s="10" t="str">
        <f t="shared" si="164"/>
        <v/>
      </c>
      <c r="V51" s="10" t="str">
        <f t="shared" si="165"/>
        <v/>
      </c>
      <c r="W51" s="10" t="str">
        <f t="shared" si="166"/>
        <v/>
      </c>
      <c r="X51" s="10" t="str">
        <f t="shared" si="167"/>
        <v/>
      </c>
      <c r="Y51" s="10" t="str">
        <f t="shared" si="168"/>
        <v/>
      </c>
      <c r="Z51" s="10" t="str">
        <f t="shared" si="169"/>
        <v/>
      </c>
      <c r="AA51" s="10" t="str">
        <f t="shared" si="170"/>
        <v/>
      </c>
      <c r="AB51" s="8" t="str">
        <f t="shared" si="171"/>
        <v/>
      </c>
      <c r="AC51" s="15" t="str">
        <f t="shared" si="172"/>
        <v/>
      </c>
      <c r="AD51" s="15" t="str">
        <f t="shared" si="173"/>
        <v/>
      </c>
      <c r="AE51" s="15" t="str">
        <f t="shared" si="174"/>
        <v/>
      </c>
      <c r="AF51" s="15" t="str">
        <f t="shared" si="175"/>
        <v/>
      </c>
      <c r="AG51" s="15" t="str">
        <f t="shared" si="176"/>
        <v/>
      </c>
      <c r="AH51" s="15" t="str">
        <f t="shared" si="177"/>
        <v/>
      </c>
      <c r="AI51" s="15" t="str">
        <f t="shared" si="178"/>
        <v/>
      </c>
      <c r="AJ51" s="15" t="str">
        <f t="shared" si="179"/>
        <v/>
      </c>
      <c r="AK51" s="15" t="str">
        <f t="shared" si="180"/>
        <v/>
      </c>
      <c r="AL51" s="15" t="str">
        <f t="shared" si="181"/>
        <v/>
      </c>
      <c r="AM51" s="15" t="str">
        <f t="shared" si="182"/>
        <v/>
      </c>
      <c r="AN51" t="str">
        <f t="shared" si="183"/>
        <v/>
      </c>
      <c r="AO51" s="10" t="str">
        <f t="shared" si="184"/>
        <v/>
      </c>
      <c r="AP51" s="10" t="str">
        <f t="shared" si="185"/>
        <v/>
      </c>
      <c r="AQ51" t="str">
        <f t="shared" si="186"/>
        <v/>
      </c>
      <c r="AR51" t="str">
        <f t="shared" si="187"/>
        <v/>
      </c>
      <c r="AS51" t="str">
        <f t="shared" si="188"/>
        <v/>
      </c>
      <c r="AT51" t="str">
        <f t="shared" si="41"/>
        <v/>
      </c>
      <c r="AU51" t="str">
        <f t="shared" si="42"/>
        <v/>
      </c>
      <c r="AV51" t="str">
        <f t="shared" si="189"/>
        <v/>
      </c>
      <c r="AW51" t="str">
        <f t="shared" si="190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159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8"/>
        <v/>
      </c>
      <c r="O52" t="str">
        <f t="shared" si="39"/>
        <v/>
      </c>
      <c r="P52" t="str">
        <f t="shared" si="92"/>
        <v/>
      </c>
      <c r="Q52" t="str">
        <f t="shared" si="40"/>
        <v/>
      </c>
      <c r="R52" s="10" t="str">
        <f t="shared" si="161"/>
        <v/>
      </c>
      <c r="S52" s="10" t="str">
        <f t="shared" si="162"/>
        <v/>
      </c>
      <c r="T52" s="10" t="str">
        <f t="shared" si="163"/>
        <v/>
      </c>
      <c r="U52" s="10" t="str">
        <f t="shared" si="164"/>
        <v/>
      </c>
      <c r="V52" s="10" t="str">
        <f t="shared" si="165"/>
        <v/>
      </c>
      <c r="W52" s="10" t="str">
        <f t="shared" si="166"/>
        <v/>
      </c>
      <c r="X52" s="10" t="str">
        <f t="shared" si="167"/>
        <v/>
      </c>
      <c r="Y52" s="10" t="str">
        <f t="shared" si="168"/>
        <v/>
      </c>
      <c r="Z52" s="10" t="str">
        <f t="shared" si="169"/>
        <v/>
      </c>
      <c r="AA52" s="10" t="str">
        <f t="shared" si="170"/>
        <v/>
      </c>
      <c r="AB52" s="8" t="str">
        <f t="shared" si="171"/>
        <v/>
      </c>
      <c r="AC52" s="15" t="str">
        <f t="shared" si="172"/>
        <v/>
      </c>
      <c r="AD52" s="15" t="str">
        <f t="shared" si="173"/>
        <v/>
      </c>
      <c r="AE52" s="15" t="str">
        <f t="shared" si="174"/>
        <v/>
      </c>
      <c r="AF52" s="15" t="str">
        <f t="shared" si="175"/>
        <v/>
      </c>
      <c r="AG52" s="15" t="str">
        <f t="shared" si="176"/>
        <v/>
      </c>
      <c r="AH52" s="15" t="str">
        <f t="shared" si="177"/>
        <v/>
      </c>
      <c r="AI52" s="15" t="str">
        <f t="shared" si="178"/>
        <v/>
      </c>
      <c r="AJ52" s="15" t="str">
        <f t="shared" si="179"/>
        <v/>
      </c>
      <c r="AK52" s="15" t="str">
        <f t="shared" si="180"/>
        <v/>
      </c>
      <c r="AL52" s="15" t="str">
        <f t="shared" si="181"/>
        <v/>
      </c>
      <c r="AM52" s="15" t="str">
        <f t="shared" si="182"/>
        <v/>
      </c>
      <c r="AN52" t="str">
        <f t="shared" si="183"/>
        <v/>
      </c>
      <c r="AO52" s="10" t="str">
        <f t="shared" si="184"/>
        <v/>
      </c>
      <c r="AP52" s="10" t="str">
        <f t="shared" si="185"/>
        <v/>
      </c>
      <c r="AQ52" t="str">
        <f t="shared" si="186"/>
        <v/>
      </c>
      <c r="AR52" t="str">
        <f t="shared" si="187"/>
        <v/>
      </c>
      <c r="AS52" t="str">
        <f t="shared" si="188"/>
        <v/>
      </c>
      <c r="AT52" t="str">
        <f t="shared" si="41"/>
        <v/>
      </c>
      <c r="AU52" t="str">
        <f t="shared" si="42"/>
        <v/>
      </c>
      <c r="AV52" t="str">
        <f t="shared" si="189"/>
        <v/>
      </c>
      <c r="AW52" t="str">
        <f t="shared" si="190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159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1"/>
        <v/>
      </c>
      <c r="S53" s="10" t="str">
        <f t="shared" si="162"/>
        <v/>
      </c>
      <c r="T53" s="10" t="str">
        <f t="shared" si="163"/>
        <v/>
      </c>
      <c r="U53" s="10" t="str">
        <f t="shared" si="164"/>
        <v/>
      </c>
      <c r="V53" s="10" t="str">
        <f t="shared" si="165"/>
        <v/>
      </c>
      <c r="W53" s="10" t="str">
        <f t="shared" si="166"/>
        <v/>
      </c>
      <c r="X53" s="10" t="str">
        <f t="shared" si="167"/>
        <v/>
      </c>
      <c r="Y53" s="10" t="str">
        <f t="shared" si="168"/>
        <v/>
      </c>
      <c r="Z53" s="10" t="str">
        <f t="shared" si="169"/>
        <v/>
      </c>
      <c r="AA53" s="10" t="str">
        <f t="shared" si="170"/>
        <v/>
      </c>
      <c r="AB53" s="8" t="str">
        <f t="shared" si="171"/>
        <v/>
      </c>
      <c r="AC53" s="15" t="str">
        <f t="shared" si="172"/>
        <v/>
      </c>
      <c r="AD53" s="15" t="str">
        <f t="shared" si="173"/>
        <v/>
      </c>
      <c r="AE53" s="15" t="str">
        <f t="shared" si="174"/>
        <v/>
      </c>
      <c r="AF53" s="15" t="str">
        <f t="shared" si="175"/>
        <v/>
      </c>
      <c r="AG53" s="15" t="str">
        <f t="shared" si="176"/>
        <v/>
      </c>
      <c r="AH53" s="15" t="str">
        <f t="shared" si="177"/>
        <v/>
      </c>
      <c r="AI53" s="15" t="str">
        <f t="shared" si="178"/>
        <v/>
      </c>
      <c r="AJ53" s="15" t="str">
        <f t="shared" si="179"/>
        <v/>
      </c>
      <c r="AK53" s="15" t="str">
        <f t="shared" si="180"/>
        <v/>
      </c>
      <c r="AL53" s="15" t="str">
        <f t="shared" si="181"/>
        <v/>
      </c>
      <c r="AM53" s="15" t="str">
        <f t="shared" si="182"/>
        <v/>
      </c>
      <c r="AN53" t="str">
        <f t="shared" si="183"/>
        <v/>
      </c>
      <c r="AO53" s="10" t="str">
        <f t="shared" si="184"/>
        <v/>
      </c>
      <c r="AP53" s="10" t="str">
        <f t="shared" si="185"/>
        <v/>
      </c>
      <c r="AQ53" t="str">
        <f t="shared" si="186"/>
        <v/>
      </c>
      <c r="AR53" t="str">
        <f t="shared" si="187"/>
        <v/>
      </c>
      <c r="AS53" t="str">
        <f t="shared" si="188"/>
        <v/>
      </c>
      <c r="AT53" t="str">
        <f t="shared" si="41"/>
        <v/>
      </c>
      <c r="AU53" t="str">
        <f t="shared" si="42"/>
        <v/>
      </c>
      <c r="AV53" t="str">
        <f t="shared" si="189"/>
        <v/>
      </c>
      <c r="AW53" t="str">
        <f t="shared" si="190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1" t="s">
        <v>23</v>
      </c>
      <c r="C54" s="41"/>
      <c r="E54" s="4" t="str">
        <f t="shared" si="159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1"/>
        <v/>
      </c>
      <c r="S54" s="10" t="str">
        <f t="shared" si="162"/>
        <v/>
      </c>
      <c r="T54" s="10" t="str">
        <f t="shared" si="163"/>
        <v/>
      </c>
      <c r="U54" s="10" t="str">
        <f t="shared" si="164"/>
        <v/>
      </c>
      <c r="V54" s="10" t="str">
        <f t="shared" si="165"/>
        <v/>
      </c>
      <c r="W54" s="10" t="str">
        <f t="shared" si="166"/>
        <v/>
      </c>
      <c r="X54" s="10" t="str">
        <f t="shared" si="167"/>
        <v/>
      </c>
      <c r="Y54" s="10" t="str">
        <f t="shared" si="168"/>
        <v/>
      </c>
      <c r="Z54" s="10" t="str">
        <f t="shared" si="169"/>
        <v/>
      </c>
      <c r="AA54" s="10" t="str">
        <f t="shared" si="170"/>
        <v/>
      </c>
      <c r="AB54" s="8" t="str">
        <f t="shared" si="171"/>
        <v/>
      </c>
      <c r="AC54" s="15" t="str">
        <f t="shared" si="172"/>
        <v/>
      </c>
      <c r="AD54" s="15" t="str">
        <f t="shared" si="173"/>
        <v/>
      </c>
      <c r="AE54" s="15" t="str">
        <f t="shared" si="174"/>
        <v/>
      </c>
      <c r="AF54" s="15" t="str">
        <f t="shared" si="175"/>
        <v/>
      </c>
      <c r="AG54" s="15" t="str">
        <f t="shared" si="176"/>
        <v/>
      </c>
      <c r="AH54" s="15" t="str">
        <f t="shared" si="177"/>
        <v/>
      </c>
      <c r="AI54" s="15" t="str">
        <f t="shared" si="178"/>
        <v/>
      </c>
      <c r="AJ54" s="15" t="str">
        <f t="shared" si="179"/>
        <v/>
      </c>
      <c r="AK54" s="15" t="str">
        <f t="shared" si="180"/>
        <v/>
      </c>
      <c r="AL54" s="15" t="str">
        <f t="shared" si="181"/>
        <v/>
      </c>
      <c r="AM54" s="15" t="str">
        <f t="shared" si="182"/>
        <v/>
      </c>
      <c r="AN54" t="str">
        <f t="shared" si="183"/>
        <v/>
      </c>
      <c r="AO54" s="10" t="str">
        <f t="shared" si="184"/>
        <v/>
      </c>
      <c r="AP54" s="10" t="str">
        <f t="shared" si="185"/>
        <v/>
      </c>
      <c r="AQ54" t="str">
        <f t="shared" si="186"/>
        <v/>
      </c>
      <c r="AR54" t="str">
        <f t="shared" si="187"/>
        <v/>
      </c>
      <c r="AS54" t="str">
        <f t="shared" si="188"/>
        <v/>
      </c>
      <c r="AT54" t="str">
        <f t="shared" si="41"/>
        <v/>
      </c>
      <c r="AU54" t="str">
        <f t="shared" si="42"/>
        <v/>
      </c>
      <c r="AV54" t="str">
        <f t="shared" si="189"/>
        <v/>
      </c>
      <c r="AW54" t="str">
        <f t="shared" si="190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159"/>
        <v/>
      </c>
      <c r="F55" s="19" t="s">
        <v>180</v>
      </c>
      <c r="G55" s="34"/>
      <c r="H55" s="35"/>
      <c r="I55" s="35"/>
      <c r="J55" s="36"/>
      <c r="K55" s="19"/>
      <c r="L55" s="37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1"/>
        <v/>
      </c>
      <c r="S55" s="10" t="str">
        <f t="shared" si="162"/>
        <v/>
      </c>
      <c r="T55" s="10" t="str">
        <f t="shared" si="163"/>
        <v/>
      </c>
      <c r="U55" s="10" t="str">
        <f t="shared" si="164"/>
        <v/>
      </c>
      <c r="V55" s="10" t="str">
        <f t="shared" si="165"/>
        <v/>
      </c>
      <c r="W55" s="10" t="str">
        <f t="shared" si="166"/>
        <v/>
      </c>
      <c r="X55" s="10" t="str">
        <f t="shared" si="167"/>
        <v/>
      </c>
      <c r="Y55" s="10" t="str">
        <f t="shared" si="168"/>
        <v/>
      </c>
      <c r="Z55" s="10" t="str">
        <f t="shared" si="169"/>
        <v/>
      </c>
      <c r="AA55" s="10" t="str">
        <f t="shared" si="170"/>
        <v/>
      </c>
      <c r="AB55" s="8" t="str">
        <f t="shared" si="171"/>
        <v/>
      </c>
      <c r="AC55" s="15" t="str">
        <f t="shared" si="172"/>
        <v/>
      </c>
      <c r="AD55" s="15" t="str">
        <f t="shared" si="173"/>
        <v/>
      </c>
      <c r="AE55" s="15" t="str">
        <f t="shared" si="174"/>
        <v/>
      </c>
      <c r="AF55" s="15" t="str">
        <f t="shared" si="175"/>
        <v/>
      </c>
      <c r="AG55" s="15" t="str">
        <f t="shared" si="176"/>
        <v/>
      </c>
      <c r="AH55" s="15" t="str">
        <f t="shared" si="177"/>
        <v/>
      </c>
      <c r="AI55" s="15" t="str">
        <f t="shared" si="178"/>
        <v/>
      </c>
      <c r="AJ55" s="15" t="str">
        <f t="shared" si="179"/>
        <v/>
      </c>
      <c r="AK55" s="15" t="str">
        <f t="shared" si="180"/>
        <v/>
      </c>
      <c r="AL55" s="15" t="str">
        <f t="shared" si="181"/>
        <v/>
      </c>
      <c r="AM55" s="15" t="str">
        <f t="shared" si="182"/>
        <v/>
      </c>
      <c r="AN55" t="str">
        <f t="shared" si="183"/>
        <v/>
      </c>
      <c r="AO55" s="10" t="str">
        <f t="shared" si="184"/>
        <v/>
      </c>
      <c r="AP55" s="10" t="str">
        <f t="shared" si="185"/>
        <v/>
      </c>
      <c r="AQ55" t="str">
        <f t="shared" si="186"/>
        <v/>
      </c>
      <c r="AR55" t="str">
        <f t="shared" si="187"/>
        <v/>
      </c>
      <c r="AS55" t="str">
        <f t="shared" si="188"/>
        <v/>
      </c>
      <c r="AT55" t="str">
        <f t="shared" si="41"/>
        <v/>
      </c>
      <c r="AU55" t="str">
        <f t="shared" si="42"/>
        <v/>
      </c>
      <c r="AV55" t="str">
        <f t="shared" si="189"/>
        <v/>
      </c>
      <c r="AW55" t="str">
        <f t="shared" si="190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>
        <f t="shared" ca="1" si="159"/>
        <v>1.6200000000000003</v>
      </c>
      <c r="F56" s="19" t="s">
        <v>31</v>
      </c>
      <c r="G56" s="34">
        <v>0</v>
      </c>
      <c r="H56" s="35">
        <v>0.2</v>
      </c>
      <c r="I56" s="35"/>
      <c r="J56" s="36">
        <v>1</v>
      </c>
      <c r="K56" s="19">
        <v>4</v>
      </c>
      <c r="L56" s="37"/>
      <c r="M56" s="19"/>
      <c r="N56">
        <f t="shared" si="38"/>
        <v>1.8</v>
      </c>
      <c r="O56">
        <f t="shared" si="39"/>
        <v>1</v>
      </c>
      <c r="P56">
        <f t="shared" si="92"/>
        <v>1</v>
      </c>
      <c r="Q56">
        <f t="shared" si="40"/>
        <v>1</v>
      </c>
      <c r="R56" s="10">
        <f t="shared" ca="1" si="161"/>
        <v>-2.0666666666666669</v>
      </c>
      <c r="S56" s="10">
        <f t="shared" ca="1" si="162"/>
        <v>3.4425000000000011E-2</v>
      </c>
      <c r="T56" s="10">
        <f t="shared" ca="1" si="163"/>
        <v>0</v>
      </c>
      <c r="U56" s="10">
        <f t="shared" ca="1" si="164"/>
        <v>0</v>
      </c>
      <c r="V56" s="10">
        <f t="shared" ca="1" si="165"/>
        <v>0</v>
      </c>
      <c r="W56" s="10">
        <f t="shared" ca="1" si="166"/>
        <v>0</v>
      </c>
      <c r="X56" s="10">
        <f t="shared" ca="1" si="167"/>
        <v>0</v>
      </c>
      <c r="Y56" s="10">
        <f t="shared" ca="1" si="168"/>
        <v>0</v>
      </c>
      <c r="Z56" s="10">
        <f t="shared" ca="1" si="169"/>
        <v>0</v>
      </c>
      <c r="AA56" s="10">
        <f t="shared" ca="1" si="170"/>
        <v>0</v>
      </c>
      <c r="AB56" s="8">
        <f t="shared" ca="1" si="171"/>
        <v>0</v>
      </c>
      <c r="AC56" s="15">
        <f t="shared" ca="1" si="172"/>
        <v>0</v>
      </c>
      <c r="AD56" s="15">
        <f t="shared" ca="1" si="173"/>
        <v>0</v>
      </c>
      <c r="AE56" s="15">
        <f t="shared" ca="1" si="174"/>
        <v>-6.8850000000000016E-7</v>
      </c>
      <c r="AF56" s="15">
        <f t="shared" ca="1" si="175"/>
        <v>6.8850000000000016E-7</v>
      </c>
      <c r="AG56" s="15">
        <f t="shared" ca="1" si="176"/>
        <v>0</v>
      </c>
      <c r="AH56" s="15">
        <f t="shared" ca="1" si="177"/>
        <v>-1.6927083333000001E-5</v>
      </c>
      <c r="AI56" s="15">
        <f t="shared" ca="1" si="178"/>
        <v>-1.7135375623849999E-3</v>
      </c>
      <c r="AJ56" s="15">
        <f t="shared" ca="1" si="179"/>
        <v>-1.1188078703999999E-5</v>
      </c>
      <c r="AK56" s="15">
        <f t="shared" ca="1" si="180"/>
        <v>1.4801288987600001E-3</v>
      </c>
      <c r="AL56" s="15">
        <f t="shared" ca="1" si="181"/>
        <v>1.5393518520000001E-6</v>
      </c>
      <c r="AM56" s="15">
        <f t="shared" ca="1" si="182"/>
        <v>1.4247685185E-5</v>
      </c>
      <c r="AN56">
        <f t="shared" ca="1" si="183"/>
        <v>0</v>
      </c>
      <c r="AO56" s="10">
        <f t="shared" ca="1" si="184"/>
        <v>1.8</v>
      </c>
      <c r="AP56" s="10">
        <f t="shared" ca="1" si="185"/>
        <v>2.7</v>
      </c>
      <c r="AQ56">
        <f t="shared" ca="1" si="186"/>
        <v>8.1000000000000014</v>
      </c>
      <c r="AR56">
        <f t="shared" ca="1" si="187"/>
        <v>1.6200000000000003</v>
      </c>
      <c r="AS56">
        <f t="shared" ca="1" si="188"/>
        <v>1.6200000000000003</v>
      </c>
      <c r="AT56">
        <f t="shared" si="41"/>
        <v>0</v>
      </c>
      <c r="AU56">
        <f t="shared" si="42"/>
        <v>1</v>
      </c>
      <c r="AV56">
        <f t="shared" si="189"/>
        <v>0</v>
      </c>
      <c r="AW56" t="str">
        <f t="shared" si="190"/>
        <v/>
      </c>
      <c r="AX56" t="str">
        <f t="shared" si="43"/>
        <v/>
      </c>
      <c r="AY56">
        <f t="shared" ca="1" si="54"/>
        <v>1.6200000000000003</v>
      </c>
    </row>
    <row r="57" spans="1:63">
      <c r="B57" t="s">
        <v>145</v>
      </c>
      <c r="C57" s="5">
        <v>0</v>
      </c>
      <c r="E57" s="4" t="str">
        <f t="shared" si="159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1"/>
        <v/>
      </c>
      <c r="S57" s="10" t="str">
        <f t="shared" si="162"/>
        <v/>
      </c>
      <c r="T57" s="10" t="str">
        <f t="shared" si="163"/>
        <v/>
      </c>
      <c r="U57" s="10" t="str">
        <f t="shared" si="164"/>
        <v/>
      </c>
      <c r="V57" s="10" t="str">
        <f t="shared" si="165"/>
        <v/>
      </c>
      <c r="W57" s="10" t="str">
        <f t="shared" si="166"/>
        <v/>
      </c>
      <c r="X57" s="10" t="str">
        <f t="shared" si="167"/>
        <v/>
      </c>
      <c r="Y57" s="10" t="str">
        <f t="shared" si="168"/>
        <v/>
      </c>
      <c r="Z57" s="10" t="str">
        <f t="shared" si="169"/>
        <v/>
      </c>
      <c r="AA57" s="10" t="str">
        <f t="shared" si="170"/>
        <v/>
      </c>
      <c r="AB57" s="8" t="str">
        <f t="shared" si="171"/>
        <v/>
      </c>
      <c r="AC57" s="15" t="str">
        <f t="shared" si="172"/>
        <v/>
      </c>
      <c r="AD57" s="15" t="str">
        <f t="shared" si="173"/>
        <v/>
      </c>
      <c r="AE57" s="15" t="str">
        <f t="shared" si="174"/>
        <v/>
      </c>
      <c r="AF57" s="15" t="str">
        <f t="shared" si="175"/>
        <v/>
      </c>
      <c r="AG57" s="15" t="str">
        <f t="shared" si="176"/>
        <v/>
      </c>
      <c r="AH57" s="15" t="str">
        <f t="shared" si="177"/>
        <v/>
      </c>
      <c r="AI57" s="15" t="str">
        <f t="shared" si="178"/>
        <v/>
      </c>
      <c r="AJ57" s="15" t="str">
        <f t="shared" si="179"/>
        <v/>
      </c>
      <c r="AK57" s="15" t="str">
        <f t="shared" si="180"/>
        <v/>
      </c>
      <c r="AL57" s="15" t="str">
        <f t="shared" si="181"/>
        <v/>
      </c>
      <c r="AM57" s="15" t="str">
        <f t="shared" si="182"/>
        <v/>
      </c>
      <c r="AN57" t="str">
        <f t="shared" si="183"/>
        <v/>
      </c>
      <c r="AO57" s="10" t="str">
        <f t="shared" si="184"/>
        <v/>
      </c>
      <c r="AP57" s="10" t="str">
        <f t="shared" si="185"/>
        <v/>
      </c>
      <c r="AQ57" t="str">
        <f t="shared" si="186"/>
        <v/>
      </c>
      <c r="AR57" t="str">
        <f t="shared" si="187"/>
        <v/>
      </c>
      <c r="AS57" t="str">
        <f t="shared" si="188"/>
        <v/>
      </c>
      <c r="AT57" t="str">
        <f t="shared" si="41"/>
        <v/>
      </c>
      <c r="AU57" t="str">
        <f t="shared" si="42"/>
        <v/>
      </c>
      <c r="AV57" t="str">
        <f t="shared" si="189"/>
        <v/>
      </c>
      <c r="AW57" t="str">
        <f t="shared" si="190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198</v>
      </c>
      <c r="C58" s="27">
        <f ca="1">-(SUMIF(G:G,"&lt;&gt;7,1",AM:AM)+SUMIFS(O:O,M:M,"",G:G,7.1)*LOOKUP(100,BO:BO,CM:CM))/LOOKUP(7.1,BO:BO,CM:CM)</f>
        <v>-5.4483223287412584E-3</v>
      </c>
      <c r="D58" s="1"/>
      <c r="E58" s="4">
        <f t="shared" ca="1" si="159"/>
        <v>4.5936507936507942E-2</v>
      </c>
      <c r="F58" s="19" t="s">
        <v>187</v>
      </c>
      <c r="G58" s="34">
        <v>7.4</v>
      </c>
      <c r="H58" s="35"/>
      <c r="I58" s="35"/>
      <c r="J58" s="36">
        <v>1</v>
      </c>
      <c r="K58" s="19">
        <v>4</v>
      </c>
      <c r="L58" s="39">
        <v>4.5936507936507942E-2</v>
      </c>
      <c r="M58" s="19"/>
      <c r="N58" t="str">
        <f t="shared" si="38"/>
        <v/>
      </c>
      <c r="O58" t="str">
        <f t="shared" si="39"/>
        <v/>
      </c>
      <c r="P58">
        <f t="shared" si="92"/>
        <v>1</v>
      </c>
      <c r="Q58">
        <f t="shared" si="40"/>
        <v>1</v>
      </c>
      <c r="R58" s="10">
        <f t="shared" ca="1" si="161"/>
        <v>-0.28710317460317464</v>
      </c>
      <c r="S58" s="10">
        <f t="shared" ca="1" si="162"/>
        <v>-3.9046031746031746E-5</v>
      </c>
      <c r="T58" s="10">
        <f t="shared" ca="1" si="163"/>
        <v>0</v>
      </c>
      <c r="U58" s="10">
        <f t="shared" ca="1" si="164"/>
        <v>0</v>
      </c>
      <c r="V58" s="10">
        <f t="shared" ca="1" si="165"/>
        <v>0</v>
      </c>
      <c r="W58" s="10">
        <f t="shared" ca="1" si="166"/>
        <v>0</v>
      </c>
      <c r="X58" s="10">
        <f t="shared" ca="1" si="167"/>
        <v>0</v>
      </c>
      <c r="Y58" s="10">
        <f t="shared" ca="1" si="168"/>
        <v>0</v>
      </c>
      <c r="Z58" s="10">
        <f t="shared" ca="1" si="169"/>
        <v>0</v>
      </c>
      <c r="AA58" s="10">
        <f t="shared" ca="1" si="170"/>
        <v>0</v>
      </c>
      <c r="AB58" s="8">
        <f t="shared" ca="1" si="171"/>
        <v>0</v>
      </c>
      <c r="AC58" s="15">
        <f t="shared" ca="1" si="172"/>
        <v>-9.7615079365079376E-9</v>
      </c>
      <c r="AD58" s="15">
        <f t="shared" ca="1" si="173"/>
        <v>-9.7615079365079376E-9</v>
      </c>
      <c r="AE58" s="15">
        <f t="shared" ca="1" si="174"/>
        <v>0</v>
      </c>
      <c r="AF58" s="15">
        <f t="shared" ca="1" si="175"/>
        <v>1.9523015873015875E-8</v>
      </c>
      <c r="AG58" s="15">
        <f t="shared" ca="1" si="176"/>
        <v>0</v>
      </c>
      <c r="AH58" s="15">
        <f t="shared" ca="1" si="177"/>
        <v>0</v>
      </c>
      <c r="AI58" s="15">
        <f t="shared" ca="1" si="178"/>
        <v>0</v>
      </c>
      <c r="AJ58" s="15">
        <f t="shared" ca="1" si="179"/>
        <v>2.1506117049858572E-3</v>
      </c>
      <c r="AK58" s="15">
        <f t="shared" ca="1" si="180"/>
        <v>0</v>
      </c>
      <c r="AL58" s="15">
        <f t="shared" ca="1" si="181"/>
        <v>0</v>
      </c>
      <c r="AM58" s="15">
        <f t="shared" ca="1" si="182"/>
        <v>-2.3644509370480001E-3</v>
      </c>
      <c r="AN58">
        <f t="shared" ca="1" si="183"/>
        <v>1</v>
      </c>
      <c r="AO58" s="10">
        <f t="shared" ca="1" si="184"/>
        <v>0.5</v>
      </c>
      <c r="AP58" s="10">
        <f t="shared" ca="1" si="185"/>
        <v>0.75</v>
      </c>
      <c r="AQ58">
        <f t="shared" ca="1" si="186"/>
        <v>2.25</v>
      </c>
      <c r="AR58">
        <f t="shared" ca="1" si="187"/>
        <v>0.45</v>
      </c>
      <c r="AS58">
        <f t="shared" ca="1" si="188"/>
        <v>0.5</v>
      </c>
      <c r="AT58">
        <f t="shared" si="41"/>
        <v>7</v>
      </c>
      <c r="AU58">
        <f t="shared" si="42"/>
        <v>1</v>
      </c>
      <c r="AV58" t="str">
        <f t="shared" si="189"/>
        <v>OKS Agricultural Module</v>
      </c>
      <c r="AW58">
        <f t="shared" ca="1" si="190"/>
        <v>4</v>
      </c>
      <c r="AX58">
        <f t="shared" ca="1" si="43"/>
        <v>3</v>
      </c>
      <c r="AY58">
        <f t="shared" ca="1" si="54"/>
        <v>3.5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199</v>
      </c>
      <c r="C59" s="27">
        <f ca="1">-(SUMIF(G:G,"&lt;&gt;7,4",AM:AM)+SUMIFS(O:O,M:M,"",G:G,7.4)*LOOKUP(100,BO:BO,CM:CM))/LOOKUP(7.4,BO:BO,CM:CM)</f>
        <v>4.3757179005011436E-2</v>
      </c>
      <c r="E59" s="4">
        <f t="shared" ca="1" si="159"/>
        <v>3.5</v>
      </c>
      <c r="F59" s="19" t="s">
        <v>188</v>
      </c>
      <c r="G59" s="34">
        <v>7.5</v>
      </c>
      <c r="H59" s="35" t="str">
        <f>IF(H58="","",H58)</f>
        <v/>
      </c>
      <c r="I59" s="35" t="str">
        <f>IF(I58="","",I58)</f>
        <v/>
      </c>
      <c r="J59" s="36">
        <v>1</v>
      </c>
      <c r="K59" s="19">
        <v>4</v>
      </c>
      <c r="L59" s="37"/>
      <c r="M59" s="19">
        <v>1</v>
      </c>
      <c r="N59" t="str">
        <f t="shared" si="38"/>
        <v/>
      </c>
      <c r="O59" t="str">
        <f t="shared" si="39"/>
        <v/>
      </c>
      <c r="P59">
        <f t="shared" si="92"/>
        <v>1</v>
      </c>
      <c r="Q59">
        <f t="shared" si="40"/>
        <v>0</v>
      </c>
      <c r="R59" s="10">
        <f t="shared" ca="1" si="161"/>
        <v>-43.75</v>
      </c>
      <c r="S59" s="10">
        <f t="shared" ca="1" si="162"/>
        <v>-2.9749999999999998E-3</v>
      </c>
      <c r="T59" s="10">
        <f t="shared" ca="1" si="163"/>
        <v>0</v>
      </c>
      <c r="U59" s="10">
        <f t="shared" ca="1" si="164"/>
        <v>0</v>
      </c>
      <c r="V59" s="10">
        <f t="shared" ca="1" si="165"/>
        <v>0</v>
      </c>
      <c r="W59" s="10">
        <f t="shared" ca="1" si="166"/>
        <v>0</v>
      </c>
      <c r="X59" s="10">
        <f t="shared" ca="1" si="167"/>
        <v>0</v>
      </c>
      <c r="Y59" s="10">
        <f t="shared" ca="1" si="168"/>
        <v>0</v>
      </c>
      <c r="Z59" s="10">
        <f t="shared" ca="1" si="169"/>
        <v>0</v>
      </c>
      <c r="AA59" s="10">
        <f t="shared" ca="1" si="170"/>
        <v>0</v>
      </c>
      <c r="AB59" s="8">
        <f t="shared" ca="1" si="171"/>
        <v>1.8930757168750001E-4</v>
      </c>
      <c r="AC59" s="15">
        <f t="shared" ca="1" si="172"/>
        <v>-7.4374999999999997E-7</v>
      </c>
      <c r="AD59" s="15">
        <f t="shared" ca="1" si="173"/>
        <v>-7.4374999999999997E-7</v>
      </c>
      <c r="AE59" s="15">
        <f t="shared" ca="1" si="174"/>
        <v>0</v>
      </c>
      <c r="AF59" s="15">
        <f t="shared" ca="1" si="175"/>
        <v>1.4874999999999999E-6</v>
      </c>
      <c r="AG59" s="15">
        <f t="shared" ca="1" si="176"/>
        <v>-1.3654972383500002E-4</v>
      </c>
      <c r="AH59" s="15">
        <f t="shared" ca="1" si="177"/>
        <v>0</v>
      </c>
      <c r="AI59" s="15">
        <f t="shared" ca="1" si="178"/>
        <v>6.1627857310704998E-2</v>
      </c>
      <c r="AJ59" s="15">
        <f t="shared" ca="1" si="179"/>
        <v>-3.6413259690499996E-4</v>
      </c>
      <c r="AK59" s="15">
        <f t="shared" ca="1" si="180"/>
        <v>-5.30224297723225E-2</v>
      </c>
      <c r="AL59" s="15">
        <f t="shared" ca="1" si="181"/>
        <v>0</v>
      </c>
      <c r="AM59" s="15">
        <f t="shared" ca="1" si="182"/>
        <v>4.0033896308E-4</v>
      </c>
      <c r="AN59">
        <f t="shared" ca="1" si="183"/>
        <v>1</v>
      </c>
      <c r="AO59" s="10">
        <f t="shared" ca="1" si="184"/>
        <v>0.5</v>
      </c>
      <c r="AP59" s="10">
        <f t="shared" ca="1" si="185"/>
        <v>0.75</v>
      </c>
      <c r="AQ59">
        <f t="shared" ca="1" si="186"/>
        <v>2.25</v>
      </c>
      <c r="AR59">
        <f t="shared" ca="1" si="187"/>
        <v>0.45</v>
      </c>
      <c r="AS59">
        <f t="shared" ca="1" si="188"/>
        <v>0.5</v>
      </c>
      <c r="AT59">
        <f t="shared" si="41"/>
        <v>7</v>
      </c>
      <c r="AU59">
        <f t="shared" si="42"/>
        <v>1</v>
      </c>
      <c r="AV59" t="str">
        <f t="shared" si="189"/>
        <v>OKS Agricultural Module</v>
      </c>
      <c r="AW59">
        <f t="shared" ca="1" si="190"/>
        <v>4</v>
      </c>
      <c r="AX59">
        <f t="shared" ca="1" si="43"/>
        <v>3</v>
      </c>
      <c r="AY59">
        <f t="shared" ca="1" si="54"/>
        <v>3.5</v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8.9347017924025867E-5</v>
      </c>
      <c r="E60" s="4">
        <f t="shared" ca="1" si="159"/>
        <v>3.5</v>
      </c>
      <c r="F60" s="19" t="s">
        <v>201</v>
      </c>
      <c r="G60" s="34">
        <v>7.6</v>
      </c>
      <c r="H60" s="35" t="str">
        <f>IF(H59="","",H59)</f>
        <v/>
      </c>
      <c r="I60" s="35" t="str">
        <f>IF(I59="","",I59)</f>
        <v/>
      </c>
      <c r="J60" s="36">
        <v>0</v>
      </c>
      <c r="K60" s="19">
        <v>4</v>
      </c>
      <c r="L60" s="37"/>
      <c r="M60" s="19">
        <v>1</v>
      </c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0</v>
      </c>
      <c r="R60" s="10">
        <f t="shared" ca="1" si="161"/>
        <v>0</v>
      </c>
      <c r="S60" s="10">
        <f t="shared" ca="1" si="162"/>
        <v>0</v>
      </c>
      <c r="T60" s="10">
        <f t="shared" ca="1" si="163"/>
        <v>0</v>
      </c>
      <c r="U60" s="10">
        <f t="shared" ca="1" si="164"/>
        <v>0</v>
      </c>
      <c r="V60" s="10">
        <f t="shared" ca="1" si="165"/>
        <v>0</v>
      </c>
      <c r="W60" s="10">
        <f t="shared" ca="1" si="166"/>
        <v>0</v>
      </c>
      <c r="X60" s="10">
        <f t="shared" ca="1" si="167"/>
        <v>0</v>
      </c>
      <c r="Y60" s="10">
        <f t="shared" ca="1" si="168"/>
        <v>0</v>
      </c>
      <c r="Z60" s="10">
        <f t="shared" ca="1" si="169"/>
        <v>0</v>
      </c>
      <c r="AA60" s="10">
        <f t="shared" ca="1" si="170"/>
        <v>0</v>
      </c>
      <c r="AB60" s="8">
        <f t="shared" ca="1" si="171"/>
        <v>0</v>
      </c>
      <c r="AC60" s="15">
        <f t="shared" ca="1" si="172"/>
        <v>0</v>
      </c>
      <c r="AD60" s="15">
        <f t="shared" ca="1" si="173"/>
        <v>0</v>
      </c>
      <c r="AE60" s="15">
        <f t="shared" ca="1" si="174"/>
        <v>0</v>
      </c>
      <c r="AF60" s="15">
        <f t="shared" ca="1" si="175"/>
        <v>0</v>
      </c>
      <c r="AG60" s="15">
        <f t="shared" ca="1" si="176"/>
        <v>0</v>
      </c>
      <c r="AH60" s="15">
        <f t="shared" ca="1" si="177"/>
        <v>0</v>
      </c>
      <c r="AI60" s="15">
        <f t="shared" ca="1" si="178"/>
        <v>0</v>
      </c>
      <c r="AJ60" s="15">
        <f t="shared" ca="1" si="179"/>
        <v>0</v>
      </c>
      <c r="AK60" s="15">
        <f t="shared" ca="1" si="180"/>
        <v>0</v>
      </c>
      <c r="AL60" s="15">
        <f t="shared" ca="1" si="181"/>
        <v>0</v>
      </c>
      <c r="AM60" s="15">
        <f t="shared" ca="1" si="182"/>
        <v>0</v>
      </c>
      <c r="AN60">
        <f t="shared" ca="1" si="183"/>
        <v>1</v>
      </c>
      <c r="AO60" s="10">
        <f t="shared" ca="1" si="184"/>
        <v>0.5</v>
      </c>
      <c r="AP60" s="10">
        <f t="shared" ca="1" si="185"/>
        <v>0.75</v>
      </c>
      <c r="AQ60">
        <f t="shared" ca="1" si="186"/>
        <v>2.25</v>
      </c>
      <c r="AR60">
        <f t="shared" ca="1" si="187"/>
        <v>0.45</v>
      </c>
      <c r="AS60">
        <f t="shared" ca="1" si="188"/>
        <v>0.5</v>
      </c>
      <c r="AT60">
        <f t="shared" si="41"/>
        <v>7</v>
      </c>
      <c r="AU60">
        <f t="shared" si="42"/>
        <v>1</v>
      </c>
      <c r="AV60" t="str">
        <f t="shared" si="189"/>
        <v>OKS Agricultural Module</v>
      </c>
      <c r="AW60">
        <f t="shared" ca="1" si="190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1.7152242271900188E-5</v>
      </c>
      <c r="E61" s="4" t="str">
        <f t="shared" si="159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8"/>
        <v/>
      </c>
      <c r="O61" t="str">
        <f t="shared" si="39"/>
        <v/>
      </c>
      <c r="P61" t="str">
        <f t="shared" si="92"/>
        <v/>
      </c>
      <c r="Q61" t="str">
        <f t="shared" si="40"/>
        <v/>
      </c>
      <c r="R61" s="10" t="str">
        <f t="shared" si="161"/>
        <v/>
      </c>
      <c r="S61" s="10" t="str">
        <f t="shared" si="162"/>
        <v/>
      </c>
      <c r="T61" s="10" t="str">
        <f t="shared" si="163"/>
        <v/>
      </c>
      <c r="U61" s="10" t="str">
        <f t="shared" si="164"/>
        <v/>
      </c>
      <c r="V61" s="10" t="str">
        <f t="shared" si="165"/>
        <v/>
      </c>
      <c r="W61" s="10" t="str">
        <f t="shared" si="166"/>
        <v/>
      </c>
      <c r="X61" s="10" t="str">
        <f t="shared" si="167"/>
        <v/>
      </c>
      <c r="Y61" s="10" t="str">
        <f t="shared" si="168"/>
        <v/>
      </c>
      <c r="Z61" s="10" t="str">
        <f t="shared" si="169"/>
        <v/>
      </c>
      <c r="AA61" s="10" t="str">
        <f t="shared" si="170"/>
        <v/>
      </c>
      <c r="AB61" s="8" t="str">
        <f t="shared" si="171"/>
        <v/>
      </c>
      <c r="AC61" s="15" t="str">
        <f t="shared" si="172"/>
        <v/>
      </c>
      <c r="AD61" s="15" t="str">
        <f t="shared" si="173"/>
        <v/>
      </c>
      <c r="AE61" s="15" t="str">
        <f t="shared" si="174"/>
        <v/>
      </c>
      <c r="AF61" s="15" t="str">
        <f t="shared" si="175"/>
        <v/>
      </c>
      <c r="AG61" s="15" t="str">
        <f t="shared" si="176"/>
        <v/>
      </c>
      <c r="AH61" s="15" t="str">
        <f t="shared" si="177"/>
        <v/>
      </c>
      <c r="AI61" s="15" t="str">
        <f t="shared" si="178"/>
        <v/>
      </c>
      <c r="AJ61" s="15" t="str">
        <f t="shared" si="179"/>
        <v/>
      </c>
      <c r="AK61" s="15" t="str">
        <f t="shared" si="180"/>
        <v/>
      </c>
      <c r="AL61" s="15" t="str">
        <f t="shared" si="181"/>
        <v/>
      </c>
      <c r="AM61" s="15" t="str">
        <f t="shared" si="182"/>
        <v/>
      </c>
      <c r="AN61" t="str">
        <f t="shared" si="183"/>
        <v/>
      </c>
      <c r="AO61" s="10" t="str">
        <f t="shared" si="184"/>
        <v/>
      </c>
      <c r="AP61" s="10" t="str">
        <f t="shared" si="185"/>
        <v/>
      </c>
      <c r="AQ61" t="str">
        <f t="shared" si="186"/>
        <v/>
      </c>
      <c r="AR61" t="str">
        <f t="shared" si="187"/>
        <v/>
      </c>
      <c r="AS61" t="str">
        <f t="shared" si="188"/>
        <v/>
      </c>
      <c r="AT61" t="str">
        <f t="shared" si="41"/>
        <v/>
      </c>
      <c r="AU61" t="str">
        <f t="shared" si="42"/>
        <v/>
      </c>
      <c r="AV61" t="str">
        <f t="shared" si="189"/>
        <v/>
      </c>
      <c r="AW61" t="str">
        <f t="shared" si="190"/>
        <v/>
      </c>
      <c r="AX61" t="str">
        <f t="shared" si="43"/>
        <v/>
      </c>
      <c r="AY61" t="str">
        <f t="shared" si="54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4.8959715407257384E-5</v>
      </c>
      <c r="E62" s="4">
        <f t="shared" ca="1" si="159"/>
        <v>1.5</v>
      </c>
      <c r="F62" s="19" t="s">
        <v>202</v>
      </c>
      <c r="G62" s="34">
        <v>8.3000000000000007</v>
      </c>
      <c r="H62" s="35"/>
      <c r="I62" s="35"/>
      <c r="J62" s="36">
        <v>1</v>
      </c>
      <c r="K62" s="19">
        <v>4</v>
      </c>
      <c r="L62" s="37"/>
      <c r="M62" s="19"/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1</v>
      </c>
      <c r="R62" s="10">
        <f t="shared" ca="1" si="161"/>
        <v>-9.375</v>
      </c>
      <c r="S62" s="10">
        <f t="shared" ca="1" si="162"/>
        <v>-1.2749999999999999E-3</v>
      </c>
      <c r="T62" s="10">
        <f t="shared" ca="1" si="163"/>
        <v>0</v>
      </c>
      <c r="U62" s="10">
        <f t="shared" ca="1" si="164"/>
        <v>0</v>
      </c>
      <c r="V62" s="10">
        <f t="shared" ca="1" si="165"/>
        <v>0</v>
      </c>
      <c r="W62" s="10">
        <f t="shared" ca="1" si="166"/>
        <v>0</v>
      </c>
      <c r="X62" s="10">
        <f t="shared" ca="1" si="167"/>
        <v>0</v>
      </c>
      <c r="Y62" s="10">
        <f t="shared" ca="1" si="168"/>
        <v>0</v>
      </c>
      <c r="Z62" s="10">
        <f t="shared" ca="1" si="169"/>
        <v>0</v>
      </c>
      <c r="AA62" s="10">
        <f t="shared" ca="1" si="170"/>
        <v>0</v>
      </c>
      <c r="AB62" s="8">
        <f t="shared" ca="1" si="171"/>
        <v>0</v>
      </c>
      <c r="AC62" s="15">
        <f t="shared" ca="1" si="172"/>
        <v>-3.1875000000000002E-7</v>
      </c>
      <c r="AD62" s="15">
        <f t="shared" ca="1" si="173"/>
        <v>-3.1875000000000002E-7</v>
      </c>
      <c r="AE62" s="15">
        <f t="shared" ca="1" si="174"/>
        <v>0</v>
      </c>
      <c r="AF62" s="15">
        <f t="shared" ca="1" si="175"/>
        <v>6.3750000000000004E-7</v>
      </c>
      <c r="AG62" s="15">
        <f t="shared" ca="1" si="176"/>
        <v>1.1704262043E-4</v>
      </c>
      <c r="AH62" s="15">
        <f t="shared" ca="1" si="177"/>
        <v>0</v>
      </c>
      <c r="AI62" s="15">
        <f t="shared" ca="1" si="178"/>
        <v>0</v>
      </c>
      <c r="AJ62" s="15">
        <f t="shared" ca="1" si="179"/>
        <v>0</v>
      </c>
      <c r="AK62" s="15">
        <f t="shared" ca="1" si="180"/>
        <v>0</v>
      </c>
      <c r="AL62" s="15">
        <f t="shared" ca="1" si="181"/>
        <v>-1.1704262043E-4</v>
      </c>
      <c r="AM62" s="15">
        <f t="shared" ca="1" si="182"/>
        <v>0</v>
      </c>
      <c r="AN62">
        <f t="shared" ca="1" si="183"/>
        <v>1</v>
      </c>
      <c r="AO62" s="10">
        <f t="shared" ca="1" si="184"/>
        <v>0.5</v>
      </c>
      <c r="AP62" s="10">
        <f t="shared" ca="1" si="185"/>
        <v>0.75</v>
      </c>
      <c r="AQ62">
        <f t="shared" ca="1" si="186"/>
        <v>2.25</v>
      </c>
      <c r="AR62">
        <f t="shared" ca="1" si="187"/>
        <v>0.45</v>
      </c>
      <c r="AS62">
        <f t="shared" ca="1" si="188"/>
        <v>0.5</v>
      </c>
      <c r="AT62">
        <f t="shared" si="41"/>
        <v>8</v>
      </c>
      <c r="AU62">
        <f t="shared" si="42"/>
        <v>1</v>
      </c>
      <c r="AV62" t="str">
        <f t="shared" si="189"/>
        <v>OKS Habitation Ring</v>
      </c>
      <c r="AW62">
        <f t="shared" ca="1" si="190"/>
        <v>2</v>
      </c>
      <c r="AX62">
        <f t="shared" ca="1" si="43"/>
        <v>1</v>
      </c>
      <c r="AY62">
        <f t="shared" ca="1" si="54"/>
        <v>1.5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2.9735893198991413E-4</v>
      </c>
      <c r="E63" s="4">
        <f t="shared" ca="1" si="159"/>
        <v>1.5</v>
      </c>
      <c r="F63" s="19" t="s">
        <v>193</v>
      </c>
      <c r="G63" s="34">
        <v>8.4</v>
      </c>
      <c r="H63" s="35" t="str">
        <f>IF(H62="","",H62)</f>
        <v/>
      </c>
      <c r="I63" s="35" t="str">
        <f>IF(I62="","",I62)</f>
        <v/>
      </c>
      <c r="J63" s="36">
        <v>1</v>
      </c>
      <c r="K63" s="19">
        <v>4</v>
      </c>
      <c r="L63" s="37"/>
      <c r="M63" s="19">
        <v>1</v>
      </c>
      <c r="N63" t="str">
        <f t="shared" si="38"/>
        <v/>
      </c>
      <c r="O63" t="str">
        <f t="shared" si="39"/>
        <v/>
      </c>
      <c r="P63">
        <f t="shared" si="92"/>
        <v>1</v>
      </c>
      <c r="Q63">
        <f t="shared" si="40"/>
        <v>0</v>
      </c>
      <c r="R63" s="10">
        <f t="shared" ca="1" si="161"/>
        <v>-18.75</v>
      </c>
      <c r="S63" s="10">
        <f t="shared" ca="1" si="162"/>
        <v>-1.2749999999999999E-3</v>
      </c>
      <c r="T63" s="10">
        <f t="shared" ca="1" si="163"/>
        <v>0</v>
      </c>
      <c r="U63" s="10">
        <f t="shared" ca="1" si="164"/>
        <v>0</v>
      </c>
      <c r="V63" s="10">
        <f t="shared" ca="1" si="165"/>
        <v>0</v>
      </c>
      <c r="W63" s="10">
        <f t="shared" ca="1" si="166"/>
        <v>0</v>
      </c>
      <c r="X63" s="10">
        <f t="shared" ca="1" si="167"/>
        <v>0</v>
      </c>
      <c r="Y63" s="10">
        <f t="shared" ca="1" si="168"/>
        <v>0</v>
      </c>
      <c r="Z63" s="10">
        <f t="shared" ca="1" si="169"/>
        <v>0</v>
      </c>
      <c r="AA63" s="10">
        <f t="shared" ca="1" si="170"/>
        <v>0</v>
      </c>
      <c r="AB63" s="8">
        <f t="shared" ca="1" si="171"/>
        <v>-1.6226363287500002E-4</v>
      </c>
      <c r="AC63" s="15">
        <f t="shared" ca="1" si="172"/>
        <v>-3.1875000000000002E-7</v>
      </c>
      <c r="AD63" s="15">
        <f t="shared" ca="1" si="173"/>
        <v>-3.1875000000000002E-7</v>
      </c>
      <c r="AE63" s="15">
        <f t="shared" ca="1" si="174"/>
        <v>0</v>
      </c>
      <c r="AF63" s="15">
        <f t="shared" ca="1" si="175"/>
        <v>6.3750000000000004E-7</v>
      </c>
      <c r="AG63" s="15">
        <f t="shared" ca="1" si="176"/>
        <v>0</v>
      </c>
      <c r="AH63" s="15">
        <f t="shared" ca="1" si="177"/>
        <v>1.6226363287500002E-4</v>
      </c>
      <c r="AI63" s="15">
        <f t="shared" ca="1" si="178"/>
        <v>0</v>
      </c>
      <c r="AJ63" s="15">
        <f t="shared" ca="1" si="179"/>
        <v>0</v>
      </c>
      <c r="AK63" s="15">
        <f t="shared" ca="1" si="180"/>
        <v>0</v>
      </c>
      <c r="AL63" s="15">
        <f t="shared" ca="1" si="181"/>
        <v>0</v>
      </c>
      <c r="AM63" s="15">
        <f t="shared" ca="1" si="182"/>
        <v>0</v>
      </c>
      <c r="AN63">
        <f t="shared" ca="1" si="183"/>
        <v>1</v>
      </c>
      <c r="AO63" s="10">
        <f t="shared" ca="1" si="184"/>
        <v>0.5</v>
      </c>
      <c r="AP63" s="10">
        <f t="shared" ca="1" si="185"/>
        <v>0.75</v>
      </c>
      <c r="AQ63">
        <f t="shared" ca="1" si="186"/>
        <v>2.25</v>
      </c>
      <c r="AR63">
        <f t="shared" ca="1" si="187"/>
        <v>0.45</v>
      </c>
      <c r="AS63">
        <f t="shared" ca="1" si="188"/>
        <v>0.5</v>
      </c>
      <c r="AT63">
        <f t="shared" si="41"/>
        <v>8</v>
      </c>
      <c r="AU63">
        <f t="shared" si="42"/>
        <v>1</v>
      </c>
      <c r="AV63" t="str">
        <f t="shared" si="189"/>
        <v>OKS Habitation Ring</v>
      </c>
      <c r="AW63">
        <f t="shared" ca="1" si="190"/>
        <v>2</v>
      </c>
      <c r="AX63">
        <f t="shared" ca="1" si="43"/>
        <v>1</v>
      </c>
      <c r="AY63">
        <f t="shared" ca="1" si="54"/>
        <v>1.5</v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159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8"/>
        <v/>
      </c>
      <c r="O64" t="str">
        <f t="shared" si="39"/>
        <v/>
      </c>
      <c r="P64" t="str">
        <f t="shared" si="92"/>
        <v/>
      </c>
      <c r="Q64" t="str">
        <f t="shared" si="40"/>
        <v/>
      </c>
      <c r="R64" s="10" t="str">
        <f t="shared" si="161"/>
        <v/>
      </c>
      <c r="S64" s="10" t="str">
        <f t="shared" si="162"/>
        <v/>
      </c>
      <c r="T64" s="10" t="str">
        <f t="shared" si="163"/>
        <v/>
      </c>
      <c r="U64" s="10" t="str">
        <f t="shared" si="164"/>
        <v/>
      </c>
      <c r="V64" s="10" t="str">
        <f t="shared" si="165"/>
        <v/>
      </c>
      <c r="W64" s="10" t="str">
        <f t="shared" si="166"/>
        <v/>
      </c>
      <c r="X64" s="10" t="str">
        <f t="shared" si="167"/>
        <v/>
      </c>
      <c r="Y64" s="10" t="str">
        <f t="shared" si="168"/>
        <v/>
      </c>
      <c r="Z64" s="10" t="str">
        <f t="shared" si="169"/>
        <v/>
      </c>
      <c r="AA64" s="10" t="str">
        <f t="shared" si="170"/>
        <v/>
      </c>
      <c r="AB64" s="8" t="str">
        <f t="shared" si="171"/>
        <v/>
      </c>
      <c r="AC64" s="15" t="str">
        <f t="shared" si="172"/>
        <v/>
      </c>
      <c r="AD64" s="15" t="str">
        <f t="shared" si="173"/>
        <v/>
      </c>
      <c r="AE64" s="15" t="str">
        <f t="shared" si="174"/>
        <v/>
      </c>
      <c r="AF64" s="15" t="str">
        <f t="shared" si="175"/>
        <v/>
      </c>
      <c r="AG64" s="15" t="str">
        <f t="shared" si="176"/>
        <v/>
      </c>
      <c r="AH64" s="15">
        <f ca="1">$J63*LOOKUP($G63,$BO:$BO,CH:CH)*$E63</f>
        <v>1.6226363287500002E-4</v>
      </c>
      <c r="AI64" s="15" t="str">
        <f t="shared" si="178"/>
        <v/>
      </c>
      <c r="AJ64" s="15" t="str">
        <f t="shared" si="179"/>
        <v/>
      </c>
      <c r="AK64" s="15" t="str">
        <f t="shared" si="180"/>
        <v/>
      </c>
      <c r="AL64" s="15" t="str">
        <f t="shared" si="181"/>
        <v/>
      </c>
      <c r="AM64" s="15" t="str">
        <f t="shared" si="182"/>
        <v/>
      </c>
      <c r="AN64" t="str">
        <f t="shared" si="183"/>
        <v/>
      </c>
      <c r="AO64" s="10" t="str">
        <f t="shared" si="184"/>
        <v/>
      </c>
      <c r="AP64" s="10" t="str">
        <f t="shared" si="185"/>
        <v/>
      </c>
      <c r="AQ64" t="str">
        <f t="shared" si="186"/>
        <v/>
      </c>
      <c r="AR64" t="str">
        <f t="shared" si="187"/>
        <v/>
      </c>
      <c r="AS64" t="str">
        <f t="shared" si="188"/>
        <v/>
      </c>
      <c r="AT64" t="str">
        <f t="shared" si="41"/>
        <v/>
      </c>
      <c r="AU64" t="str">
        <f t="shared" si="42"/>
        <v/>
      </c>
      <c r="AV64" t="str">
        <f t="shared" si="189"/>
        <v/>
      </c>
      <c r="AW64" t="str">
        <f t="shared" si="190"/>
        <v/>
      </c>
      <c r="AX64" t="str">
        <f t="shared" si="43"/>
        <v/>
      </c>
      <c r="AY64" t="str">
        <f t="shared" si="54"/>
        <v/>
      </c>
      <c r="BA64" t="s">
        <v>210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6">
        <f ca="1">$C$39/C75</f>
        <v>40656.927775221848</v>
      </c>
      <c r="E65" s="4">
        <f t="shared" si="159"/>
        <v>1</v>
      </c>
      <c r="F65" s="19" t="s">
        <v>173</v>
      </c>
      <c r="G65" s="34">
        <v>210</v>
      </c>
      <c r="H65" s="35"/>
      <c r="I65" s="35"/>
      <c r="J65" s="36"/>
      <c r="K65" s="19">
        <v>4</v>
      </c>
      <c r="L65" s="37"/>
      <c r="M65" s="19"/>
      <c r="N65" t="str">
        <f t="shared" si="38"/>
        <v/>
      </c>
      <c r="O65" t="str">
        <f t="shared" si="39"/>
        <v/>
      </c>
      <c r="P65">
        <f t="shared" si="92"/>
        <v>0</v>
      </c>
      <c r="Q65">
        <f t="shared" si="40"/>
        <v>1</v>
      </c>
      <c r="R65" s="10">
        <f t="shared" si="161"/>
        <v>100</v>
      </c>
      <c r="S65" s="10">
        <f t="shared" si="162"/>
        <v>0</v>
      </c>
      <c r="T65" s="10">
        <f t="shared" si="163"/>
        <v>-0.2</v>
      </c>
      <c r="U65" s="10">
        <f t="shared" si="164"/>
        <v>0</v>
      </c>
      <c r="V65" s="10">
        <f t="shared" si="165"/>
        <v>0</v>
      </c>
      <c r="W65" s="10">
        <f t="shared" si="166"/>
        <v>0</v>
      </c>
      <c r="X65" s="10">
        <f t="shared" si="167"/>
        <v>0</v>
      </c>
      <c r="Y65" s="10">
        <f t="shared" si="168"/>
        <v>0</v>
      </c>
      <c r="Z65" s="10">
        <f t="shared" si="169"/>
        <v>0</v>
      </c>
      <c r="AA65" s="10">
        <f t="shared" si="170"/>
        <v>0</v>
      </c>
      <c r="AB65" s="8">
        <f t="shared" si="171"/>
        <v>0</v>
      </c>
      <c r="AC65" s="15">
        <f t="shared" si="172"/>
        <v>0</v>
      </c>
      <c r="AD65" s="15">
        <f t="shared" si="173"/>
        <v>0</v>
      </c>
      <c r="AE65" s="15">
        <f t="shared" si="174"/>
        <v>0</v>
      </c>
      <c r="AF65" s="15">
        <f t="shared" si="175"/>
        <v>0</v>
      </c>
      <c r="AG65" s="15">
        <f t="shared" si="176"/>
        <v>0</v>
      </c>
      <c r="AH65" s="15">
        <f t="shared" si="177"/>
        <v>0</v>
      </c>
      <c r="AI65" s="15">
        <f t="shared" si="178"/>
        <v>0</v>
      </c>
      <c r="AJ65" s="15">
        <f t="shared" si="179"/>
        <v>0</v>
      </c>
      <c r="AK65" s="15">
        <f t="shared" si="180"/>
        <v>0</v>
      </c>
      <c r="AL65" s="15">
        <f t="shared" si="181"/>
        <v>0</v>
      </c>
      <c r="AM65" s="15">
        <f t="shared" si="182"/>
        <v>0</v>
      </c>
      <c r="AN65" t="str">
        <f t="shared" si="183"/>
        <v/>
      </c>
      <c r="AO65" s="10" t="str">
        <f t="shared" si="184"/>
        <v/>
      </c>
      <c r="AP65" s="10" t="str">
        <f t="shared" si="185"/>
        <v/>
      </c>
      <c r="AQ65" t="str">
        <f t="shared" si="186"/>
        <v/>
      </c>
      <c r="AR65" t="str">
        <f t="shared" si="187"/>
        <v/>
      </c>
      <c r="AS65" t="str">
        <f t="shared" si="188"/>
        <v/>
      </c>
      <c r="AT65">
        <f t="shared" si="41"/>
        <v>210</v>
      </c>
      <c r="AU65">
        <f t="shared" si="42"/>
        <v>0</v>
      </c>
      <c r="AV65">
        <f t="shared" si="189"/>
        <v>0</v>
      </c>
      <c r="AW65" t="str">
        <f t="shared" si="190"/>
        <v/>
      </c>
      <c r="AX65" t="str">
        <f t="shared" si="43"/>
        <v/>
      </c>
      <c r="AY65" t="str">
        <f t="shared" si="54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>
        <f ca="1">$C$39/C76</f>
        <v>49093.258252002233</v>
      </c>
      <c r="E66" s="4">
        <f t="shared" ref="E66:E97" si="213">IF(P66="","",IF(AND(G66&gt;=200,G66&lt;300),100%,MIN(L66,AY66)))</f>
        <v>1</v>
      </c>
      <c r="F66" s="19" t="s">
        <v>163</v>
      </c>
      <c r="G66" s="34">
        <v>200</v>
      </c>
      <c r="H66" s="35"/>
      <c r="I66" s="35"/>
      <c r="J66" s="36"/>
      <c r="K66" s="19">
        <v>4</v>
      </c>
      <c r="L66" s="37"/>
      <c r="M66" s="19"/>
      <c r="N66" t="str">
        <f t="shared" si="38"/>
        <v/>
      </c>
      <c r="O66" t="str">
        <f t="shared" si="39"/>
        <v/>
      </c>
      <c r="P66">
        <f t="shared" si="92"/>
        <v>0</v>
      </c>
      <c r="Q66">
        <f t="shared" si="40"/>
        <v>1</v>
      </c>
      <c r="R66" s="10">
        <f t="shared" ref="R66:R97" si="214">IF($G66="","",IF(AND(G66&gt;=200,G66&lt;300),1,$J66)*LOOKUP($G66,$BO:$BO,BQ:BQ)*$E66+IF(M66="",IF(O66="",0,O66*LOOKUP(100,BO:BO,BQ:BQ)),0))</f>
        <v>-2.5</v>
      </c>
      <c r="S66" s="10">
        <f t="shared" ref="S66:S97" si="215">IF($G66="","",$J66*LOOKUP($G66,$BO:$BO,BR:BR)*$E66)</f>
        <v>0</v>
      </c>
      <c r="T66" s="10">
        <f t="shared" ref="T66:T97" ca="1" si="216">IF($G66="","",IF(AND(G66&gt;=200,G66&lt;300),1,$J66)*LOOKUP($G66,$BO:$BO,BS:BS)*$E66+IF($G66=200,INDEX($BA:$BK,MATCH("Karbonite",$BA:$BA,0),MATCH($K66,$BA$1:$BK$1,0)),0))</f>
        <v>0.49951111111111113</v>
      </c>
      <c r="U66" s="10">
        <f t="shared" ref="U66:U97" si="217">IF($G66="","",$J66*LOOKUP($G66,$BO:$BO,BT:BT)*$E66+IF($G66=201,INDEX($BA:$BK,MATCH("Ore",$BA:$BA,0),MATCH($K66,$BA$1:$BK$1,0)),0))</f>
        <v>0</v>
      </c>
      <c r="V66" s="10">
        <f t="shared" ref="V66:V97" si="218">IF($G66="","",$J66*LOOKUP($G66,$BO:$BO,BU:BU)*$E66+IF($G66=202,INDEX($BA:$BK,MATCH("Minerals",$BA:$BA,0),MATCH($K66,$BA$1:$BK$1,0)),0))</f>
        <v>0</v>
      </c>
      <c r="W66" s="10">
        <f t="shared" ref="W66:W97" si="219">IF($G66="","",$J66*LOOKUP($G66,$BO:$BO,BV:BV)*$E66+IF($G66=203,INDEX($BA:$BK,MATCH("Substrate",$BA:$BA,0),MATCH($K66,$BA$1:$BK$1,0)),0))</f>
        <v>0</v>
      </c>
      <c r="X66" s="10">
        <f t="shared" ref="X66:X97" si="220">IF($G66="","",$J66*LOOKUP($G66,$BO:$BO,BW:BW)*$E66)</f>
        <v>0</v>
      </c>
      <c r="Y66" s="10">
        <f t="shared" ref="Y66:Y97" si="221">IF($G66="","",$J66*LOOKUP($G66,$BO:$BO,BX:BX)*$E66)</f>
        <v>0</v>
      </c>
      <c r="Z66" s="10">
        <f t="shared" ref="Z66:Z97" si="222">IF($G66="","",$J66*LOOKUP($G66,$BO:$BO,BY:BY)*$E66)</f>
        <v>0</v>
      </c>
      <c r="AA66" s="10">
        <f t="shared" ref="AA66:AA97" si="223">IF($G66="","",$J66*LOOKUP($G66,$BO:$BO,BZ:BZ)*$E66)</f>
        <v>0</v>
      </c>
      <c r="AB66" s="8">
        <f t="shared" ref="AB66:AB97" si="224">IF($G66="","",$J66*LOOKUP($G66,$BO:$BO,CB:CB)*$E66)</f>
        <v>0</v>
      </c>
      <c r="AC66" s="15">
        <f t="shared" ref="AC66:AC97" si="225">IF($G66="","",$J66*LOOKUP($G66,$BO:$BO,CC:CC)*$E66)</f>
        <v>0</v>
      </c>
      <c r="AD66" s="15">
        <f t="shared" ref="AD66:AD97" si="226">IF($G66="","",$J66*LOOKUP($G66,$BO:$BO,CD:CD)*$E66)</f>
        <v>0</v>
      </c>
      <c r="AE66" s="15">
        <f t="shared" ref="AE66:AE97" si="227">IF($G66="","",$J66*LOOKUP($G66,$BO:$BO,CE:CE)*$E66)</f>
        <v>0</v>
      </c>
      <c r="AF66" s="15">
        <f t="shared" ref="AF66:AF97" si="228">IF($G66="","",$J66*LOOKUP($G66,$BO:$BO,CF:CF)*$E66)</f>
        <v>0</v>
      </c>
      <c r="AG66" s="15">
        <f t="shared" ref="AG66:AG97" si="229">IF($G66="","",$J66*LOOKUP($G66,$BO:$BO,CG:CG)*$E66)</f>
        <v>0</v>
      </c>
      <c r="AH66" s="15">
        <f t="shared" ref="AH66:AH97" si="230">IF($G66="","",$J66*LOOKUP($G66,$BO:$BO,CH:CH)*$E66+IF($M66=1,0,IF($O66="",0,$O66*LOOKUP(100,$BO:$BO,CH:CH))))</f>
        <v>0</v>
      </c>
      <c r="AI66" s="15">
        <f t="shared" ref="AI66:AI97" si="231">IF($G66="","",$J66*LOOKUP($G66,$BO:$BO,CI:CI)*$E66+IF($M66=1,0,IF($O66="",0,$O66*LOOKUP(100,$BO:$BO,CI:CI))))</f>
        <v>0</v>
      </c>
      <c r="AJ66" s="15">
        <f t="shared" ref="AJ66:AJ97" si="232">IF($G66="","",$J66*LOOKUP($G66,$BO:$BO,CJ:CJ)*$E66+IF($M66=1,0,IF($O66="",0,$O66*LOOKUP(100,$BO:$BO,CJ:CJ)))+IF($G66=204,INDEX($BA:$BK,MATCH("Water",$BA:$BA,0),MATCH($K66,$BA$1:$BK$1,0)),0))</f>
        <v>0</v>
      </c>
      <c r="AK66" s="15">
        <f t="shared" ref="AK66:AK97" si="233">IF($G66="","",$J66*LOOKUP($G66,$BO:$BO,CK:CK)*$E66+IF($M66=1,0,IF($O66="",0,$O66*LOOKUP(100,$BO:$BO,CK:CK))))</f>
        <v>0</v>
      </c>
      <c r="AL66" s="15">
        <f t="shared" ref="AL66:AL97" si="234">IF($G66="","",$J66*LOOKUP($G66,$BO:$BO,CL:CL)*$E66+IF($M66=1,0,IF($O66="",0,$O66*LOOKUP(100,$BO:$BO,CL:CL))))</f>
        <v>0</v>
      </c>
      <c r="AM66" s="15">
        <f t="shared" ref="AM66:AM97" si="235">IF($G66="","",$J66*LOOKUP($G66,$BO:$BO,CM:CM)*$E66+IF($M66=1,0,IF($O66="",0,$O66*LOOKUP(100,$BO:$BO,CM:CM))))</f>
        <v>0</v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>
        <f t="shared" si="41"/>
        <v>200</v>
      </c>
      <c r="AU66">
        <f t="shared" si="42"/>
        <v>0</v>
      </c>
      <c r="AV66">
        <f t="shared" ref="AV66:AV97" si="242">IF(P66="","",LOOKUP(G66,BO:BO,BP:BP))</f>
        <v>0</v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</row>
    <row r="67" spans="2:63">
      <c r="B67" t="s">
        <v>106</v>
      </c>
      <c r="C67" s="26">
        <f ca="1">$C$39/C77</f>
        <v>59170.997334388419</v>
      </c>
      <c r="E67" s="4" t="str">
        <f t="shared" si="213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 t="str">
        <f t="shared" si="92"/>
        <v/>
      </c>
      <c r="Q67" t="str">
        <f t="shared" ref="Q67:Q120" si="246">IF(G67="","",IF(M67="",1,0))</f>
        <v/>
      </c>
      <c r="R67" s="10" t="str">
        <f t="shared" si="214"/>
        <v/>
      </c>
      <c r="S67" s="10" t="str">
        <f t="shared" si="215"/>
        <v/>
      </c>
      <c r="T67" s="10" t="str">
        <f t="shared" si="216"/>
        <v/>
      </c>
      <c r="U67" s="10" t="str">
        <f t="shared" si="217"/>
        <v/>
      </c>
      <c r="V67" s="10" t="str">
        <f t="shared" si="218"/>
        <v/>
      </c>
      <c r="W67" s="10" t="str">
        <f t="shared" si="219"/>
        <v/>
      </c>
      <c r="X67" s="10" t="str">
        <f t="shared" si="220"/>
        <v/>
      </c>
      <c r="Y67" s="10" t="str">
        <f t="shared" si="221"/>
        <v/>
      </c>
      <c r="Z67" s="10" t="str">
        <f t="shared" si="222"/>
        <v/>
      </c>
      <c r="AA67" s="10" t="str">
        <f t="shared" si="223"/>
        <v/>
      </c>
      <c r="AB67" s="8" t="str">
        <f t="shared" si="224"/>
        <v/>
      </c>
      <c r="AC67" s="15" t="str">
        <f t="shared" si="225"/>
        <v/>
      </c>
      <c r="AD67" s="15" t="str">
        <f t="shared" si="226"/>
        <v/>
      </c>
      <c r="AE67" s="15" t="str">
        <f t="shared" si="227"/>
        <v/>
      </c>
      <c r="AF67" s="15" t="str">
        <f t="shared" si="228"/>
        <v/>
      </c>
      <c r="AG67" s="15" t="str">
        <f t="shared" si="229"/>
        <v/>
      </c>
      <c r="AH67" s="15" t="str">
        <f t="shared" si="230"/>
        <v/>
      </c>
      <c r="AI67" s="15" t="str">
        <f t="shared" si="231"/>
        <v/>
      </c>
      <c r="AJ67" s="15" t="str">
        <f t="shared" si="232"/>
        <v/>
      </c>
      <c r="AK67" s="15" t="str">
        <f t="shared" si="233"/>
        <v/>
      </c>
      <c r="AL67" s="15" t="str">
        <f t="shared" si="234"/>
        <v/>
      </c>
      <c r="AM67" s="15" t="str">
        <f t="shared" si="235"/>
        <v/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 t="str">
        <f t="shared" ref="AT67:AT120" si="247">IF(G67="","",ROUNDDOWN(G67,0))</f>
        <v/>
      </c>
      <c r="AU67" t="str">
        <f t="shared" ref="AU67:AU120" si="248">IF(P67="","",SUMIFS(P:P,Q:Q,1,AT:AT,AT67,K:K,K67))</f>
        <v/>
      </c>
      <c r="AV67" t="str">
        <f t="shared" si="242"/>
        <v/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  <c r="BA67" t="s">
        <v>175</v>
      </c>
    </row>
    <row r="68" spans="2:63">
      <c r="B68" t="s">
        <v>107</v>
      </c>
      <c r="C68" s="26">
        <f ca="1">$C$39/C78</f>
        <v>124529.40342449186</v>
      </c>
      <c r="E68" s="4" t="str">
        <f t="shared" si="213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244"/>
        <v/>
      </c>
      <c r="O68" t="str">
        <f t="shared" si="245"/>
        <v/>
      </c>
      <c r="P68" t="str">
        <f t="shared" si="92"/>
        <v/>
      </c>
      <c r="Q68" t="str">
        <f t="shared" si="246"/>
        <v/>
      </c>
      <c r="R68" s="10" t="str">
        <f t="shared" si="214"/>
        <v/>
      </c>
      <c r="S68" s="10" t="str">
        <f t="shared" si="215"/>
        <v/>
      </c>
      <c r="T68" s="10" t="str">
        <f t="shared" si="216"/>
        <v/>
      </c>
      <c r="U68" s="10" t="str">
        <f t="shared" si="217"/>
        <v/>
      </c>
      <c r="V68" s="10" t="str">
        <f t="shared" si="218"/>
        <v/>
      </c>
      <c r="W68" s="10" t="str">
        <f t="shared" si="219"/>
        <v/>
      </c>
      <c r="X68" s="10" t="str">
        <f t="shared" si="220"/>
        <v/>
      </c>
      <c r="Y68" s="10" t="str">
        <f t="shared" si="221"/>
        <v/>
      </c>
      <c r="Z68" s="10" t="str">
        <f t="shared" si="222"/>
        <v/>
      </c>
      <c r="AA68" s="10" t="str">
        <f t="shared" si="223"/>
        <v/>
      </c>
      <c r="AB68" s="8" t="str">
        <f t="shared" si="224"/>
        <v/>
      </c>
      <c r="AC68" s="15" t="str">
        <f t="shared" si="225"/>
        <v/>
      </c>
      <c r="AD68" s="15" t="str">
        <f t="shared" si="226"/>
        <v/>
      </c>
      <c r="AE68" s="15" t="str">
        <f t="shared" si="227"/>
        <v/>
      </c>
      <c r="AF68" s="15" t="str">
        <f t="shared" si="228"/>
        <v/>
      </c>
      <c r="AG68" s="15" t="str">
        <f t="shared" si="229"/>
        <v/>
      </c>
      <c r="AH68" s="15" t="str">
        <f t="shared" si="230"/>
        <v/>
      </c>
      <c r="AI68" s="15" t="str">
        <f t="shared" si="231"/>
        <v/>
      </c>
      <c r="AJ68" s="15" t="str">
        <f t="shared" si="232"/>
        <v/>
      </c>
      <c r="AK68" s="15" t="str">
        <f t="shared" si="233"/>
        <v/>
      </c>
      <c r="AL68" s="15" t="str">
        <f t="shared" si="234"/>
        <v/>
      </c>
      <c r="AM68" s="15" t="str">
        <f t="shared" si="235"/>
        <v/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 t="str">
        <f t="shared" si="247"/>
        <v/>
      </c>
      <c r="AU68" t="str">
        <f t="shared" si="248"/>
        <v/>
      </c>
      <c r="AV68" t="str">
        <f t="shared" si="242"/>
        <v/>
      </c>
      <c r="AW68" t="str">
        <f t="shared" si="243"/>
        <v/>
      </c>
      <c r="AX68" t="str">
        <f t="shared" si="249"/>
        <v/>
      </c>
      <c r="AY68" t="str">
        <f t="shared" si="54"/>
        <v/>
      </c>
    </row>
    <row r="69" spans="2:63">
      <c r="E69" s="4" t="str">
        <f t="shared" si="213"/>
        <v/>
      </c>
      <c r="F69" s="19" t="s">
        <v>220</v>
      </c>
      <c r="G69" s="34"/>
      <c r="H69" s="35"/>
      <c r="I69" s="35"/>
      <c r="J69" s="36"/>
      <c r="K69" s="19"/>
      <c r="L69" s="37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t="s">
        <v>167</v>
      </c>
      <c r="BB69">
        <v>36</v>
      </c>
    </row>
    <row r="70" spans="2:63">
      <c r="B70" t="s">
        <v>108</v>
      </c>
      <c r="C70" s="10">
        <f ca="1">$C$39/C16*3</f>
        <v>236614.5022853142</v>
      </c>
      <c r="E70" s="4">
        <f t="shared" si="213"/>
        <v>1</v>
      </c>
      <c r="F70" s="19" t="s">
        <v>173</v>
      </c>
      <c r="G70" s="34">
        <v>210</v>
      </c>
      <c r="H70" s="35"/>
      <c r="I70" s="35"/>
      <c r="J70" s="36"/>
      <c r="K70" s="19">
        <v>5</v>
      </c>
      <c r="L70" s="37"/>
      <c r="M70" s="19"/>
      <c r="N70" t="str">
        <f t="shared" si="244"/>
        <v/>
      </c>
      <c r="O70" t="str">
        <f t="shared" si="245"/>
        <v/>
      </c>
      <c r="P70">
        <f t="shared" si="92"/>
        <v>0</v>
      </c>
      <c r="Q70">
        <f t="shared" si="246"/>
        <v>1</v>
      </c>
      <c r="R70" s="10">
        <f t="shared" si="214"/>
        <v>100</v>
      </c>
      <c r="S70" s="10">
        <f t="shared" si="215"/>
        <v>0</v>
      </c>
      <c r="T70" s="10">
        <f t="shared" si="216"/>
        <v>-0.2</v>
      </c>
      <c r="U70" s="10">
        <f t="shared" si="217"/>
        <v>0</v>
      </c>
      <c r="V70" s="10">
        <f t="shared" si="218"/>
        <v>0</v>
      </c>
      <c r="W70" s="10">
        <f t="shared" si="219"/>
        <v>0</v>
      </c>
      <c r="X70" s="10">
        <f t="shared" si="220"/>
        <v>0</v>
      </c>
      <c r="Y70" s="10">
        <f t="shared" si="221"/>
        <v>0</v>
      </c>
      <c r="Z70" s="10">
        <f t="shared" si="222"/>
        <v>0</v>
      </c>
      <c r="AA70" s="10">
        <f t="shared" si="223"/>
        <v>0</v>
      </c>
      <c r="AB70" s="8">
        <f t="shared" si="224"/>
        <v>0</v>
      </c>
      <c r="AC70" s="15">
        <f t="shared" si="225"/>
        <v>0</v>
      </c>
      <c r="AD70" s="15">
        <f t="shared" si="226"/>
        <v>0</v>
      </c>
      <c r="AE70" s="15">
        <f t="shared" si="227"/>
        <v>0</v>
      </c>
      <c r="AF70" s="15">
        <f t="shared" si="228"/>
        <v>0</v>
      </c>
      <c r="AG70" s="15">
        <f t="shared" si="229"/>
        <v>0</v>
      </c>
      <c r="AH70" s="15">
        <f t="shared" si="230"/>
        <v>0</v>
      </c>
      <c r="AI70" s="15">
        <f t="shared" si="231"/>
        <v>0</v>
      </c>
      <c r="AJ70" s="15">
        <f t="shared" si="232"/>
        <v>0</v>
      </c>
      <c r="AK70" s="15">
        <f t="shared" si="233"/>
        <v>0</v>
      </c>
      <c r="AL70" s="15">
        <f t="shared" si="234"/>
        <v>0</v>
      </c>
      <c r="AM70" s="15">
        <f t="shared" si="235"/>
        <v>0</v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>
        <f t="shared" si="247"/>
        <v>210</v>
      </c>
      <c r="AU70">
        <f t="shared" si="248"/>
        <v>0</v>
      </c>
      <c r="AV70">
        <f t="shared" si="242"/>
        <v>0</v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158</v>
      </c>
      <c r="BB70">
        <f t="shared" ref="BB70:BK70" si="250">IF(BB44="",IF(BB51="","",BB51),IF(BB51="",BB44*$BB$69,1/0))</f>
        <v>22478</v>
      </c>
      <c r="BC70" t="str">
        <f t="shared" si="250"/>
        <v/>
      </c>
      <c r="BD70" t="str">
        <f t="shared" si="250"/>
        <v/>
      </c>
      <c r="BE70">
        <f t="shared" si="250"/>
        <v>22478</v>
      </c>
      <c r="BF70">
        <f t="shared" si="250"/>
        <v>22478</v>
      </c>
      <c r="BG70" t="str">
        <f t="shared" si="250"/>
        <v/>
      </c>
      <c r="BH70" t="str">
        <f t="shared" si="250"/>
        <v/>
      </c>
      <c r="BI70" t="str">
        <f t="shared" si="250"/>
        <v/>
      </c>
      <c r="BJ70" t="str">
        <f t="shared" si="250"/>
        <v/>
      </c>
      <c r="BK70" t="str">
        <f t="shared" si="250"/>
        <v/>
      </c>
    </row>
    <row r="71" spans="2:63">
      <c r="B71" t="s">
        <v>109</v>
      </c>
      <c r="C71" s="10">
        <f ca="1">$C$39/C17*3</f>
        <v>288308.18124480918</v>
      </c>
      <c r="E71" s="4">
        <f t="shared" si="213"/>
        <v>1</v>
      </c>
      <c r="F71" s="19" t="s">
        <v>163</v>
      </c>
      <c r="G71" s="34">
        <v>200</v>
      </c>
      <c r="H71" s="35"/>
      <c r="I71" s="35"/>
      <c r="J71" s="36"/>
      <c r="K71" s="19">
        <v>5</v>
      </c>
      <c r="L71" s="37"/>
      <c r="M71" s="19"/>
      <c r="N71" t="str">
        <f t="shared" si="244"/>
        <v/>
      </c>
      <c r="O71" t="str">
        <f t="shared" si="245"/>
        <v/>
      </c>
      <c r="P71">
        <f t="shared" si="92"/>
        <v>0</v>
      </c>
      <c r="Q71">
        <f t="shared" si="246"/>
        <v>1</v>
      </c>
      <c r="R71" s="10">
        <f t="shared" si="214"/>
        <v>-2.5</v>
      </c>
      <c r="S71" s="10">
        <f t="shared" si="215"/>
        <v>0</v>
      </c>
      <c r="T71" s="10">
        <f t="shared" ca="1" si="216"/>
        <v>0.49951111111111113</v>
      </c>
      <c r="U71" s="10">
        <f t="shared" si="217"/>
        <v>0</v>
      </c>
      <c r="V71" s="10">
        <f t="shared" si="218"/>
        <v>0</v>
      </c>
      <c r="W71" s="10">
        <f t="shared" si="219"/>
        <v>0</v>
      </c>
      <c r="X71" s="10">
        <f t="shared" si="220"/>
        <v>0</v>
      </c>
      <c r="Y71" s="10">
        <f t="shared" si="221"/>
        <v>0</v>
      </c>
      <c r="Z71" s="10">
        <f t="shared" si="222"/>
        <v>0</v>
      </c>
      <c r="AA71" s="10">
        <f t="shared" si="223"/>
        <v>0</v>
      </c>
      <c r="AB71" s="8">
        <f t="shared" si="224"/>
        <v>0</v>
      </c>
      <c r="AC71" s="15">
        <f t="shared" si="225"/>
        <v>0</v>
      </c>
      <c r="AD71" s="15">
        <f t="shared" si="226"/>
        <v>0</v>
      </c>
      <c r="AE71" s="15">
        <f t="shared" si="227"/>
        <v>0</v>
      </c>
      <c r="AF71" s="15">
        <f t="shared" si="228"/>
        <v>0</v>
      </c>
      <c r="AG71" s="15">
        <f t="shared" si="229"/>
        <v>0</v>
      </c>
      <c r="AH71" s="15">
        <f t="shared" si="230"/>
        <v>0</v>
      </c>
      <c r="AI71" s="15">
        <f t="shared" si="231"/>
        <v>0</v>
      </c>
      <c r="AJ71" s="15">
        <f t="shared" si="232"/>
        <v>0</v>
      </c>
      <c r="AK71" s="15">
        <f t="shared" si="233"/>
        <v>0</v>
      </c>
      <c r="AL71" s="15">
        <f t="shared" si="234"/>
        <v>0</v>
      </c>
      <c r="AM71" s="15">
        <f t="shared" si="235"/>
        <v>0</v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>
        <f t="shared" si="247"/>
        <v>200</v>
      </c>
      <c r="AU71">
        <f t="shared" si="248"/>
        <v>0</v>
      </c>
      <c r="AV71">
        <f t="shared" si="242"/>
        <v>0</v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159</v>
      </c>
      <c r="BB71" t="str">
        <f t="shared" ref="BB71:BK71" si="251">IF(BB45="",IF(BB52="","",BB52),IF(BB52="",BB45*$BB$69,1/0))</f>
        <v/>
      </c>
      <c r="BC71" t="str">
        <f t="shared" si="251"/>
        <v/>
      </c>
      <c r="BD71">
        <f t="shared" si="251"/>
        <v>27631</v>
      </c>
      <c r="BE71" t="str">
        <f t="shared" si="251"/>
        <v/>
      </c>
      <c r="BF71">
        <f t="shared" si="251"/>
        <v>27631</v>
      </c>
      <c r="BG71" t="str">
        <f t="shared" si="251"/>
        <v/>
      </c>
      <c r="BH71" t="str">
        <f t="shared" si="251"/>
        <v/>
      </c>
      <c r="BI71" t="str">
        <f t="shared" si="251"/>
        <v/>
      </c>
      <c r="BJ71" t="str">
        <f t="shared" si="251"/>
        <v/>
      </c>
      <c r="BK71" t="str">
        <f t="shared" si="251"/>
        <v/>
      </c>
    </row>
    <row r="72" spans="2:63">
      <c r="B72" t="s">
        <v>110</v>
      </c>
      <c r="C72" s="10">
        <f ca="1">$C$39/C18*3</f>
        <v>1193971.86085273</v>
      </c>
      <c r="E72" s="4">
        <f t="shared" si="213"/>
        <v>1</v>
      </c>
      <c r="F72" s="19" t="s">
        <v>163</v>
      </c>
      <c r="G72" s="34">
        <v>200</v>
      </c>
      <c r="H72" s="35"/>
      <c r="I72" s="35"/>
      <c r="J72" s="36"/>
      <c r="K72" s="19">
        <v>5</v>
      </c>
      <c r="L72" s="37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-2.5</v>
      </c>
      <c r="S72" s="10">
        <f t="shared" si="215"/>
        <v>0</v>
      </c>
      <c r="T72" s="10">
        <f t="shared" ca="1" si="216"/>
        <v>0.49951111111111113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200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160</v>
      </c>
      <c r="BB72" t="str">
        <f t="shared" ref="BB72:BK72" si="252">IF(BB46="",IF(BB53="","",BB53),IF(BB53="",BB46*$BB$69,1/0))</f>
        <v/>
      </c>
      <c r="BC72" t="str">
        <f t="shared" si="252"/>
        <v/>
      </c>
      <c r="BD72">
        <f t="shared" si="252"/>
        <v>194181</v>
      </c>
      <c r="BE72" t="str">
        <f t="shared" si="252"/>
        <v/>
      </c>
      <c r="BF72">
        <f t="shared" si="252"/>
        <v>194181</v>
      </c>
      <c r="BG72" t="str">
        <f t="shared" si="252"/>
        <v/>
      </c>
      <c r="BH72" t="str">
        <f t="shared" si="252"/>
        <v/>
      </c>
      <c r="BI72" t="str">
        <f t="shared" si="252"/>
        <v/>
      </c>
      <c r="BJ72" t="str">
        <f t="shared" si="252"/>
        <v/>
      </c>
      <c r="BK72" t="str">
        <f t="shared" si="252"/>
        <v/>
      </c>
    </row>
    <row r="73" spans="2:63">
      <c r="B73" t="s">
        <v>111</v>
      </c>
      <c r="C73" s="10">
        <f ca="1">$C$39/C19*6</f>
        <v>124529.40342449186</v>
      </c>
      <c r="E73" s="4" t="str">
        <f t="shared" si="213"/>
        <v/>
      </c>
      <c r="F73" s="19" t="s">
        <v>181</v>
      </c>
      <c r="G73" s="34"/>
      <c r="H73" s="35"/>
      <c r="I73" s="35"/>
      <c r="J73" s="36"/>
      <c r="K73" s="19"/>
      <c r="L73" s="37"/>
      <c r="M73" s="19"/>
      <c r="N73" t="str">
        <f t="shared" si="244"/>
        <v/>
      </c>
      <c r="O73" t="str">
        <f t="shared" si="245"/>
        <v/>
      </c>
      <c r="P73" t="str">
        <f t="shared" si="92"/>
        <v/>
      </c>
      <c r="Q73" t="str">
        <f t="shared" si="246"/>
        <v/>
      </c>
      <c r="R73" s="10" t="str">
        <f t="shared" si="214"/>
        <v/>
      </c>
      <c r="S73" s="10" t="str">
        <f t="shared" si="215"/>
        <v/>
      </c>
      <c r="T73" s="10" t="str">
        <f t="shared" si="216"/>
        <v/>
      </c>
      <c r="U73" s="10" t="str">
        <f t="shared" si="217"/>
        <v/>
      </c>
      <c r="V73" s="10" t="str">
        <f t="shared" si="218"/>
        <v/>
      </c>
      <c r="W73" s="10" t="str">
        <f t="shared" si="219"/>
        <v/>
      </c>
      <c r="X73" s="10" t="str">
        <f t="shared" si="220"/>
        <v/>
      </c>
      <c r="Y73" s="10" t="str">
        <f t="shared" si="221"/>
        <v/>
      </c>
      <c r="Z73" s="10" t="str">
        <f t="shared" si="222"/>
        <v/>
      </c>
      <c r="AA73" s="10" t="str">
        <f t="shared" si="223"/>
        <v/>
      </c>
      <c r="AB73" s="8" t="str">
        <f t="shared" si="224"/>
        <v/>
      </c>
      <c r="AC73" s="15" t="str">
        <f t="shared" si="225"/>
        <v/>
      </c>
      <c r="AD73" s="15" t="str">
        <f t="shared" si="226"/>
        <v/>
      </c>
      <c r="AE73" s="15" t="str">
        <f t="shared" si="227"/>
        <v/>
      </c>
      <c r="AF73" s="15" t="str">
        <f t="shared" si="228"/>
        <v/>
      </c>
      <c r="AG73" s="15" t="str">
        <f t="shared" si="229"/>
        <v/>
      </c>
      <c r="AH73" s="15" t="str">
        <f t="shared" si="230"/>
        <v/>
      </c>
      <c r="AI73" s="15" t="str">
        <f t="shared" si="231"/>
        <v/>
      </c>
      <c r="AJ73" s="15" t="str">
        <f t="shared" si="232"/>
        <v/>
      </c>
      <c r="AK73" s="15" t="str">
        <f t="shared" si="233"/>
        <v/>
      </c>
      <c r="AL73" s="15" t="str">
        <f t="shared" si="234"/>
        <v/>
      </c>
      <c r="AM73" s="15" t="str">
        <f t="shared" si="235"/>
        <v/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 t="str">
        <f t="shared" si="247"/>
        <v/>
      </c>
      <c r="AU73" t="str">
        <f t="shared" si="248"/>
        <v/>
      </c>
      <c r="AV73" t="str">
        <f t="shared" si="242"/>
        <v/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161</v>
      </c>
      <c r="BB73" t="str">
        <f t="shared" ref="BB73:BK73" si="253">IF(BB47="",IF(BB54="","",BB54),IF(BB54="",BB47*$BB$69,1/0))</f>
        <v/>
      </c>
      <c r="BC73" t="str">
        <f t="shared" si="253"/>
        <v/>
      </c>
      <c r="BD73">
        <f t="shared" si="253"/>
        <v>78216</v>
      </c>
      <c r="BE73" t="str">
        <f t="shared" si="253"/>
        <v/>
      </c>
      <c r="BF73">
        <f t="shared" si="253"/>
        <v>78216</v>
      </c>
      <c r="BG73" t="str">
        <f t="shared" si="253"/>
        <v/>
      </c>
      <c r="BH73" t="str">
        <f t="shared" si="253"/>
        <v/>
      </c>
      <c r="BI73" t="str">
        <f t="shared" si="253"/>
        <v/>
      </c>
      <c r="BJ73" t="str">
        <f t="shared" si="253"/>
        <v/>
      </c>
      <c r="BK73" t="str">
        <f t="shared" si="253"/>
        <v/>
      </c>
    </row>
    <row r="74" spans="2:63">
      <c r="E74" s="4" t="str">
        <f t="shared" si="213"/>
        <v/>
      </c>
      <c r="F74" s="19" t="s">
        <v>182</v>
      </c>
      <c r="G74" s="34"/>
      <c r="H74" s="35"/>
      <c r="I74" s="35"/>
      <c r="J74" s="36"/>
      <c r="K74" s="19"/>
      <c r="L74" s="37"/>
      <c r="M74" s="19"/>
      <c r="N74" t="str">
        <f t="shared" si="244"/>
        <v/>
      </c>
      <c r="O74" t="str">
        <f t="shared" si="245"/>
        <v/>
      </c>
      <c r="P74" t="str">
        <f t="shared" si="92"/>
        <v/>
      </c>
      <c r="Q74" t="str">
        <f t="shared" si="246"/>
        <v/>
      </c>
      <c r="R74" s="10" t="str">
        <f t="shared" si="214"/>
        <v/>
      </c>
      <c r="S74" s="10" t="str">
        <f t="shared" si="215"/>
        <v/>
      </c>
      <c r="T74" s="10" t="str">
        <f t="shared" si="216"/>
        <v/>
      </c>
      <c r="U74" s="10" t="str">
        <f t="shared" si="217"/>
        <v/>
      </c>
      <c r="V74" s="10" t="str">
        <f t="shared" si="218"/>
        <v/>
      </c>
      <c r="W74" s="10" t="str">
        <f t="shared" si="219"/>
        <v/>
      </c>
      <c r="X74" s="10" t="str">
        <f t="shared" si="220"/>
        <v/>
      </c>
      <c r="Y74" s="10" t="str">
        <f t="shared" si="221"/>
        <v/>
      </c>
      <c r="Z74" s="10" t="str">
        <f t="shared" si="222"/>
        <v/>
      </c>
      <c r="AA74" s="10" t="str">
        <f t="shared" si="223"/>
        <v/>
      </c>
      <c r="AB74" s="8" t="str">
        <f t="shared" si="224"/>
        <v/>
      </c>
      <c r="AC74" s="15" t="str">
        <f t="shared" si="225"/>
        <v/>
      </c>
      <c r="AD74" s="15" t="str">
        <f t="shared" si="226"/>
        <v/>
      </c>
      <c r="AE74" s="15" t="str">
        <f t="shared" si="227"/>
        <v/>
      </c>
      <c r="AF74" s="15" t="str">
        <f t="shared" si="228"/>
        <v/>
      </c>
      <c r="AG74" s="15" t="str">
        <f t="shared" si="229"/>
        <v/>
      </c>
      <c r="AH74" s="15" t="str">
        <f t="shared" si="230"/>
        <v/>
      </c>
      <c r="AI74" s="15" t="str">
        <f t="shared" si="231"/>
        <v/>
      </c>
      <c r="AJ74" s="15" t="str">
        <f t="shared" si="232"/>
        <v/>
      </c>
      <c r="AK74" s="15" t="str">
        <f t="shared" si="233"/>
        <v/>
      </c>
      <c r="AL74" s="15" t="str">
        <f t="shared" si="234"/>
        <v/>
      </c>
      <c r="AM74" s="15" t="str">
        <f t="shared" si="235"/>
        <v/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 t="str">
        <f t="shared" si="247"/>
        <v/>
      </c>
      <c r="AU74" t="str">
        <f t="shared" si="248"/>
        <v/>
      </c>
      <c r="AV74" t="str">
        <f t="shared" si="242"/>
        <v/>
      </c>
      <c r="AW74" t="str">
        <f t="shared" si="243"/>
        <v/>
      </c>
      <c r="AX74" t="str">
        <f t="shared" si="249"/>
        <v/>
      </c>
      <c r="AY74" t="str">
        <f t="shared" si="54"/>
        <v/>
      </c>
      <c r="BA74" s="7" t="s">
        <v>162</v>
      </c>
      <c r="BB74">
        <f t="shared" ref="BB74:BK74" si="254">IF(BB48="",IF(BB55="","",BB55),IF(BB55="",BB48*$BB$69,1/0))</f>
        <v>0</v>
      </c>
      <c r="BC74">
        <f t="shared" si="254"/>
        <v>0</v>
      </c>
      <c r="BD74">
        <f t="shared" si="254"/>
        <v>0</v>
      </c>
      <c r="BE74">
        <f t="shared" si="254"/>
        <v>0</v>
      </c>
      <c r="BF74">
        <f t="shared" si="254"/>
        <v>0</v>
      </c>
      <c r="BG74" t="str">
        <f t="shared" si="254"/>
        <v/>
      </c>
      <c r="BH74" t="str">
        <f t="shared" si="254"/>
        <v/>
      </c>
      <c r="BI74" t="str">
        <f t="shared" si="254"/>
        <v/>
      </c>
      <c r="BJ74" t="str">
        <f t="shared" si="254"/>
        <v/>
      </c>
      <c r="BK74" t="str">
        <f t="shared" si="254"/>
        <v/>
      </c>
    </row>
    <row r="75" spans="2:63">
      <c r="B75" t="s">
        <v>84</v>
      </c>
      <c r="C75">
        <f ca="1">SUMIF(X:X,"&gt;0",X:X)/3</f>
        <v>5.7382594496523533E-2</v>
      </c>
      <c r="E75" s="4" t="str">
        <f t="shared" si="213"/>
        <v/>
      </c>
      <c r="F75" s="19" t="s">
        <v>183</v>
      </c>
      <c r="G75" s="34"/>
      <c r="H75" s="35"/>
      <c r="I75" s="35"/>
      <c r="J75" s="36"/>
      <c r="K75" s="19"/>
      <c r="L75" s="37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</row>
    <row r="76" spans="2:63">
      <c r="B76" t="s">
        <v>85</v>
      </c>
      <c r="C76">
        <f ca="1">SUMIF(Y:Y,"&gt;0",Y:Y)/3</f>
        <v>4.7521800000000003E-2</v>
      </c>
      <c r="E76" s="4">
        <f t="shared" si="213"/>
        <v>1</v>
      </c>
      <c r="F76" s="19" t="s">
        <v>168</v>
      </c>
      <c r="G76" s="34">
        <v>201</v>
      </c>
      <c r="H76" s="35"/>
      <c r="I76" s="35"/>
      <c r="J76" s="36"/>
      <c r="K76" s="19">
        <v>5</v>
      </c>
      <c r="L76" s="37"/>
      <c r="M76" s="19"/>
      <c r="N76" t="str">
        <f t="shared" si="244"/>
        <v/>
      </c>
      <c r="O76" t="str">
        <f t="shared" si="245"/>
        <v/>
      </c>
      <c r="P76">
        <f t="shared" si="92"/>
        <v>0</v>
      </c>
      <c r="Q76">
        <f t="shared" si="246"/>
        <v>1</v>
      </c>
      <c r="R76" s="10">
        <f t="shared" si="214"/>
        <v>-2.5</v>
      </c>
      <c r="S76" s="10">
        <f t="shared" si="215"/>
        <v>0</v>
      </c>
      <c r="T76" s="10">
        <f t="shared" si="216"/>
        <v>0</v>
      </c>
      <c r="U76" s="10">
        <f t="shared" ca="1" si="217"/>
        <v>1.9614242424242423</v>
      </c>
      <c r="V76" s="10">
        <f t="shared" si="218"/>
        <v>0</v>
      </c>
      <c r="W76" s="10">
        <f t="shared" si="219"/>
        <v>0</v>
      </c>
      <c r="X76" s="10">
        <f t="shared" si="220"/>
        <v>0</v>
      </c>
      <c r="Y76" s="10">
        <f t="shared" si="221"/>
        <v>0</v>
      </c>
      <c r="Z76" s="10">
        <f t="shared" si="222"/>
        <v>0</v>
      </c>
      <c r="AA76" s="10">
        <f t="shared" si="223"/>
        <v>0</v>
      </c>
      <c r="AB76" s="8">
        <f t="shared" si="224"/>
        <v>0</v>
      </c>
      <c r="AC76" s="15">
        <f t="shared" si="225"/>
        <v>0</v>
      </c>
      <c r="AD76" s="15">
        <f t="shared" si="226"/>
        <v>0</v>
      </c>
      <c r="AE76" s="15">
        <f t="shared" si="227"/>
        <v>0</v>
      </c>
      <c r="AF76" s="15">
        <f t="shared" si="228"/>
        <v>0</v>
      </c>
      <c r="AG76" s="15">
        <f t="shared" si="229"/>
        <v>0</v>
      </c>
      <c r="AH76" s="15">
        <f t="shared" si="230"/>
        <v>0</v>
      </c>
      <c r="AI76" s="15">
        <f t="shared" si="231"/>
        <v>0</v>
      </c>
      <c r="AJ76" s="15">
        <f t="shared" si="232"/>
        <v>0</v>
      </c>
      <c r="AK76" s="15">
        <f t="shared" si="233"/>
        <v>0</v>
      </c>
      <c r="AL76" s="15">
        <f t="shared" si="234"/>
        <v>0</v>
      </c>
      <c r="AM76" s="15">
        <f t="shared" si="235"/>
        <v>0</v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>
        <f t="shared" si="247"/>
        <v>201</v>
      </c>
      <c r="AU76">
        <f t="shared" si="248"/>
        <v>0</v>
      </c>
      <c r="AV76">
        <f t="shared" si="242"/>
        <v>0</v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t="s">
        <v>172</v>
      </c>
    </row>
    <row r="77" spans="2:63">
      <c r="B77" t="s">
        <v>86</v>
      </c>
      <c r="C77">
        <f ca="1">SUMIF(Z:Z,"&gt;0",Z:Z)/3</f>
        <v>3.9428100000000001E-2</v>
      </c>
      <c r="E77" s="4">
        <f t="shared" si="213"/>
        <v>1</v>
      </c>
      <c r="F77" s="19" t="s">
        <v>164</v>
      </c>
      <c r="G77" s="34">
        <v>202</v>
      </c>
      <c r="H77" s="35"/>
      <c r="I77" s="35"/>
      <c r="J77" s="36"/>
      <c r="K77" s="19">
        <v>5</v>
      </c>
      <c r="L77" s="37"/>
      <c r="M77" s="19"/>
      <c r="N77" t="str">
        <f t="shared" si="244"/>
        <v/>
      </c>
      <c r="O77" t="str">
        <f t="shared" si="245"/>
        <v/>
      </c>
      <c r="P77">
        <f t="shared" si="92"/>
        <v>0</v>
      </c>
      <c r="Q77">
        <f t="shared" si="246"/>
        <v>1</v>
      </c>
      <c r="R77" s="10">
        <f t="shared" si="214"/>
        <v>-2.5</v>
      </c>
      <c r="S77" s="10">
        <f t="shared" si="215"/>
        <v>0</v>
      </c>
      <c r="T77" s="10">
        <f t="shared" si="216"/>
        <v>0</v>
      </c>
      <c r="U77" s="10">
        <f t="shared" si="217"/>
        <v>0</v>
      </c>
      <c r="V77" s="10">
        <f t="shared" ca="1" si="218"/>
        <v>1.2205992509363295</v>
      </c>
      <c r="W77" s="10">
        <f t="shared" si="219"/>
        <v>0</v>
      </c>
      <c r="X77" s="10">
        <f t="shared" si="220"/>
        <v>0</v>
      </c>
      <c r="Y77" s="10">
        <f t="shared" si="221"/>
        <v>0</v>
      </c>
      <c r="Z77" s="10">
        <f t="shared" si="222"/>
        <v>0</v>
      </c>
      <c r="AA77" s="10">
        <f t="shared" si="223"/>
        <v>0</v>
      </c>
      <c r="AB77" s="8">
        <f t="shared" si="224"/>
        <v>0</v>
      </c>
      <c r="AC77" s="15">
        <f t="shared" si="225"/>
        <v>0</v>
      </c>
      <c r="AD77" s="15">
        <f t="shared" si="226"/>
        <v>0</v>
      </c>
      <c r="AE77" s="15">
        <f t="shared" si="227"/>
        <v>0</v>
      </c>
      <c r="AF77" s="15">
        <f t="shared" si="228"/>
        <v>0</v>
      </c>
      <c r="AG77" s="15">
        <f t="shared" si="229"/>
        <v>0</v>
      </c>
      <c r="AH77" s="15">
        <f t="shared" si="230"/>
        <v>0</v>
      </c>
      <c r="AI77" s="15">
        <f t="shared" si="231"/>
        <v>0</v>
      </c>
      <c r="AJ77" s="15">
        <f t="shared" si="232"/>
        <v>0</v>
      </c>
      <c r="AK77" s="15">
        <f t="shared" si="233"/>
        <v>0</v>
      </c>
      <c r="AL77" s="15">
        <f t="shared" si="234"/>
        <v>0</v>
      </c>
      <c r="AM77" s="15">
        <f t="shared" si="235"/>
        <v>0</v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>
        <f t="shared" si="247"/>
        <v>202</v>
      </c>
      <c r="AU77">
        <f t="shared" si="248"/>
        <v>0</v>
      </c>
      <c r="AV77">
        <f t="shared" si="242"/>
        <v>0</v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156</v>
      </c>
      <c r="BB77" s="6">
        <f t="shared" ref="BB77:BK77" si="256">BB70/3600/1000/INDEX($BN:$CM,MATCH("Density",$BN:$BN,0),MATCH($BA77,$BN$1:$CM$1,0))</f>
        <v>0.49951111111111113</v>
      </c>
      <c r="BC77" s="6" t="e">
        <f t="shared" si="256"/>
        <v>#VALUE!</v>
      </c>
      <c r="BD77" s="6" t="e">
        <f t="shared" si="256"/>
        <v>#VALUE!</v>
      </c>
      <c r="BE77" s="6">
        <f t="shared" si="256"/>
        <v>0.49951111111111113</v>
      </c>
      <c r="BF77" s="6">
        <f t="shared" si="256"/>
        <v>0.49951111111111113</v>
      </c>
      <c r="BG77" s="6" t="e">
        <f t="shared" si="256"/>
        <v>#VALUE!</v>
      </c>
      <c r="BH77" s="6" t="e">
        <f t="shared" si="256"/>
        <v>#VALUE!</v>
      </c>
      <c r="BI77" s="6" t="e">
        <f t="shared" si="256"/>
        <v>#VALUE!</v>
      </c>
      <c r="BJ77" s="6" t="e">
        <f t="shared" si="256"/>
        <v>#VALUE!</v>
      </c>
      <c r="BK77" s="6" t="e">
        <f t="shared" si="256"/>
        <v>#VALUE!</v>
      </c>
    </row>
    <row r="78" spans="2:63">
      <c r="B78" t="s">
        <v>87</v>
      </c>
      <c r="C78">
        <f ca="1">SUMIF(AA:AA,"&gt;0",AA:AA)/6</f>
        <v>1.8734531250000002E-2</v>
      </c>
      <c r="E78" s="4">
        <f t="shared" si="213"/>
        <v>1</v>
      </c>
      <c r="F78" s="19" t="s">
        <v>150</v>
      </c>
      <c r="G78" s="34">
        <v>203</v>
      </c>
      <c r="H78" s="35"/>
      <c r="I78" s="35"/>
      <c r="J78" s="36"/>
      <c r="K78" s="19">
        <v>5</v>
      </c>
      <c r="L78" s="37"/>
      <c r="M78" s="19"/>
      <c r="N78" t="str">
        <f t="shared" si="244"/>
        <v/>
      </c>
      <c r="O78" t="str">
        <f t="shared" si="245"/>
        <v/>
      </c>
      <c r="P78">
        <f t="shared" si="92"/>
        <v>0</v>
      </c>
      <c r="Q78">
        <f t="shared" si="246"/>
        <v>1</v>
      </c>
      <c r="R78" s="10">
        <f t="shared" si="214"/>
        <v>-2.5</v>
      </c>
      <c r="S78" s="10">
        <f t="shared" si="215"/>
        <v>0</v>
      </c>
      <c r="T78" s="10">
        <f t="shared" si="216"/>
        <v>0</v>
      </c>
      <c r="U78" s="10">
        <f t="shared" si="217"/>
        <v>0</v>
      </c>
      <c r="V78" s="10">
        <f t="shared" si="218"/>
        <v>0</v>
      </c>
      <c r="W78" s="10">
        <f t="shared" ca="1" si="219"/>
        <v>0.95940972222222221</v>
      </c>
      <c r="X78" s="10">
        <f t="shared" si="220"/>
        <v>0</v>
      </c>
      <c r="Y78" s="10">
        <f t="shared" si="221"/>
        <v>0</v>
      </c>
      <c r="Z78" s="10">
        <f t="shared" si="222"/>
        <v>0</v>
      </c>
      <c r="AA78" s="10">
        <f t="shared" si="223"/>
        <v>0</v>
      </c>
      <c r="AB78" s="8">
        <f t="shared" si="224"/>
        <v>0</v>
      </c>
      <c r="AC78" s="15">
        <f t="shared" si="225"/>
        <v>0</v>
      </c>
      <c r="AD78" s="15">
        <f t="shared" si="226"/>
        <v>0</v>
      </c>
      <c r="AE78" s="15">
        <f t="shared" si="227"/>
        <v>0</v>
      </c>
      <c r="AF78" s="15">
        <f t="shared" si="228"/>
        <v>0</v>
      </c>
      <c r="AG78" s="15">
        <f t="shared" si="229"/>
        <v>0</v>
      </c>
      <c r="AH78" s="15">
        <f t="shared" si="230"/>
        <v>0</v>
      </c>
      <c r="AI78" s="15">
        <f t="shared" si="231"/>
        <v>0</v>
      </c>
      <c r="AJ78" s="15">
        <f t="shared" si="232"/>
        <v>0</v>
      </c>
      <c r="AK78" s="15">
        <f t="shared" si="233"/>
        <v>0</v>
      </c>
      <c r="AL78" s="15">
        <f t="shared" si="234"/>
        <v>0</v>
      </c>
      <c r="AM78" s="15">
        <f t="shared" si="235"/>
        <v>0</v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>
        <f t="shared" si="247"/>
        <v>203</v>
      </c>
      <c r="AU78">
        <f t="shared" si="248"/>
        <v>0</v>
      </c>
      <c r="AV78">
        <f t="shared" si="242"/>
        <v>0</v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98</v>
      </c>
      <c r="BB78" s="6" t="e">
        <f t="shared" ref="BB78:BK78" si="257">BB71/3600/1000/INDEX($BN:$CM,MATCH("Density",$BN:$BN,0),MATCH($BA78,$BN$1:$CM$1,0))</f>
        <v>#VALUE!</v>
      </c>
      <c r="BC78" s="6" t="e">
        <f t="shared" si="257"/>
        <v>#VALUE!</v>
      </c>
      <c r="BD78" s="6">
        <f t="shared" si="257"/>
        <v>0.95940972222222221</v>
      </c>
      <c r="BE78" s="6" t="e">
        <f t="shared" si="257"/>
        <v>#VALUE!</v>
      </c>
      <c r="BF78" s="6">
        <f t="shared" si="257"/>
        <v>0.95940972222222221</v>
      </c>
      <c r="BG78" s="6" t="e">
        <f t="shared" si="257"/>
        <v>#VALUE!</v>
      </c>
      <c r="BH78" s="6" t="e">
        <f t="shared" si="257"/>
        <v>#VALUE!</v>
      </c>
      <c r="BI78" s="6" t="e">
        <f t="shared" si="257"/>
        <v>#VALUE!</v>
      </c>
      <c r="BJ78" s="6" t="e">
        <f t="shared" si="257"/>
        <v>#VALUE!</v>
      </c>
      <c r="BK78" s="6" t="e">
        <f t="shared" si="257"/>
        <v>#VALUE!</v>
      </c>
    </row>
    <row r="79" spans="2:63">
      <c r="E79" s="4">
        <f t="shared" si="213"/>
        <v>1</v>
      </c>
      <c r="F79" s="19" t="s">
        <v>169</v>
      </c>
      <c r="G79" s="34">
        <v>204</v>
      </c>
      <c r="H79" s="35"/>
      <c r="I79" s="35"/>
      <c r="J79" s="36"/>
      <c r="K79" s="19">
        <v>5</v>
      </c>
      <c r="L79" s="37"/>
      <c r="M79" s="19"/>
      <c r="N79" t="str">
        <f t="shared" si="244"/>
        <v/>
      </c>
      <c r="O79" t="str">
        <f t="shared" si="245"/>
        <v/>
      </c>
      <c r="P79">
        <f t="shared" si="92"/>
        <v>0</v>
      </c>
      <c r="Q79">
        <f t="shared" si="246"/>
        <v>1</v>
      </c>
      <c r="R79" s="10">
        <f t="shared" si="214"/>
        <v>-2.5</v>
      </c>
      <c r="S79" s="10">
        <f t="shared" si="215"/>
        <v>0</v>
      </c>
      <c r="T79" s="10">
        <f t="shared" si="216"/>
        <v>0</v>
      </c>
      <c r="U79" s="10">
        <f t="shared" si="217"/>
        <v>0</v>
      </c>
      <c r="V79" s="10">
        <f t="shared" si="218"/>
        <v>0</v>
      </c>
      <c r="W79" s="10">
        <f t="shared" si="219"/>
        <v>0</v>
      </c>
      <c r="X79" s="10">
        <f t="shared" si="220"/>
        <v>0</v>
      </c>
      <c r="Y79" s="10">
        <f t="shared" si="221"/>
        <v>0</v>
      </c>
      <c r="Z79" s="10">
        <f t="shared" si="222"/>
        <v>0</v>
      </c>
      <c r="AA79" s="10">
        <f t="shared" si="223"/>
        <v>0</v>
      </c>
      <c r="AB79" s="8">
        <f t="shared" si="224"/>
        <v>0</v>
      </c>
      <c r="AC79" s="15">
        <f t="shared" si="225"/>
        <v>0</v>
      </c>
      <c r="AD79" s="15">
        <f t="shared" si="226"/>
        <v>0</v>
      </c>
      <c r="AE79" s="15">
        <f t="shared" si="227"/>
        <v>0</v>
      </c>
      <c r="AF79" s="15">
        <f t="shared" si="228"/>
        <v>0</v>
      </c>
      <c r="AG79" s="15">
        <f t="shared" si="229"/>
        <v>0</v>
      </c>
      <c r="AH79" s="15">
        <f t="shared" si="230"/>
        <v>0</v>
      </c>
      <c r="AI79" s="15">
        <f t="shared" si="231"/>
        <v>0</v>
      </c>
      <c r="AJ79" s="15">
        <f t="shared" ca="1" si="232"/>
        <v>0</v>
      </c>
      <c r="AK79" s="15">
        <f t="shared" si="233"/>
        <v>0</v>
      </c>
      <c r="AL79" s="15">
        <f t="shared" si="234"/>
        <v>0</v>
      </c>
      <c r="AM79" s="15">
        <f t="shared" si="235"/>
        <v>0</v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>
        <f t="shared" si="247"/>
        <v>204</v>
      </c>
      <c r="AU79">
        <f t="shared" si="248"/>
        <v>0</v>
      </c>
      <c r="AV79">
        <f t="shared" si="242"/>
        <v>0</v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112</v>
      </c>
      <c r="BB79" s="6" t="e">
        <f t="shared" ref="BB79:BK79" si="258">BB72/3600/1000/INDEX($BN:$CM,MATCH("Density",$BN:$BN,0),MATCH($BA79,$BN$1:$CM$1,0))</f>
        <v>#VALUE!</v>
      </c>
      <c r="BC79" s="6" t="e">
        <f t="shared" si="258"/>
        <v>#VALUE!</v>
      </c>
      <c r="BD79" s="6">
        <f t="shared" si="258"/>
        <v>1.9614242424242423</v>
      </c>
      <c r="BE79" s="6" t="e">
        <f t="shared" si="258"/>
        <v>#VALUE!</v>
      </c>
      <c r="BF79" s="6">
        <f t="shared" si="258"/>
        <v>1.9614242424242423</v>
      </c>
      <c r="BG79" s="6" t="e">
        <f t="shared" si="258"/>
        <v>#VALUE!</v>
      </c>
      <c r="BH79" s="6" t="e">
        <f t="shared" si="258"/>
        <v>#VALUE!</v>
      </c>
      <c r="BI79" s="6" t="e">
        <f t="shared" si="258"/>
        <v>#VALUE!</v>
      </c>
      <c r="BJ79" s="6" t="e">
        <f t="shared" si="258"/>
        <v>#VALUE!</v>
      </c>
      <c r="BK79" s="6" t="e">
        <f t="shared" si="258"/>
        <v>#VALUE!</v>
      </c>
    </row>
    <row r="80" spans="2:63">
      <c r="B80" t="s">
        <v>207</v>
      </c>
      <c r="C80" s="10">
        <f ca="1">SUMIF(U:U,"&lt;0")*60*60*6</f>
        <v>-12393</v>
      </c>
      <c r="E80" s="4" t="str">
        <f t="shared" si="213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113</v>
      </c>
      <c r="BB80" s="6" t="e">
        <f t="shared" ref="BB80:BK80" si="259">BB73/3600/1000/INDEX($BN:$CM,MATCH("Density",$BN:$BN,0),MATCH($BA80,$BN$1:$CM$1,0))</f>
        <v>#VALUE!</v>
      </c>
      <c r="BC80" s="6" t="e">
        <f t="shared" si="259"/>
        <v>#VALUE!</v>
      </c>
      <c r="BD80" s="6">
        <f t="shared" si="259"/>
        <v>1.2205992509363295</v>
      </c>
      <c r="BE80" s="6" t="e">
        <f t="shared" si="259"/>
        <v>#VALUE!</v>
      </c>
      <c r="BF80" s="6">
        <f t="shared" si="259"/>
        <v>1.2205992509363295</v>
      </c>
      <c r="BG80" s="6" t="e">
        <f t="shared" si="259"/>
        <v>#VALUE!</v>
      </c>
      <c r="BH80" s="6" t="e">
        <f t="shared" si="259"/>
        <v>#VALUE!</v>
      </c>
      <c r="BI80" s="6" t="e">
        <f t="shared" si="259"/>
        <v>#VALUE!</v>
      </c>
      <c r="BJ80" s="6" t="e">
        <f t="shared" si="259"/>
        <v>#VALUE!</v>
      </c>
      <c r="BK80" s="6" t="e">
        <f t="shared" si="259"/>
        <v>#VALUE!</v>
      </c>
    </row>
    <row r="81" spans="2:63">
      <c r="B81" t="s">
        <v>208</v>
      </c>
      <c r="C81" s="10">
        <f ca="1">SUMIF(V:V,"&lt;0")*60*60*6</f>
        <v>-12393</v>
      </c>
      <c r="E81" s="4" t="str">
        <f t="shared" si="213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  <c r="BA81" s="7" t="s">
        <v>72</v>
      </c>
      <c r="BB81" s="6">
        <f t="shared" ref="BB81:BK81" si="260">BB74/3600/1000/INDEX($BN:$CM,MATCH("Density",$BN:$BN,0),MATCH($BA81,$BN$1:$CM$1,0))</f>
        <v>0</v>
      </c>
      <c r="BC81" s="6">
        <f t="shared" si="260"/>
        <v>0</v>
      </c>
      <c r="BD81" s="6">
        <f t="shared" si="260"/>
        <v>0</v>
      </c>
      <c r="BE81" s="6">
        <f t="shared" si="260"/>
        <v>0</v>
      </c>
      <c r="BF81" s="6">
        <f t="shared" si="260"/>
        <v>0</v>
      </c>
      <c r="BG81" s="6" t="e">
        <f t="shared" si="260"/>
        <v>#VALUE!</v>
      </c>
      <c r="BH81" s="6" t="e">
        <f t="shared" si="260"/>
        <v>#VALUE!</v>
      </c>
      <c r="BI81" s="6" t="e">
        <f t="shared" si="260"/>
        <v>#VALUE!</v>
      </c>
      <c r="BJ81" s="6" t="e">
        <f t="shared" si="260"/>
        <v>#VALUE!</v>
      </c>
      <c r="BK81" s="6" t="e">
        <f t="shared" si="260"/>
        <v>#VALUE!</v>
      </c>
    </row>
    <row r="82" spans="2:63">
      <c r="B82" t="s">
        <v>209</v>
      </c>
      <c r="C82" s="10">
        <f ca="1">SUMIF(W:W,"&lt;0")*60*60*6</f>
        <v>-19081.285714285714</v>
      </c>
      <c r="E82" s="4" t="str">
        <f t="shared" si="213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2:63">
      <c r="B83" t="s">
        <v>211</v>
      </c>
      <c r="C83" s="10">
        <f ca="1">SUMIF(AJ:AJ,"&lt;0")*60*60*6</f>
        <v>-43.752057715724916</v>
      </c>
      <c r="E83" s="4" t="str">
        <f t="shared" si="213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2:63">
      <c r="E84" s="4" t="str">
        <f t="shared" si="213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2:63">
      <c r="E85" s="4" t="str">
        <f t="shared" si="213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2:63">
      <c r="E86" s="4" t="str">
        <f t="shared" si="213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2:63">
      <c r="E87" s="4" t="str">
        <f t="shared" si="213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2:63">
      <c r="E88" s="4" t="str">
        <f t="shared" si="213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2:63">
      <c r="E89" s="4" t="str">
        <f t="shared" si="213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2:63">
      <c r="E90" s="4" t="str">
        <f t="shared" si="213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2:63">
      <c r="E91" s="4" t="str">
        <f t="shared" si="213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2:63">
      <c r="E92" s="4" t="str">
        <f t="shared" si="213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2:63">
      <c r="E93" s="4" t="str">
        <f t="shared" si="213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2:63">
      <c r="E94" s="4" t="str">
        <f t="shared" si="213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2:63">
      <c r="E95" s="4" t="str">
        <f t="shared" si="213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2:63">
      <c r="E96" s="4" t="str">
        <f t="shared" si="213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206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6">
    <mergeCell ref="B3:C3"/>
    <mergeCell ref="B54:C54"/>
    <mergeCell ref="B1:C1"/>
    <mergeCell ref="B37:C37"/>
    <mergeCell ref="B7:B9"/>
    <mergeCell ref="C7:C9"/>
  </mergeCells>
  <conditionalFormatting sqref="E1:E1048576">
    <cfRule type="cellIs" dxfId="6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2" stopIfTrue="1" operator="equal">
      <formula>""</formula>
    </cfRule>
    <cfRule type="cellIs" dxfId="5" priority="3" operator="lessThanOrEqual">
      <formula>0</formula>
    </cfRule>
    <cfRule type="cellIs" dxfId="4" priority="20" operator="greaterThan">
      <formula>0</formula>
    </cfRule>
  </conditionalFormatting>
  <conditionalFormatting sqref="C23:C25 C31:C33 C10:C21 BB11:BK26 BL13:BL26">
    <cfRule type="cellIs" priority="1" stopIfTrue="1" operator="equal">
      <formula>""</formula>
    </cfRule>
    <cfRule type="cellIs" dxfId="3" priority="7" operator="greaterThanOrEqual">
      <formula>0</formula>
    </cfRule>
    <cfRule type="cellIs" dxfId="2" priority="28" operator="lessThan">
      <formula>0</formula>
    </cfRule>
  </conditionalFormatting>
  <conditionalFormatting sqref="BB51:BK55">
    <cfRule type="expression" dxfId="1" priority="44">
      <formula>IFERROR(BB70,-1)&lt;0</formula>
    </cfRule>
  </conditionalFormatting>
  <conditionalFormatting sqref="BB44:BK48">
    <cfRule type="expression" dxfId="0" priority="45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G7"/>
  <sheetViews>
    <sheetView workbookViewId="0">
      <selection activeCell="F7" sqref="F7"/>
    </sheetView>
  </sheetViews>
  <sheetFormatPr baseColWidth="10" defaultRowHeight="15"/>
  <sheetData>
    <row r="3" spans="2:7"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</row>
    <row r="4" spans="2:7">
      <c r="B4">
        <v>1</v>
      </c>
      <c r="C4">
        <v>16</v>
      </c>
      <c r="D4">
        <f>C4+60*B4</f>
        <v>76</v>
      </c>
      <c r="E4">
        <v>962</v>
      </c>
    </row>
    <row r="5" spans="2:7">
      <c r="B5">
        <v>10</v>
      </c>
      <c r="C5">
        <v>28</v>
      </c>
      <c r="D5">
        <f>C5+60*B5</f>
        <v>628</v>
      </c>
      <c r="E5">
        <v>971</v>
      </c>
      <c r="F5">
        <f>D5-D4</f>
        <v>552</v>
      </c>
      <c r="G5">
        <f>E5-E4</f>
        <v>9</v>
      </c>
    </row>
    <row r="6" spans="2:7">
      <c r="B6">
        <v>14</v>
      </c>
      <c r="C6">
        <v>39</v>
      </c>
      <c r="D6">
        <f>C6+60*B6</f>
        <v>879</v>
      </c>
      <c r="E6">
        <v>975</v>
      </c>
    </row>
    <row r="7" spans="2:7">
      <c r="B7">
        <v>23</v>
      </c>
      <c r="C7">
        <v>45</v>
      </c>
      <c r="D7">
        <f>C7+60*B7</f>
        <v>1425</v>
      </c>
      <c r="E7">
        <v>985</v>
      </c>
      <c r="F7" t="s">
        <v>219</v>
      </c>
      <c r="G7">
        <f>E7-E6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USI_Efficiency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2014-09-14T14:29:32Z</dcterms:modified>
</cp:coreProperties>
</file>