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ssein.sharifi\PycharmProjects\pyqtdesigner\temp\"/>
    </mc:Choice>
  </mc:AlternateContent>
  <bookViews>
    <workbookView xWindow="0" yWindow="0" windowWidth="20400" windowHeight="7755"/>
  </bookViews>
  <sheets>
    <sheet name="محاسبات راندمان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N2" i="2"/>
  <c r="D3" i="3" l="1"/>
  <c r="D4" i="3"/>
  <c r="D5" i="3"/>
  <c r="D6" i="3"/>
  <c r="D7" i="3"/>
  <c r="D8" i="3"/>
  <c r="D9" i="3"/>
  <c r="D10" i="3"/>
  <c r="D2" i="3"/>
  <c r="C7" i="2" l="1"/>
  <c r="E7" i="2"/>
  <c r="L7" i="2"/>
  <c r="L9" i="2"/>
  <c r="M9" i="2"/>
  <c r="J45" i="2" l="1"/>
  <c r="K33" i="2"/>
  <c r="K34" i="2"/>
  <c r="K35" i="2"/>
  <c r="K36" i="2"/>
  <c r="K37" i="2"/>
  <c r="K38" i="2"/>
  <c r="K39" i="2"/>
  <c r="K40" i="2"/>
  <c r="K41" i="2"/>
  <c r="K42" i="2"/>
  <c r="K32" i="2"/>
  <c r="B52" i="2"/>
  <c r="C55" i="2" s="1"/>
  <c r="B45" i="2"/>
  <c r="D48" i="2" s="1"/>
  <c r="D55" i="2" l="1"/>
  <c r="I47" i="2"/>
  <c r="J5" i="2" s="1"/>
  <c r="J7" i="2" s="1"/>
  <c r="A48" i="2"/>
  <c r="B48" i="2"/>
  <c r="C48" i="2"/>
  <c r="B55" i="2"/>
  <c r="A55" i="2"/>
  <c r="E4" i="2"/>
  <c r="E9" i="2" s="1"/>
  <c r="C4" i="2"/>
  <c r="C9" i="2" s="1"/>
  <c r="K4" i="2"/>
  <c r="K9" i="2" s="1"/>
  <c r="K7" i="2" s="1"/>
  <c r="J4" i="2"/>
  <c r="J9" i="2" s="1"/>
  <c r="I4" i="2"/>
  <c r="I9" i="2" s="1"/>
  <c r="I7" i="2" s="1"/>
  <c r="H4" i="2"/>
  <c r="H9" i="2" s="1"/>
  <c r="H7" i="2" s="1"/>
  <c r="G4" i="2"/>
  <c r="G9" i="2" s="1"/>
  <c r="G7" i="2" s="1"/>
  <c r="F4" i="2"/>
  <c r="F9" i="2" s="1"/>
  <c r="F7" i="2" s="1"/>
  <c r="D4" i="2"/>
  <c r="D9" i="2" s="1"/>
  <c r="D7" i="2" s="1"/>
  <c r="B4" i="2"/>
  <c r="B9" i="2" l="1"/>
  <c r="B7" i="2" s="1"/>
  <c r="Q7" i="2"/>
  <c r="Q6" i="2"/>
  <c r="N7" i="2"/>
  <c r="N9" i="2"/>
  <c r="C6" i="2" s="1"/>
  <c r="L17" i="2"/>
  <c r="G17" i="2"/>
  <c r="B23" i="2"/>
  <c r="N14" i="2"/>
  <c r="N5" i="2"/>
  <c r="N13" i="2"/>
  <c r="J17" i="2" l="1"/>
  <c r="J6" i="2"/>
  <c r="F6" i="2"/>
  <c r="O7" i="2"/>
  <c r="D8" i="2"/>
  <c r="F8" i="2"/>
  <c r="H8" i="2"/>
  <c r="L8" i="2"/>
  <c r="B8" i="2"/>
  <c r="C8" i="2"/>
  <c r="E8" i="2"/>
  <c r="G8" i="2"/>
  <c r="I8" i="2"/>
  <c r="K8" i="2"/>
  <c r="M8" i="2"/>
  <c r="J8" i="2"/>
  <c r="M6" i="2"/>
  <c r="L6" i="2"/>
  <c r="K6" i="2"/>
  <c r="G6" i="2"/>
  <c r="H6" i="2"/>
  <c r="B6" i="2"/>
  <c r="E6" i="2"/>
  <c r="I6" i="2"/>
  <c r="D6" i="2"/>
  <c r="B15" i="2"/>
  <c r="B18" i="2" l="1"/>
  <c r="B19" i="2" s="1"/>
  <c r="I3" i="2" s="1"/>
  <c r="B17" i="2"/>
  <c r="N10" i="2"/>
  <c r="N6" i="2"/>
  <c r="L3" i="2" l="1"/>
  <c r="O11" i="2"/>
  <c r="O15" i="2" s="1"/>
  <c r="O14" i="2"/>
  <c r="O10" i="2"/>
  <c r="P10" i="2" s="1"/>
  <c r="P11" i="2" s="1"/>
  <c r="A47" i="2"/>
  <c r="C17" i="2"/>
  <c r="B20" i="2" l="1"/>
  <c r="B21" i="2" s="1"/>
  <c r="K3" i="2"/>
  <c r="B47" i="2"/>
  <c r="A54" i="2"/>
  <c r="A56" i="2" s="1"/>
  <c r="A49" i="2"/>
  <c r="Q3" i="2" l="1"/>
  <c r="Q4" i="2" s="1"/>
  <c r="O5" i="2"/>
  <c r="O19" i="2" s="1"/>
  <c r="C47" i="2"/>
  <c r="B54" i="2"/>
  <c r="B49" i="2"/>
  <c r="B56" i="2" l="1"/>
  <c r="C54" i="2"/>
  <c r="C56" i="2" s="1"/>
  <c r="C49" i="2"/>
  <c r="E49" i="2" s="1"/>
  <c r="E47" i="2"/>
  <c r="E54" i="2" l="1"/>
  <c r="E56" i="2"/>
  <c r="B22" i="2" l="1"/>
  <c r="B24" i="2" s="1"/>
  <c r="B25" i="2" s="1"/>
</calcChain>
</file>

<file path=xl/sharedStrings.xml><?xml version="1.0" encoding="utf-8"?>
<sst xmlns="http://schemas.openxmlformats.org/spreadsheetml/2006/main" count="77" uniqueCount="69">
  <si>
    <t>CH4</t>
  </si>
  <si>
    <t>C2H6</t>
  </si>
  <si>
    <t>C3H8</t>
  </si>
  <si>
    <t>C4H10</t>
  </si>
  <si>
    <t>C5H12</t>
  </si>
  <si>
    <t>CO2</t>
  </si>
  <si>
    <t>N2</t>
  </si>
  <si>
    <t>H2O</t>
  </si>
  <si>
    <t>درصد مولی</t>
  </si>
  <si>
    <t>دمای دودکش</t>
  </si>
  <si>
    <t>درصد جرمی</t>
  </si>
  <si>
    <t>جرم سوخت</t>
  </si>
  <si>
    <t>جرم آب</t>
  </si>
  <si>
    <t>راندمان</t>
  </si>
  <si>
    <t>µH2OF(جرم آب به جرم سوخت)</t>
  </si>
  <si>
    <t>µGd(جرم گازهای خشک به جرم سوخت)</t>
  </si>
  <si>
    <t>جرم گازهای دودکش خشک</t>
  </si>
  <si>
    <t>ارزش حرارتی بالا  (kj/kg)</t>
  </si>
  <si>
    <t>C2H4</t>
  </si>
  <si>
    <t>C3H6</t>
  </si>
  <si>
    <t>دانسیته (kg/m3)</t>
  </si>
  <si>
    <t>مجموع</t>
  </si>
  <si>
    <t>گرمای اتلافی دودکش (kj/kg)</t>
  </si>
  <si>
    <t>دمای محیط</t>
  </si>
  <si>
    <r>
      <t>نسبت هوا (</t>
    </r>
    <r>
      <rPr>
        <sz val="14"/>
        <color theme="1"/>
        <rFont val="Cambria"/>
        <family val="1"/>
      </rPr>
      <t>λ</t>
    </r>
    <r>
      <rPr>
        <sz val="14"/>
        <color theme="1"/>
        <rFont val="B Nazanin"/>
        <charset val="178"/>
      </rPr>
      <t>)</t>
    </r>
  </si>
  <si>
    <t>Specific Heat</t>
  </si>
  <si>
    <t>گرمای ويژه</t>
  </si>
  <si>
    <r>
      <t>Spec.Heat at Constant Press.(kj/ｍ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・Ｋ)</t>
    </r>
  </si>
  <si>
    <t>گرمای ويژه در فشار ثابت</t>
  </si>
  <si>
    <t>Temp</t>
  </si>
  <si>
    <t>ＣＯ2</t>
  </si>
  <si>
    <t>Ｏ2</t>
  </si>
  <si>
    <t>Ｎ2</t>
  </si>
  <si>
    <t>Ｈ2Ｏ</t>
  </si>
  <si>
    <t>CO</t>
  </si>
  <si>
    <t xml:space="preserve">گرمای ويژه گازهای اگزوز در دماي محل </t>
  </si>
  <si>
    <t>　Temp</t>
  </si>
  <si>
    <r>
      <t>ＣＯ</t>
    </r>
    <r>
      <rPr>
        <vertAlign val="subscript"/>
        <sz val="11"/>
        <rFont val="Times New Roman"/>
        <family val="1"/>
      </rPr>
      <t>2</t>
    </r>
  </si>
  <si>
    <r>
      <t>Ｏ</t>
    </r>
    <r>
      <rPr>
        <vertAlign val="subscript"/>
        <sz val="11"/>
        <rFont val="Times New Roman"/>
        <family val="1"/>
      </rPr>
      <t>2</t>
    </r>
  </si>
  <si>
    <r>
      <t>Ｎ</t>
    </r>
    <r>
      <rPr>
        <vertAlign val="subscript"/>
        <sz val="11"/>
        <rFont val="Times New Roman"/>
        <family val="1"/>
      </rPr>
      <t>2</t>
    </r>
  </si>
  <si>
    <r>
      <t>Ｈ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Ｏ</t>
    </r>
  </si>
  <si>
    <t>Total</t>
  </si>
  <si>
    <t>گرمای ويژه گازهای اگزوز قبل از پيشگرمكن</t>
  </si>
  <si>
    <t>O2</t>
  </si>
  <si>
    <t>دانسیته بخار آب در دمای گازهای دودکش</t>
  </si>
  <si>
    <t>ترکیب سوخت (%)</t>
  </si>
  <si>
    <t>ترکیب گاز خروجی از دودکش  (%)</t>
  </si>
  <si>
    <t>دما</t>
  </si>
  <si>
    <t>حجم مخصوص (m3/kg)</t>
  </si>
  <si>
    <t>حجم مخصوص (kg/m3)</t>
  </si>
  <si>
    <t>ظرفیت گرمایی ویژه گازهای دودکش (kj/kg.K)</t>
  </si>
  <si>
    <t>ظرفیت گرمایی ویژه بخار آب (kj/kg.K)</t>
  </si>
  <si>
    <t>G0</t>
  </si>
  <si>
    <t>A0</t>
  </si>
  <si>
    <t>Gwf</t>
  </si>
  <si>
    <t>G'0</t>
  </si>
  <si>
    <t>CO2 max</t>
  </si>
  <si>
    <t xml:space="preserve">CO2 </t>
  </si>
  <si>
    <t xml:space="preserve">  (%) O2</t>
  </si>
  <si>
    <t>دانسیته گازهای خروجی از دودکش</t>
  </si>
  <si>
    <t>O2 (%)</t>
  </si>
  <si>
    <t>FT (C)-100%</t>
  </si>
  <si>
    <t>FT (C)-30%</t>
  </si>
  <si>
    <t>درصد حجمی</t>
  </si>
  <si>
    <t>جرم</t>
  </si>
  <si>
    <t>حجم</t>
  </si>
  <si>
    <t>x</t>
  </si>
  <si>
    <t>y</t>
  </si>
  <si>
    <t>CO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</si>
</sst>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#,##0.0000_);[Red]\(#,##0.0000\)"/>
    <numFmt numFmtId="166" formatCode="0.0000_ "/>
  </numFmts>
  <fonts count="16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4"/>
      <color theme="1"/>
      <name val="Cambria"/>
      <family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vertAlign val="superscript"/>
      <sz val="11"/>
      <name val="Times New Roman"/>
      <family val="1"/>
    </font>
    <font>
      <sz val="12"/>
      <name val="Times New Roman"/>
      <family val="1"/>
    </font>
    <font>
      <sz val="10"/>
      <color indexed="12"/>
      <name val="Arial"/>
      <family val="2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10"/>
      <name val="Arial"/>
      <family val="2"/>
    </font>
    <font>
      <b/>
      <sz val="12"/>
      <name val="B Nazanin"/>
      <charset val="178"/>
    </font>
    <font>
      <b/>
      <sz val="11"/>
      <color theme="1"/>
      <name val="B Nazanin"/>
      <charset val="178"/>
    </font>
    <font>
      <sz val="14"/>
      <color theme="1"/>
      <name val="Calibri Light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9" fillId="7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/>
    <xf numFmtId="166" fontId="4" fillId="10" borderId="1" xfId="0" applyNumberFormat="1" applyFont="1" applyFill="1" applyBorder="1" applyAlignment="1">
      <alignment horizontal="center"/>
    </xf>
    <xf numFmtId="166" fontId="4" fillId="10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1" applyFont="1" applyFill="1"/>
    <xf numFmtId="0" fontId="5" fillId="0" borderId="0" xfId="0" applyFont="1" applyAlignment="1">
      <alignment horizontal="center"/>
    </xf>
  </cellXfs>
  <cellStyles count="2">
    <cellStyle name="Normal" xfId="0" builtinId="0"/>
    <cellStyle name="標準_熱精算計算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268</c:v>
                </c:pt>
                <c:pt idx="1">
                  <c:v>261</c:v>
                </c:pt>
                <c:pt idx="2">
                  <c:v>253</c:v>
                </c:pt>
                <c:pt idx="3">
                  <c:v>239</c:v>
                </c:pt>
                <c:pt idx="4">
                  <c:v>221</c:v>
                </c:pt>
                <c:pt idx="5">
                  <c:v>201</c:v>
                </c:pt>
                <c:pt idx="6">
                  <c:v>182.5</c:v>
                </c:pt>
                <c:pt idx="7">
                  <c:v>159.9</c:v>
                </c:pt>
                <c:pt idx="8">
                  <c:v>133.5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293</c:v>
                </c:pt>
                <c:pt idx="1">
                  <c:v>285.5</c:v>
                </c:pt>
                <c:pt idx="2">
                  <c:v>280</c:v>
                </c:pt>
                <c:pt idx="3">
                  <c:v>263</c:v>
                </c:pt>
                <c:pt idx="4">
                  <c:v>242.5</c:v>
                </c:pt>
                <c:pt idx="5">
                  <c:v>224</c:v>
                </c:pt>
                <c:pt idx="6">
                  <c:v>200</c:v>
                </c:pt>
                <c:pt idx="7">
                  <c:v>176</c:v>
                </c:pt>
                <c:pt idx="8">
                  <c:v>147.69999999999999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0336"/>
        <c:axId val="155040896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74</c:v>
                </c:pt>
                <c:pt idx="4">
                  <c:v>66</c:v>
                </c:pt>
                <c:pt idx="5">
                  <c:v>57</c:v>
                </c:pt>
                <c:pt idx="6">
                  <c:v>48</c:v>
                </c:pt>
                <c:pt idx="7">
                  <c:v>39</c:v>
                </c:pt>
                <c:pt idx="8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6"/>
        <c:axId val="155041456"/>
      </c:scatterChart>
      <c:valAx>
        <c:axId val="15504033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0896"/>
        <c:crosses val="autoZero"/>
        <c:crossBetween val="midCat"/>
        <c:majorUnit val="1"/>
      </c:valAx>
      <c:valAx>
        <c:axId val="1550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0336"/>
        <c:crosses val="autoZero"/>
        <c:crossBetween val="midCat"/>
        <c:majorUnit val="20"/>
      </c:valAx>
      <c:valAx>
        <c:axId val="15504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2016"/>
        <c:crosses val="max"/>
        <c:crossBetween val="midCat"/>
      </c:valAx>
      <c:valAx>
        <c:axId val="1550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14286</xdr:rowOff>
    </xdr:from>
    <xdr:to>
      <xdr:col>13</xdr:col>
      <xdr:colOff>19050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rightToLeft="1" tabSelected="1" zoomScale="90" zoomScaleNormal="90" workbookViewId="0">
      <selection activeCell="O11" sqref="O11"/>
    </sheetView>
  </sheetViews>
  <sheetFormatPr defaultRowHeight="15"/>
  <cols>
    <col min="1" max="1" width="42.28515625" bestFit="1" customWidth="1"/>
    <col min="10" max="11" width="18" bestFit="1" customWidth="1"/>
    <col min="15" max="15" width="31" bestFit="1" customWidth="1"/>
  </cols>
  <sheetData>
    <row r="1" spans="1:17" ht="22.5">
      <c r="A1" s="1"/>
      <c r="B1" s="1" t="s">
        <v>0</v>
      </c>
      <c r="C1" s="1" t="s">
        <v>18</v>
      </c>
      <c r="D1" s="1" t="s">
        <v>1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43</v>
      </c>
      <c r="M1" s="1" t="s">
        <v>34</v>
      </c>
      <c r="N1" s="1" t="s">
        <v>21</v>
      </c>
    </row>
    <row r="2" spans="1:17" ht="22.5">
      <c r="A2" s="2" t="s">
        <v>45</v>
      </c>
      <c r="B2" s="2">
        <v>100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1">
        <f>SUM(B2:L2)</f>
        <v>100</v>
      </c>
    </row>
    <row r="3" spans="1:17" ht="22.5">
      <c r="A3" s="2" t="s">
        <v>46</v>
      </c>
      <c r="B3" s="32"/>
      <c r="C3" s="33"/>
      <c r="D3" s="33"/>
      <c r="E3" s="33"/>
      <c r="F3" s="33"/>
      <c r="G3" s="33"/>
      <c r="H3" s="34"/>
      <c r="I3" s="24">
        <f>B19</f>
        <v>7.8247261345852888</v>
      </c>
      <c r="J3" s="24"/>
      <c r="K3" s="24">
        <f>100-(I3+L3+M3)</f>
        <v>85.685050691228298</v>
      </c>
      <c r="L3" s="24">
        <f>21-(21/B17)</f>
        <v>6.4902231741864167</v>
      </c>
      <c r="M3" s="24">
        <v>0</v>
      </c>
      <c r="N3" s="1"/>
      <c r="Q3">
        <f>I3*I5+K3*K5+L3*L5</f>
        <v>131.88459986829938</v>
      </c>
    </row>
    <row r="4" spans="1:17" ht="22.5">
      <c r="A4" s="1" t="s">
        <v>8</v>
      </c>
      <c r="B4" s="1">
        <f>B2/100</f>
        <v>1</v>
      </c>
      <c r="C4" s="1">
        <f>C2/100</f>
        <v>0</v>
      </c>
      <c r="D4" s="1">
        <f t="shared" ref="D4:K4" si="0">D2/100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/>
      <c r="M4" s="1"/>
      <c r="N4" s="1"/>
      <c r="O4" s="30" t="s">
        <v>59</v>
      </c>
      <c r="Q4">
        <f>Q3/N9</f>
        <v>8.2207968601677628</v>
      </c>
    </row>
    <row r="5" spans="1:17" ht="22.5">
      <c r="A5" s="1" t="s">
        <v>20</v>
      </c>
      <c r="B5" s="1">
        <v>0.71750000000000003</v>
      </c>
      <c r="C5" s="1">
        <v>1.2611000000000001</v>
      </c>
      <c r="D5" s="1">
        <v>1.355</v>
      </c>
      <c r="E5" s="1">
        <v>1.9129</v>
      </c>
      <c r="F5" s="1">
        <v>2.0110000000000001</v>
      </c>
      <c r="G5" s="1">
        <v>2.7082999999999999</v>
      </c>
      <c r="H5" s="1">
        <v>2.9569999999999999</v>
      </c>
      <c r="I5" s="1">
        <v>1.9770000000000001</v>
      </c>
      <c r="J5" s="25">
        <f>I47</f>
        <v>0.42390843577787196</v>
      </c>
      <c r="K5" s="1">
        <v>1.2504</v>
      </c>
      <c r="L5" s="1">
        <v>1.429</v>
      </c>
      <c r="M5" s="1"/>
      <c r="N5" s="1">
        <f>B5*B4+C4*C5+D5*D4+E4*E5+F5*F4+G5*G4+H4*H5+I5*I4+K5*K4</f>
        <v>0.71750000000000003</v>
      </c>
      <c r="O5" s="30">
        <f>(I3*I5+K3*K5+L3*L5)/100</f>
        <v>1.3188459986829937</v>
      </c>
    </row>
    <row r="6" spans="1:17" ht="22.5">
      <c r="A6" s="1" t="s">
        <v>10</v>
      </c>
      <c r="B6" s="1">
        <f>B9/$N$9</f>
        <v>1</v>
      </c>
      <c r="C6" s="1">
        <f t="shared" ref="C6:M6" si="1">C9/$N$9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>SUM(B6:K6)</f>
        <v>1</v>
      </c>
      <c r="P6" t="s">
        <v>66</v>
      </c>
      <c r="Q6">
        <f>B4*1+D4*2+F4*3+G4*4+H4*5</f>
        <v>1</v>
      </c>
    </row>
    <row r="7" spans="1:17" ht="22.5">
      <c r="A7" s="1" t="s">
        <v>65</v>
      </c>
      <c r="B7" s="1">
        <f t="shared" ref="B7:L7" si="2">B9/B5</f>
        <v>22.359303135888499</v>
      </c>
      <c r="C7" s="1">
        <f t="shared" si="2"/>
        <v>0</v>
      </c>
      <c r="D7" s="1">
        <f t="shared" si="2"/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/>
      <c r="N7" s="1">
        <f>SUM(B7:K7)</f>
        <v>22.359303135888499</v>
      </c>
      <c r="O7">
        <f>N9/N7</f>
        <v>0.71750000000000003</v>
      </c>
      <c r="P7" t="s">
        <v>67</v>
      </c>
      <c r="Q7">
        <f>B4*4+D4*6+F4*8+G4*10+H4*12</f>
        <v>4</v>
      </c>
    </row>
    <row r="8" spans="1:17" ht="22.5">
      <c r="A8" s="1" t="s">
        <v>63</v>
      </c>
      <c r="B8" s="1">
        <f>B7/$N$7</f>
        <v>1</v>
      </c>
      <c r="C8" s="1">
        <f t="shared" ref="C8:M8" si="3">C7/$N$7</f>
        <v>0</v>
      </c>
      <c r="D8" s="1">
        <f t="shared" si="3"/>
        <v>0</v>
      </c>
      <c r="E8" s="1">
        <f t="shared" si="3"/>
        <v>0</v>
      </c>
      <c r="F8" s="1">
        <f t="shared" si="3"/>
        <v>0</v>
      </c>
      <c r="G8" s="1">
        <f t="shared" si="3"/>
        <v>0</v>
      </c>
      <c r="H8" s="1">
        <f t="shared" si="3"/>
        <v>0</v>
      </c>
      <c r="I8" s="1">
        <f t="shared" si="3"/>
        <v>0</v>
      </c>
      <c r="J8" s="1">
        <f t="shared" si="3"/>
        <v>0</v>
      </c>
      <c r="K8" s="1">
        <f t="shared" si="3"/>
        <v>0</v>
      </c>
      <c r="L8" s="1">
        <f t="shared" si="3"/>
        <v>0</v>
      </c>
      <c r="M8" s="1">
        <f t="shared" si="3"/>
        <v>0</v>
      </c>
      <c r="N8" s="1"/>
    </row>
    <row r="9" spans="1:17" ht="22.5">
      <c r="A9" s="1" t="s">
        <v>64</v>
      </c>
      <c r="B9" s="1">
        <f t="shared" ref="B9:M9" si="4">B4*B13</f>
        <v>16.0428</v>
      </c>
      <c r="C9" s="1">
        <f t="shared" si="4"/>
        <v>0</v>
      </c>
      <c r="D9" s="1">
        <f t="shared" si="4"/>
        <v>0</v>
      </c>
      <c r="E9" s="1">
        <f t="shared" si="4"/>
        <v>0</v>
      </c>
      <c r="F9" s="1">
        <f t="shared" si="4"/>
        <v>0</v>
      </c>
      <c r="G9" s="1">
        <f t="shared" si="4"/>
        <v>0</v>
      </c>
      <c r="H9" s="1">
        <f t="shared" si="4"/>
        <v>0</v>
      </c>
      <c r="I9" s="1">
        <f t="shared" si="4"/>
        <v>0</v>
      </c>
      <c r="J9" s="1">
        <f t="shared" si="4"/>
        <v>0</v>
      </c>
      <c r="K9" s="1">
        <f t="shared" si="4"/>
        <v>0</v>
      </c>
      <c r="L9" s="1">
        <f t="shared" si="4"/>
        <v>0</v>
      </c>
      <c r="M9" s="1">
        <f t="shared" si="4"/>
        <v>0</v>
      </c>
      <c r="N9" s="1">
        <f>SUM(B9:M9)</f>
        <v>16.0428</v>
      </c>
    </row>
    <row r="10" spans="1:17" ht="22.5">
      <c r="A10" s="1" t="s">
        <v>17</v>
      </c>
      <c r="B10" s="1">
        <v>55499</v>
      </c>
      <c r="C10" s="1">
        <v>50284</v>
      </c>
      <c r="D10" s="1">
        <v>51876</v>
      </c>
      <c r="E10" s="1">
        <v>48918</v>
      </c>
      <c r="F10" s="1">
        <v>50346</v>
      </c>
      <c r="G10" s="1">
        <v>49500</v>
      </c>
      <c r="H10" s="1">
        <v>48776</v>
      </c>
      <c r="I10" s="1">
        <v>0</v>
      </c>
      <c r="J10" s="1"/>
      <c r="K10" s="1">
        <v>0</v>
      </c>
      <c r="L10" s="1"/>
      <c r="M10" s="1"/>
      <c r="N10" s="1">
        <f>(B6*B10+C6*C10+D6*D10+E6*E10+F6*F10+G6*G10+H6*H10)</f>
        <v>55499</v>
      </c>
      <c r="O10">
        <f>N10*O7</f>
        <v>39820.532500000001</v>
      </c>
      <c r="P10">
        <f>O10-2.036*4.18*480</f>
        <v>35735.502099999998</v>
      </c>
    </row>
    <row r="11" spans="1:17" ht="22.5">
      <c r="A11" s="2" t="s">
        <v>23</v>
      </c>
      <c r="B11" s="2">
        <v>30</v>
      </c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>
        <f>N10-B15*2442.5</f>
        <v>50011.946617797395</v>
      </c>
      <c r="P11">
        <f>P10/3600</f>
        <v>9.9265283611111101</v>
      </c>
    </row>
    <row r="12" spans="1:17" ht="22.5">
      <c r="A12" s="2" t="s">
        <v>9</v>
      </c>
      <c r="B12" s="2">
        <v>250</v>
      </c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/>
    </row>
    <row r="13" spans="1:17" ht="22.5">
      <c r="A13" s="1" t="s">
        <v>11</v>
      </c>
      <c r="B13" s="1">
        <v>16.0428</v>
      </c>
      <c r="C13" s="1">
        <v>28.053599999999999</v>
      </c>
      <c r="D13" s="1">
        <v>30.069299999999998</v>
      </c>
      <c r="E13" s="1">
        <v>42.080399999999997</v>
      </c>
      <c r="F13" s="1">
        <v>44.096200000000003</v>
      </c>
      <c r="G13" s="1">
        <v>58.122999999999998</v>
      </c>
      <c r="H13" s="1">
        <v>72.150000000000006</v>
      </c>
      <c r="I13" s="1">
        <v>44.009799999999998</v>
      </c>
      <c r="J13" s="1">
        <v>18.02</v>
      </c>
      <c r="K13" s="1">
        <v>28.013400000000001</v>
      </c>
      <c r="L13" s="1"/>
      <c r="M13" s="1"/>
      <c r="N13" s="1">
        <f>B4*B13+D4*D13+F4*F13+G4*G13+I4*I13+K4*K13</f>
        <v>16.0428</v>
      </c>
    </row>
    <row r="14" spans="1:17" ht="22.5">
      <c r="A14" s="1" t="s">
        <v>12</v>
      </c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6"/>
      <c r="M14" s="6"/>
      <c r="N14" s="1">
        <f>2*B4*J13+2*C4*J13+3*D4*J13+3*E4*J13+4*F4*J13+5*G4*J13+6*H4*J13</f>
        <v>36.04</v>
      </c>
      <c r="O14">
        <f>0.07016+0.04084*(N10/1000)</f>
        <v>2.33673916</v>
      </c>
    </row>
    <row r="15" spans="1:17" ht="22.5">
      <c r="A15" s="1" t="s">
        <v>14</v>
      </c>
      <c r="B15" s="1">
        <f>N14/N13</f>
        <v>2.2464906375445683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>
        <f>0.07793+0.04537*(O11/1000)</f>
        <v>2.3469720180494678</v>
      </c>
    </row>
    <row r="16" spans="1:17" ht="22.5">
      <c r="A16" s="2" t="s">
        <v>58</v>
      </c>
      <c r="B16" s="2">
        <v>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8" ht="22.5">
      <c r="A17" s="1" t="s">
        <v>24</v>
      </c>
      <c r="B17" s="1">
        <f>1+((N17/G17)*(B16/(21-B16)))</f>
        <v>1.4473</v>
      </c>
      <c r="C17" s="1">
        <f>B17-1</f>
        <v>0.44730000000000003</v>
      </c>
      <c r="D17" s="38" t="s">
        <v>53</v>
      </c>
      <c r="E17" s="39"/>
      <c r="F17" s="40"/>
      <c r="G17" s="8">
        <f>1/0.21*(2*B4+3*C4+3.5*D4+4.5*E4+5*F4+6.5*G4+8*H4)</f>
        <v>9.5238095238095237</v>
      </c>
      <c r="H17" s="38" t="s">
        <v>52</v>
      </c>
      <c r="I17" s="40"/>
      <c r="J17" s="8">
        <f>L17+N17</f>
        <v>10.52</v>
      </c>
      <c r="K17" s="29" t="s">
        <v>54</v>
      </c>
      <c r="L17" s="8">
        <f>2*B4+2*C4+3*D4+3*E4+4*F4+5*G4+6*H4</f>
        <v>2</v>
      </c>
      <c r="M17" s="29" t="s">
        <v>55</v>
      </c>
      <c r="N17" s="8">
        <f>1*B4+2*C4+2*D4+3*E4+3*F4+4*G4+5*H4+3.76*(2*B4+3*C4+3.5*D4+4.5*E4+5*F4+6.5*G4+8*H4)</f>
        <v>8.52</v>
      </c>
    </row>
    <row r="18" spans="1:18" ht="22.5">
      <c r="A18" s="29" t="s">
        <v>56</v>
      </c>
      <c r="B18" s="24">
        <f>100/N17*(B4+2*C4+2*D4+3*E4+3*F4+4*G4+5*H4)</f>
        <v>11.737089201877934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8" ht="22.5">
      <c r="A19" s="29" t="s">
        <v>57</v>
      </c>
      <c r="B19" s="24">
        <f>B18*((21-B16)/21)</f>
        <v>7.8247261345852888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>
        <f>(N17*B17*O5)/N5</f>
        <v>22.66576269599442</v>
      </c>
    </row>
    <row r="20" spans="1:18" ht="22.5">
      <c r="A20" s="1" t="s">
        <v>16</v>
      </c>
      <c r="B20" s="1">
        <f>B6*(I13+C17*2*32+((1+C17)*0.79/0.21*2*K13))+C6*(2*I13+C17*3*32+((1+C17)*0.79/0.21*3*K13))+D6*(2*I13+C17*3.5*32+((1+C17)*0.79/0.21*3.5*K13))+E6*(3*I13+C17*4.5*32+((1+C17)*0.79/0.21*4.5*K13))+F6*(3*I13+C17*5*32+((1+C17)*0.79/0.21*5*K13))+G6*(4*I13+C17*6.5*32+((1+C17)*0.79/0.21*6.5*K13))+H6*(5*I13+C17*8*32+((1+C17)*0.79/0.21*8*K13))+I6*I13+K6*K13</f>
        <v>377.68078207428573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7"/>
    </row>
    <row r="21" spans="1:18" ht="22.5">
      <c r="A21" s="1" t="s">
        <v>15</v>
      </c>
      <c r="B21" s="1">
        <f>B20/N13</f>
        <v>23.542073832141877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7"/>
    </row>
    <row r="22" spans="1:18" ht="22.5">
      <c r="A22" s="1" t="s">
        <v>50</v>
      </c>
      <c r="B22" s="1">
        <f ca="1">(E49+E56)/(2*O5)</f>
        <v>1.0140035461989834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8" ht="22.5">
      <c r="A23" s="1" t="s">
        <v>51</v>
      </c>
      <c r="B23" s="1">
        <f>(D48+D55)/(2*J5)</f>
        <v>3.4016780000000004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8" ht="22.5">
      <c r="A24" s="1" t="s">
        <v>22</v>
      </c>
      <c r="B24" s="1">
        <f ca="1">B21*B22*(B12-B11)+B15*B23*(B12-B11)</f>
        <v>6932.988508514527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7"/>
    </row>
    <row r="25" spans="1:18" ht="22.5">
      <c r="A25" s="3" t="s">
        <v>13</v>
      </c>
      <c r="B25" s="3">
        <f ca="1">(1-(B24/N10))*100</f>
        <v>87.507903730671671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7"/>
    </row>
    <row r="29" spans="1:18" ht="15.75">
      <c r="A29" s="45" t="s">
        <v>25</v>
      </c>
      <c r="B29" s="45"/>
      <c r="C29" s="46" t="s">
        <v>26</v>
      </c>
      <c r="D29" s="46"/>
      <c r="E29" s="9"/>
      <c r="F29" s="9"/>
      <c r="K29" s="10"/>
      <c r="L29" s="10"/>
      <c r="M29" s="10"/>
      <c r="N29" s="10"/>
    </row>
    <row r="30" spans="1:18" ht="18">
      <c r="A30" s="42" t="s">
        <v>27</v>
      </c>
      <c r="B30" s="42"/>
      <c r="C30" s="42"/>
      <c r="D30" s="42"/>
      <c r="E30" s="43" t="s">
        <v>28</v>
      </c>
      <c r="F30" s="43"/>
      <c r="G30" s="4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21">
      <c r="A31" s="11" t="s">
        <v>29</v>
      </c>
      <c r="B31" s="11" t="s">
        <v>30</v>
      </c>
      <c r="C31" s="11" t="s">
        <v>31</v>
      </c>
      <c r="D31" s="11" t="s">
        <v>32</v>
      </c>
      <c r="E31" s="11" t="s">
        <v>33</v>
      </c>
      <c r="I31" s="26" t="s">
        <v>47</v>
      </c>
      <c r="J31" s="26" t="s">
        <v>48</v>
      </c>
      <c r="K31" s="26" t="s">
        <v>49</v>
      </c>
      <c r="L31" s="10"/>
      <c r="M31" s="10"/>
      <c r="N31" s="10"/>
      <c r="O31" s="10"/>
      <c r="P31" s="10"/>
      <c r="Q31" s="10"/>
      <c r="R31" s="10"/>
    </row>
    <row r="32" spans="1:18" ht="15.75">
      <c r="A32" s="12">
        <v>0</v>
      </c>
      <c r="B32" s="13">
        <v>1.62</v>
      </c>
      <c r="C32" s="13">
        <v>1.306</v>
      </c>
      <c r="D32" s="13">
        <v>1.302</v>
      </c>
      <c r="E32" s="13">
        <v>1.427</v>
      </c>
      <c r="I32" s="12">
        <v>100</v>
      </c>
      <c r="J32" s="13">
        <v>1.696</v>
      </c>
      <c r="K32" s="13">
        <f>1/J32</f>
        <v>0.589622641509434</v>
      </c>
      <c r="L32" s="10"/>
      <c r="M32" s="10"/>
      <c r="N32" s="10"/>
      <c r="O32" s="10"/>
      <c r="P32" s="10"/>
      <c r="Q32" s="10"/>
      <c r="R32" s="10"/>
    </row>
    <row r="33" spans="1:18" ht="15.75">
      <c r="A33" s="12">
        <v>100</v>
      </c>
      <c r="B33" s="13">
        <v>1.7250000000000001</v>
      </c>
      <c r="C33" s="13">
        <v>1.319</v>
      </c>
      <c r="D33" s="13">
        <v>1.302</v>
      </c>
      <c r="E33" s="13">
        <v>1.44</v>
      </c>
      <c r="I33" s="12">
        <v>120</v>
      </c>
      <c r="J33" s="13">
        <v>1.7929999999999999</v>
      </c>
      <c r="K33" s="13">
        <f t="shared" ref="K33:K42" si="5">1/J33</f>
        <v>0.5577244841048522</v>
      </c>
      <c r="L33" s="10"/>
      <c r="M33" s="10"/>
      <c r="N33" s="10"/>
      <c r="O33" s="10"/>
      <c r="P33" s="10"/>
      <c r="Q33" s="10"/>
      <c r="R33" s="10"/>
    </row>
    <row r="34" spans="1:18" ht="15.75">
      <c r="A34" s="12">
        <v>200</v>
      </c>
      <c r="B34" s="13">
        <v>1.8080000000000001</v>
      </c>
      <c r="C34" s="13">
        <v>1.34</v>
      </c>
      <c r="D34" s="13">
        <v>1.306</v>
      </c>
      <c r="E34" s="13">
        <v>1.4570000000000001</v>
      </c>
      <c r="I34" s="12">
        <v>160</v>
      </c>
      <c r="J34" s="13">
        <v>1.984</v>
      </c>
      <c r="K34" s="13">
        <f t="shared" si="5"/>
        <v>0.50403225806451613</v>
      </c>
      <c r="L34" s="10"/>
      <c r="M34" s="10"/>
      <c r="N34" s="10"/>
      <c r="O34" s="10"/>
      <c r="P34" s="10"/>
      <c r="Q34" s="10"/>
      <c r="R34" s="10"/>
    </row>
    <row r="35" spans="1:18" ht="15.75">
      <c r="A35" s="12">
        <v>300</v>
      </c>
      <c r="B35" s="13">
        <v>1.8839999999999999</v>
      </c>
      <c r="C35" s="13">
        <v>1.36</v>
      </c>
      <c r="D35" s="13">
        <v>1.31</v>
      </c>
      <c r="E35" s="13">
        <v>1.4730000000000001</v>
      </c>
      <c r="I35" s="12">
        <v>200</v>
      </c>
      <c r="J35" s="13">
        <v>2.1720000000000002</v>
      </c>
      <c r="K35" s="13">
        <f t="shared" si="5"/>
        <v>0.46040515653775321</v>
      </c>
      <c r="L35" s="10"/>
      <c r="M35" s="10"/>
      <c r="N35" s="10"/>
      <c r="O35" s="10"/>
      <c r="P35" s="10"/>
      <c r="Q35" s="10"/>
      <c r="R35" s="10"/>
    </row>
    <row r="36" spans="1:18" ht="15.75">
      <c r="A36" s="12">
        <v>400</v>
      </c>
      <c r="B36" s="13">
        <v>1.9510000000000001</v>
      </c>
      <c r="C36" s="13">
        <v>1.381</v>
      </c>
      <c r="D36" s="13">
        <v>1.323</v>
      </c>
      <c r="E36" s="13">
        <v>1.494</v>
      </c>
      <c r="I36" s="12">
        <v>240</v>
      </c>
      <c r="J36" s="13">
        <v>2.359</v>
      </c>
      <c r="K36" s="13">
        <f t="shared" si="5"/>
        <v>0.42390843577787196</v>
      </c>
      <c r="L36" s="10"/>
      <c r="M36" s="10"/>
      <c r="N36" s="10"/>
      <c r="O36" s="10"/>
      <c r="P36" s="10"/>
      <c r="Q36" s="10"/>
      <c r="R36" s="10"/>
    </row>
    <row r="37" spans="1:18" ht="15.75">
      <c r="A37" s="12">
        <v>500</v>
      </c>
      <c r="B37" s="13">
        <v>2.0089999999999999</v>
      </c>
      <c r="C37" s="13">
        <v>1.3979999999999999</v>
      </c>
      <c r="D37" s="13">
        <v>1.335</v>
      </c>
      <c r="E37" s="13">
        <v>1.52</v>
      </c>
      <c r="I37" s="12">
        <v>280</v>
      </c>
      <c r="J37" s="13">
        <v>2.5459999999999998</v>
      </c>
      <c r="K37" s="13">
        <f t="shared" si="5"/>
        <v>0.39277297721916737</v>
      </c>
      <c r="L37" s="10"/>
      <c r="M37" s="10"/>
      <c r="N37" s="10"/>
      <c r="O37" s="10"/>
      <c r="P37" s="10"/>
      <c r="Q37" s="10"/>
      <c r="R37" s="10"/>
    </row>
    <row r="38" spans="1:18" ht="15.75">
      <c r="A38" s="12">
        <v>600</v>
      </c>
      <c r="B38" s="13">
        <v>2.0640000000000001</v>
      </c>
      <c r="C38" s="13">
        <v>1.419</v>
      </c>
      <c r="D38" s="13">
        <v>1.3440000000000001</v>
      </c>
      <c r="E38" s="13">
        <v>1.5449999999999999</v>
      </c>
      <c r="I38" s="12">
        <v>320</v>
      </c>
      <c r="J38" s="13">
        <v>2.7320000000000002</v>
      </c>
      <c r="K38" s="13">
        <f t="shared" si="5"/>
        <v>0.3660322108345534</v>
      </c>
      <c r="L38" s="10"/>
      <c r="M38" s="10"/>
      <c r="N38" s="10"/>
      <c r="O38" s="10"/>
      <c r="P38" s="10"/>
      <c r="Q38" s="10"/>
      <c r="R38" s="10"/>
    </row>
    <row r="39" spans="1:18" ht="15.75">
      <c r="A39" s="12">
        <v>700</v>
      </c>
      <c r="B39" s="13">
        <v>2.11</v>
      </c>
      <c r="C39" s="13">
        <v>1.4359999999999999</v>
      </c>
      <c r="D39" s="13">
        <v>1.36</v>
      </c>
      <c r="E39" s="13">
        <v>1.57</v>
      </c>
      <c r="I39" s="12">
        <v>360</v>
      </c>
      <c r="J39" s="13">
        <v>2.9169999999999998</v>
      </c>
      <c r="K39" s="13">
        <f t="shared" si="5"/>
        <v>0.34281796366129585</v>
      </c>
      <c r="L39" s="10"/>
      <c r="M39" s="10"/>
      <c r="N39" s="10"/>
      <c r="O39" s="10"/>
      <c r="P39" s="10"/>
      <c r="Q39" s="10"/>
      <c r="R39" s="10"/>
    </row>
    <row r="40" spans="1:18" ht="15.75">
      <c r="A40" s="12">
        <v>800</v>
      </c>
      <c r="B40" s="13">
        <v>2.1560000000000001</v>
      </c>
      <c r="C40" s="13">
        <v>1.4530000000000001</v>
      </c>
      <c r="D40" s="13">
        <v>1.377</v>
      </c>
      <c r="E40" s="13">
        <v>1.595</v>
      </c>
      <c r="I40" s="12">
        <v>400</v>
      </c>
      <c r="J40" s="13">
        <v>3.1030000000000002</v>
      </c>
      <c r="K40" s="13">
        <f t="shared" si="5"/>
        <v>0.32226877215597804</v>
      </c>
      <c r="L40" s="10"/>
      <c r="M40" s="10"/>
      <c r="N40" s="10"/>
      <c r="O40" s="10"/>
      <c r="P40" s="10"/>
      <c r="Q40" s="10"/>
      <c r="R40" s="10"/>
    </row>
    <row r="41" spans="1:18" ht="15.75">
      <c r="A41" s="12">
        <v>900</v>
      </c>
      <c r="B41" s="13">
        <v>2.1890000000000001</v>
      </c>
      <c r="C41" s="13">
        <v>1.4690000000000001</v>
      </c>
      <c r="D41" s="13">
        <v>1.3859999999999999</v>
      </c>
      <c r="E41" s="13">
        <v>1.62</v>
      </c>
      <c r="I41" s="12">
        <v>440</v>
      </c>
      <c r="J41" s="13">
        <v>3.2879999999999998</v>
      </c>
      <c r="K41" s="13">
        <f t="shared" si="5"/>
        <v>0.30413625304136255</v>
      </c>
      <c r="L41" s="10"/>
      <c r="M41" s="10"/>
      <c r="N41" s="10"/>
      <c r="O41" s="10"/>
      <c r="P41" s="10"/>
      <c r="Q41" s="10"/>
      <c r="R41" s="10"/>
    </row>
    <row r="42" spans="1:18" ht="15.75">
      <c r="A42" s="12">
        <v>1000</v>
      </c>
      <c r="B42" s="13">
        <v>2.2269999999999999</v>
      </c>
      <c r="C42" s="13">
        <v>1.482</v>
      </c>
      <c r="D42" s="13">
        <v>1.3979999999999999</v>
      </c>
      <c r="E42" s="13">
        <v>1.645</v>
      </c>
      <c r="I42" s="12">
        <v>500</v>
      </c>
      <c r="J42" s="13">
        <v>3.5649999999999999</v>
      </c>
      <c r="K42" s="13">
        <f t="shared" si="5"/>
        <v>0.28050490883590462</v>
      </c>
      <c r="L42" s="10"/>
      <c r="M42" s="10"/>
      <c r="N42" s="10"/>
      <c r="O42" s="10"/>
      <c r="P42" s="10"/>
      <c r="Q42" s="10"/>
      <c r="R42" s="10"/>
    </row>
    <row r="44" spans="1:18" ht="19.5">
      <c r="A44" s="9"/>
      <c r="B44" s="27" t="s">
        <v>42</v>
      </c>
      <c r="C44" s="27"/>
      <c r="D44" s="27"/>
      <c r="E44" s="28"/>
      <c r="I44" s="41" t="s">
        <v>44</v>
      </c>
      <c r="J44" s="41"/>
      <c r="K44" s="41"/>
    </row>
    <row r="45" spans="1:18">
      <c r="A45" s="9" t="s">
        <v>36</v>
      </c>
      <c r="B45" s="15">
        <f>B12</f>
        <v>250</v>
      </c>
      <c r="C45" s="16">
        <v>0</v>
      </c>
      <c r="D45" s="9"/>
      <c r="E45" s="9"/>
      <c r="I45" s="9" t="s">
        <v>36</v>
      </c>
      <c r="J45" s="15">
        <f>B12</f>
        <v>250</v>
      </c>
      <c r="K45" s="16">
        <v>0</v>
      </c>
    </row>
    <row r="46" spans="1:18" ht="16.5">
      <c r="A46" s="23" t="s">
        <v>37</v>
      </c>
      <c r="B46" s="23" t="s">
        <v>38</v>
      </c>
      <c r="C46" s="23" t="s">
        <v>39</v>
      </c>
      <c r="D46" s="23" t="s">
        <v>40</v>
      </c>
      <c r="E46" s="23" t="s">
        <v>41</v>
      </c>
      <c r="I46" s="23" t="s">
        <v>7</v>
      </c>
    </row>
    <row r="47" spans="1:18">
      <c r="A47" s="15">
        <f>I3</f>
        <v>7.8247261345852888</v>
      </c>
      <c r="B47" s="15">
        <f>L3</f>
        <v>6.4902231741864167</v>
      </c>
      <c r="C47" s="18">
        <f>K3</f>
        <v>85.685050691228298</v>
      </c>
      <c r="D47" s="18"/>
      <c r="E47" s="18">
        <f>SUM(A47:C47)</f>
        <v>100</v>
      </c>
      <c r="I47" s="19">
        <f>(LOOKUP(J45+100,I32:I42,K32:K42)-LOOKUP(J45,I32:I42,K32:K42))/100*K45+LOOKUP(J45,I32:I42,K32:K42)</f>
        <v>0.42390843577787196</v>
      </c>
    </row>
    <row r="48" spans="1:18">
      <c r="A48" s="19">
        <f>(LOOKUP(B45+100,A32:A42,B32:B42)-LOOKUP(B45,A32:A42,B32:B42))/100*C45+LOOKUP(B45,A32:A42,B32:B42)</f>
        <v>1.8080000000000001</v>
      </c>
      <c r="B48" s="19">
        <f ca="1">(LOOKUP(B45+100,A32:A42,C32:C37)-LOOKUP(B45,A32:A42,C32:C42))/100*C45+LOOKUP(B45,A32:A42,C32:C42)</f>
        <v>1.34</v>
      </c>
      <c r="C48" s="19">
        <f>(LOOKUP(B45+100,A32:A42,D32:D42)-LOOKUP(B45,A32:A42,D32:D42))/100*C45+LOOKUP(B45,A32:A42,D32:D42)</f>
        <v>1.306</v>
      </c>
      <c r="D48" s="19">
        <f>(LOOKUP(B45+100,A32:A42,E32:E42)-LOOKUP(B45,A32:A42,E32:E42))/100*C45+LOOKUP(B45,A32:A42,E32:E42)</f>
        <v>1.4570000000000001</v>
      </c>
      <c r="E48" s="20"/>
    </row>
    <row r="49" spans="1:5">
      <c r="A49" s="21">
        <f>A48*A47/100</f>
        <v>0.14147104851330203</v>
      </c>
      <c r="B49" s="21">
        <f ca="1">B48*B47/100</f>
        <v>8.6968990534097998E-2</v>
      </c>
      <c r="C49" s="21">
        <f>C48*C47/100</f>
        <v>1.1190467620274416</v>
      </c>
      <c r="D49" s="20"/>
      <c r="E49" s="22">
        <f ca="1">SUM(A49:C49)</f>
        <v>1.3474868010748415</v>
      </c>
    </row>
    <row r="50" spans="1:5">
      <c r="A50" s="9"/>
      <c r="B50" s="9"/>
      <c r="C50" s="9"/>
      <c r="D50" s="9"/>
      <c r="E50" s="9"/>
    </row>
    <row r="51" spans="1:5" ht="19.5">
      <c r="A51" s="14"/>
      <c r="B51" s="44" t="s">
        <v>35</v>
      </c>
      <c r="C51" s="44"/>
      <c r="D51" s="44"/>
      <c r="E51" s="44"/>
    </row>
    <row r="52" spans="1:5">
      <c r="A52" s="9" t="s">
        <v>36</v>
      </c>
      <c r="B52" s="15">
        <f>B11</f>
        <v>30</v>
      </c>
      <c r="C52" s="16">
        <v>0</v>
      </c>
      <c r="D52" s="9"/>
      <c r="E52" s="9"/>
    </row>
    <row r="53" spans="1:5" ht="16.5">
      <c r="A53" s="17" t="s">
        <v>37</v>
      </c>
      <c r="B53" s="17" t="s">
        <v>38</v>
      </c>
      <c r="C53" s="17" t="s">
        <v>39</v>
      </c>
      <c r="D53" s="17" t="s">
        <v>40</v>
      </c>
      <c r="E53" s="17" t="s">
        <v>41</v>
      </c>
    </row>
    <row r="54" spans="1:5">
      <c r="A54" s="15">
        <f>A47</f>
        <v>7.8247261345852888</v>
      </c>
      <c r="B54" s="15">
        <f>B47</f>
        <v>6.4902231741864167</v>
      </c>
      <c r="C54" s="18">
        <f>C47</f>
        <v>85.685050691228298</v>
      </c>
      <c r="D54" s="18"/>
      <c r="E54" s="18">
        <f>SUM(A54:C54)</f>
        <v>100</v>
      </c>
    </row>
    <row r="55" spans="1:5">
      <c r="A55" s="19">
        <f>(LOOKUP(B52+100,A32:A42,B32:B42)-LOOKUP(B52,A32:A42,B32:B42))/100*C52+LOOKUP(B52,A32:A42,B32:B42)</f>
        <v>1.62</v>
      </c>
      <c r="B55" s="19">
        <f>(LOOKUP(B52+100,A32:A42,C32:C42)-LOOKUP(B52,A32:A42,C32:C42))/100*C52+LOOKUP(B52,A32:A42,C32:C42)</f>
        <v>1.306</v>
      </c>
      <c r="C55" s="19">
        <f>(LOOKUP(B52+100,A32:A42,D32:D42)-LOOKUP(B52,A32:A42,D32:D42))/100*C52+LOOKUP(B52,A32:A42,D32:D42)</f>
        <v>1.302</v>
      </c>
      <c r="D55" s="19">
        <f>(LOOKUP(B52+100,A32:A42,E32:E42)-LOOKUP(B52,A32:A42,E32:E42))/100*C52+LOOKUP(B52,A32:A42,E32:E42)</f>
        <v>1.427</v>
      </c>
      <c r="E55" s="20"/>
    </row>
    <row r="56" spans="1:5">
      <c r="A56" s="21">
        <f>A55*A54/100</f>
        <v>0.12676056338028169</v>
      </c>
      <c r="B56" s="21">
        <f>B55*B54/100</f>
        <v>8.4762314654874604E-2</v>
      </c>
      <c r="C56" s="21">
        <f>C55*C54/100</f>
        <v>1.1156193599997926</v>
      </c>
      <c r="D56" s="20"/>
      <c r="E56" s="22">
        <f>SUM(A56:C56)</f>
        <v>1.3271422380349489</v>
      </c>
    </row>
  </sheetData>
  <mergeCells count="17">
    <mergeCell ref="I44:K44"/>
    <mergeCell ref="A30:D30"/>
    <mergeCell ref="E30:G30"/>
    <mergeCell ref="B51:E51"/>
    <mergeCell ref="A29:B29"/>
    <mergeCell ref="C29:D29"/>
    <mergeCell ref="B3:H3"/>
    <mergeCell ref="C20:N20"/>
    <mergeCell ref="C21:N21"/>
    <mergeCell ref="C24:N24"/>
    <mergeCell ref="C25:N25"/>
    <mergeCell ref="B14:K14"/>
    <mergeCell ref="C12:N12"/>
    <mergeCell ref="C11:N11"/>
    <mergeCell ref="C15:N15"/>
    <mergeCell ref="D17:F17"/>
    <mergeCell ref="H17:I1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/>
  <cols>
    <col min="2" max="3" width="11.28515625" bestFit="1" customWidth="1"/>
  </cols>
  <sheetData>
    <row r="1" spans="1:4">
      <c r="A1" s="31" t="s">
        <v>60</v>
      </c>
      <c r="B1" s="31" t="s">
        <v>61</v>
      </c>
      <c r="C1" s="31" t="s">
        <v>62</v>
      </c>
      <c r="D1" s="31" t="s">
        <v>68</v>
      </c>
    </row>
    <row r="2" spans="1:4">
      <c r="A2" s="31">
        <v>0</v>
      </c>
      <c r="B2" s="31">
        <v>268</v>
      </c>
      <c r="C2" s="31">
        <v>293</v>
      </c>
      <c r="D2" s="31">
        <f>ROUND(91.91-4.37*A2,0)</f>
        <v>92</v>
      </c>
    </row>
    <row r="3" spans="1:4">
      <c r="A3" s="31">
        <v>1</v>
      </c>
      <c r="B3" s="31">
        <v>261</v>
      </c>
      <c r="C3" s="31">
        <v>285.5</v>
      </c>
      <c r="D3" s="31">
        <f t="shared" ref="D3:D10" si="0">ROUND(91.91-4.37*A3,0)</f>
        <v>88</v>
      </c>
    </row>
    <row r="4" spans="1:4">
      <c r="A4" s="31">
        <v>2</v>
      </c>
      <c r="B4" s="31">
        <v>253</v>
      </c>
      <c r="C4" s="31">
        <v>280</v>
      </c>
      <c r="D4" s="31">
        <f t="shared" si="0"/>
        <v>83</v>
      </c>
    </row>
    <row r="5" spans="1:4">
      <c r="A5" s="31">
        <v>4</v>
      </c>
      <c r="B5" s="31">
        <v>239</v>
      </c>
      <c r="C5" s="31">
        <v>263</v>
      </c>
      <c r="D5" s="31">
        <f t="shared" si="0"/>
        <v>74</v>
      </c>
    </row>
    <row r="6" spans="1:4">
      <c r="A6" s="31">
        <v>6</v>
      </c>
      <c r="B6" s="31">
        <v>221</v>
      </c>
      <c r="C6" s="31">
        <v>242.5</v>
      </c>
      <c r="D6" s="31">
        <f t="shared" si="0"/>
        <v>66</v>
      </c>
    </row>
    <row r="7" spans="1:4">
      <c r="A7" s="31">
        <v>8</v>
      </c>
      <c r="B7" s="31">
        <v>201</v>
      </c>
      <c r="C7" s="31">
        <v>224</v>
      </c>
      <c r="D7" s="31">
        <f t="shared" si="0"/>
        <v>57</v>
      </c>
    </row>
    <row r="8" spans="1:4">
      <c r="A8" s="31">
        <v>10</v>
      </c>
      <c r="B8" s="31">
        <v>182.5</v>
      </c>
      <c r="C8" s="31">
        <v>200</v>
      </c>
      <c r="D8" s="31">
        <f t="shared" si="0"/>
        <v>48</v>
      </c>
    </row>
    <row r="9" spans="1:4">
      <c r="A9" s="31">
        <v>12</v>
      </c>
      <c r="B9" s="31">
        <v>159.9</v>
      </c>
      <c r="C9" s="31">
        <v>176</v>
      </c>
      <c r="D9" s="31">
        <f t="shared" si="0"/>
        <v>39</v>
      </c>
    </row>
    <row r="10" spans="1:4">
      <c r="A10" s="31">
        <v>14</v>
      </c>
      <c r="B10" s="31">
        <v>133.5</v>
      </c>
      <c r="C10" s="31">
        <v>147.69999999999999</v>
      </c>
      <c r="D10" s="31">
        <f t="shared" si="0"/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محاسبات راندمان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ebrahimi</dc:creator>
  <cp:lastModifiedBy>hossein sharifi</cp:lastModifiedBy>
  <dcterms:created xsi:type="dcterms:W3CDTF">2016-12-19T06:53:17Z</dcterms:created>
  <dcterms:modified xsi:type="dcterms:W3CDTF">2017-11-10T08:54:46Z</dcterms:modified>
</cp:coreProperties>
</file>