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IGS-PM-106\"/>
    </mc:Choice>
  </mc:AlternateContent>
  <bookViews>
    <workbookView xWindow="0" yWindow="0" windowWidth="24000" windowHeight="9780"/>
  </bookViews>
  <sheets>
    <sheet name="محاسبات راندمان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14" i="2"/>
  <c r="B15" i="2"/>
  <c r="N14" i="2"/>
  <c r="L14" i="2"/>
  <c r="J14" i="2"/>
  <c r="G14" i="2"/>
  <c r="I3" i="2" l="1"/>
  <c r="A44" i="2" s="1"/>
  <c r="A51" i="2" s="1"/>
  <c r="L3" i="2"/>
  <c r="K3" i="2" s="1"/>
  <c r="C44" i="2" s="1"/>
  <c r="C51" i="2" s="1"/>
  <c r="J42" i="2"/>
  <c r="K30" i="2"/>
  <c r="K31" i="2"/>
  <c r="K32" i="2"/>
  <c r="K33" i="2"/>
  <c r="K34" i="2"/>
  <c r="K35" i="2"/>
  <c r="K36" i="2"/>
  <c r="K37" i="2"/>
  <c r="K38" i="2"/>
  <c r="K39" i="2"/>
  <c r="K29" i="2"/>
  <c r="B49" i="2"/>
  <c r="C52" i="2" s="1"/>
  <c r="B42" i="2"/>
  <c r="D45" i="2" s="1"/>
  <c r="C14" i="2"/>
  <c r="D52" i="2" l="1"/>
  <c r="I44" i="2"/>
  <c r="J5" i="2" s="1"/>
  <c r="B20" i="2" s="1"/>
  <c r="A45" i="2"/>
  <c r="B45" i="2"/>
  <c r="B46" i="2" s="1"/>
  <c r="C45" i="2"/>
  <c r="C46" i="2" s="1"/>
  <c r="B52" i="2"/>
  <c r="B44" i="2"/>
  <c r="B51" i="2" s="1"/>
  <c r="A52" i="2"/>
  <c r="A53" i="2" s="1"/>
  <c r="E51" i="2"/>
  <c r="C53" i="2"/>
  <c r="A46" i="2"/>
  <c r="E4" i="2"/>
  <c r="C4" i="2"/>
  <c r="K4" i="2"/>
  <c r="J4" i="2"/>
  <c r="I4" i="2"/>
  <c r="H4" i="2"/>
  <c r="G4" i="2"/>
  <c r="F4" i="2"/>
  <c r="D4" i="2"/>
  <c r="B4" i="2"/>
  <c r="N2" i="2"/>
  <c r="B53" i="2" l="1"/>
  <c r="E53" i="2" s="1"/>
  <c r="E44" i="2"/>
  <c r="N11" i="2"/>
  <c r="N5" i="2"/>
  <c r="D6" i="2" s="1"/>
  <c r="E46" i="2"/>
  <c r="N10" i="2"/>
  <c r="B19" i="2" l="1"/>
  <c r="C6" i="2"/>
  <c r="E6" i="2"/>
  <c r="B12" i="2"/>
  <c r="H6" i="2"/>
  <c r="J6" i="2"/>
  <c r="F6" i="2"/>
  <c r="K6" i="2"/>
  <c r="B6" i="2"/>
  <c r="I6" i="2"/>
  <c r="G6" i="2"/>
  <c r="B17" i="2" l="1"/>
  <c r="B18" i="2" s="1"/>
  <c r="B21" i="2" s="1"/>
  <c r="N7" i="2"/>
  <c r="N6" i="2"/>
  <c r="B22" i="2" l="1"/>
</calcChain>
</file>

<file path=xl/sharedStrings.xml><?xml version="1.0" encoding="utf-8"?>
<sst xmlns="http://schemas.openxmlformats.org/spreadsheetml/2006/main" count="67" uniqueCount="59">
  <si>
    <t>CH4</t>
  </si>
  <si>
    <t>C2H6</t>
  </si>
  <si>
    <t>C3H8</t>
  </si>
  <si>
    <t>C4H10</t>
  </si>
  <si>
    <t>C5H12</t>
  </si>
  <si>
    <t>CO2</t>
  </si>
  <si>
    <t>N2</t>
  </si>
  <si>
    <t>H2O</t>
  </si>
  <si>
    <t>درصد مولی</t>
  </si>
  <si>
    <t>دمای دودکش</t>
  </si>
  <si>
    <t>درصد جرمی</t>
  </si>
  <si>
    <t>جرم سوخت</t>
  </si>
  <si>
    <t>جرم آب</t>
  </si>
  <si>
    <t>راندمان</t>
  </si>
  <si>
    <t>µH2OF(جرم آب به جرم سوخت)</t>
  </si>
  <si>
    <t>µGd(جرم گازهای خشک به جرم سوخت)</t>
  </si>
  <si>
    <t>جرم گازهای دودکش خشک</t>
  </si>
  <si>
    <t>ارزش حرارتی بالا  (kj/kg)</t>
  </si>
  <si>
    <t>C2H4</t>
  </si>
  <si>
    <t>C3H6</t>
  </si>
  <si>
    <t>دانسیته (kg/m3)</t>
  </si>
  <si>
    <t>مجموع</t>
  </si>
  <si>
    <t>گرمای اتلافی دودکش (kj/kg)</t>
  </si>
  <si>
    <t>دمای محیط</t>
  </si>
  <si>
    <r>
      <t>نسبت هوا (</t>
    </r>
    <r>
      <rPr>
        <sz val="14"/>
        <color theme="1"/>
        <rFont val="Cambria"/>
        <family val="1"/>
      </rPr>
      <t>λ</t>
    </r>
    <r>
      <rPr>
        <sz val="14"/>
        <color theme="1"/>
        <rFont val="B Nazanin"/>
        <charset val="178"/>
      </rPr>
      <t>)</t>
    </r>
  </si>
  <si>
    <t>Specific Heat</t>
  </si>
  <si>
    <t>گرمای ويژه</t>
  </si>
  <si>
    <r>
      <t>Spec.Heat at Constant Press.(kj/ｍ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・Ｋ)</t>
    </r>
  </si>
  <si>
    <t>گرمای ويژه در فشار ثابت</t>
  </si>
  <si>
    <t>Temp</t>
  </si>
  <si>
    <t>ＣＯ2</t>
  </si>
  <si>
    <t>Ｏ2</t>
  </si>
  <si>
    <t>Ｎ2</t>
  </si>
  <si>
    <t>Ｈ2Ｏ</t>
  </si>
  <si>
    <t>CO</t>
  </si>
  <si>
    <t xml:space="preserve">گرمای ويژه گازهای اگزوز در دماي محل </t>
  </si>
  <si>
    <t>　Temp</t>
  </si>
  <si>
    <r>
      <t>ＣＯ</t>
    </r>
    <r>
      <rPr>
        <vertAlign val="subscript"/>
        <sz val="11"/>
        <rFont val="Times New Roman"/>
        <family val="1"/>
      </rPr>
      <t>2</t>
    </r>
  </si>
  <si>
    <r>
      <t>Ｏ</t>
    </r>
    <r>
      <rPr>
        <vertAlign val="subscript"/>
        <sz val="11"/>
        <rFont val="Times New Roman"/>
        <family val="1"/>
      </rPr>
      <t>2</t>
    </r>
  </si>
  <si>
    <r>
      <t>Ｎ</t>
    </r>
    <r>
      <rPr>
        <vertAlign val="subscript"/>
        <sz val="11"/>
        <rFont val="Times New Roman"/>
        <family val="1"/>
      </rPr>
      <t>2</t>
    </r>
  </si>
  <si>
    <r>
      <t>Ｈ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Ｏ</t>
    </r>
  </si>
  <si>
    <t>Total</t>
  </si>
  <si>
    <t>گرمای ويژه گازهای اگزوز قبل از پيشگرمكن</t>
  </si>
  <si>
    <t>O2</t>
  </si>
  <si>
    <t>دانسیته بخار آب در دمای گازهای دودکش</t>
  </si>
  <si>
    <t>ترکیب سوخت (%)</t>
  </si>
  <si>
    <t>ترکیب گاز خروجی از دودکش  (%)</t>
  </si>
  <si>
    <t>دما</t>
  </si>
  <si>
    <t>حجم مخصوص (m3/kg)</t>
  </si>
  <si>
    <t>حجم مخصوص (kg/m3)</t>
  </si>
  <si>
    <t>ظرفیت گرمایی ویژه گازهای دودکش (kj/kg.K)</t>
  </si>
  <si>
    <t>ظرفیت گرمایی ویژه بخار آب (kj/kg.K)</t>
  </si>
  <si>
    <t>G0</t>
  </si>
  <si>
    <t>A0</t>
  </si>
  <si>
    <t>Gwf</t>
  </si>
  <si>
    <t>G'0</t>
  </si>
  <si>
    <t>CO2 max</t>
  </si>
  <si>
    <t xml:space="preserve">CO2 </t>
  </si>
  <si>
    <t xml:space="preserve">  (%) 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</si>
</sst>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 "/>
    <numFmt numFmtId="165" formatCode="#,##0.0000_);[Red]\(#,##0.0000\)"/>
    <numFmt numFmtId="166" formatCode="0.0000_ "/>
  </numFmts>
  <fonts count="16">
    <font>
      <sz val="11"/>
      <color theme="1"/>
      <name val="Arial"/>
      <family val="2"/>
      <scheme val="minor"/>
    </font>
    <font>
      <sz val="14"/>
      <color theme="1"/>
      <name val="B Nazanin"/>
      <charset val="178"/>
    </font>
    <font>
      <sz val="14"/>
      <color theme="1"/>
      <name val="Cambria"/>
      <family val="1"/>
    </font>
    <font>
      <sz val="11"/>
      <name val="ＭＳ Ｐゴシック"/>
      <family val="3"/>
      <charset val="128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vertAlign val="superscript"/>
      <sz val="11"/>
      <name val="Times New Roman"/>
      <family val="1"/>
    </font>
    <font>
      <sz val="12"/>
      <name val="Times New Roman"/>
      <family val="1"/>
    </font>
    <font>
      <sz val="10"/>
      <color indexed="12"/>
      <name val="Arial"/>
      <family val="2"/>
    </font>
    <font>
      <sz val="11"/>
      <color indexed="10"/>
      <name val="Times New Roman"/>
      <family val="1"/>
    </font>
    <font>
      <vertAlign val="subscript"/>
      <sz val="11"/>
      <name val="Times New Roman"/>
      <family val="1"/>
    </font>
    <font>
      <sz val="10"/>
      <name val="Arial"/>
      <family val="2"/>
    </font>
    <font>
      <b/>
      <sz val="12"/>
      <name val="B Nazanin"/>
      <charset val="178"/>
    </font>
    <font>
      <b/>
      <sz val="11"/>
      <color theme="1"/>
      <name val="B Nazanin"/>
      <charset val="178"/>
    </font>
    <font>
      <sz val="14"/>
      <color theme="1"/>
      <name val="Times New Roman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Alignment="1"/>
    <xf numFmtId="0" fontId="9" fillId="7" borderId="1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165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/>
    <xf numFmtId="166" fontId="4" fillId="10" borderId="1" xfId="0" applyNumberFormat="1" applyFont="1" applyFill="1" applyBorder="1" applyAlignment="1">
      <alignment horizontal="center"/>
    </xf>
    <xf numFmtId="166" fontId="4" fillId="10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4" fillId="0" borderId="5" xfId="0" applyFont="1" applyBorder="1"/>
    <xf numFmtId="0" fontId="5" fillId="0" borderId="5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1" applyFont="1" applyFill="1"/>
    <xf numFmtId="0" fontId="5" fillId="0" borderId="0" xfId="0" applyFont="1" applyAlignment="1">
      <alignment horizontal="center"/>
    </xf>
    <xf numFmtId="0" fontId="15" fillId="11" borderId="1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/>
    </xf>
  </cellXfs>
  <cellStyles count="2">
    <cellStyle name="Normal" xfId="0" builtinId="0"/>
    <cellStyle name="標準_熱精算計算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rightToLeft="1" tabSelected="1" zoomScaleNormal="100" workbookViewId="0">
      <selection activeCell="G46" sqref="G46"/>
    </sheetView>
  </sheetViews>
  <sheetFormatPr defaultRowHeight="14.25"/>
  <cols>
    <col min="1" max="1" width="36.5" bestFit="1" customWidth="1"/>
    <col min="10" max="11" width="18" bestFit="1" customWidth="1"/>
  </cols>
  <sheetData>
    <row r="1" spans="1:14" ht="22.5">
      <c r="A1" s="1"/>
      <c r="B1" s="1" t="s">
        <v>0</v>
      </c>
      <c r="C1" s="1" t="s">
        <v>18</v>
      </c>
      <c r="D1" s="1" t="s">
        <v>1</v>
      </c>
      <c r="E1" s="1" t="s">
        <v>19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6</v>
      </c>
      <c r="L1" s="1" t="s">
        <v>43</v>
      </c>
      <c r="M1" s="1" t="s">
        <v>34</v>
      </c>
      <c r="N1" s="1" t="s">
        <v>21</v>
      </c>
    </row>
    <row r="2" spans="1:14" ht="22.5">
      <c r="A2" s="2" t="s">
        <v>45</v>
      </c>
      <c r="B2" s="2">
        <v>90.105999999999995</v>
      </c>
      <c r="C2" s="2">
        <v>0</v>
      </c>
      <c r="D2" s="2">
        <v>3.1459999999999999</v>
      </c>
      <c r="E2" s="2">
        <v>0</v>
      </c>
      <c r="F2" s="2">
        <v>0.77900000000000003</v>
      </c>
      <c r="G2" s="2">
        <v>0.50800000000000001</v>
      </c>
      <c r="H2" s="2">
        <v>0</v>
      </c>
      <c r="I2" s="2">
        <v>1.0189999999999999</v>
      </c>
      <c r="J2" s="2">
        <v>0</v>
      </c>
      <c r="K2" s="2">
        <v>4.4420000000000002</v>
      </c>
      <c r="L2" s="2"/>
      <c r="M2" s="2"/>
      <c r="N2" s="1">
        <f>SUM(B2:K2)</f>
        <v>100</v>
      </c>
    </row>
    <row r="3" spans="1:14" ht="22.5">
      <c r="A3" s="2" t="s">
        <v>46</v>
      </c>
      <c r="B3" s="33"/>
      <c r="C3" s="34"/>
      <c r="D3" s="34"/>
      <c r="E3" s="34"/>
      <c r="F3" s="34"/>
      <c r="G3" s="34"/>
      <c r="H3" s="35"/>
      <c r="I3" s="24">
        <f>B16</f>
        <v>7.6137637723988041</v>
      </c>
      <c r="J3" s="24"/>
      <c r="K3" s="24">
        <f>100-(I3+L3+M3)</f>
        <v>85.371385514847262</v>
      </c>
      <c r="L3" s="24">
        <f>21-(21/B14)</f>
        <v>7.0148507127539332</v>
      </c>
      <c r="M3" s="24">
        <v>0</v>
      </c>
      <c r="N3" s="1"/>
    </row>
    <row r="4" spans="1:14" ht="22.5">
      <c r="A4" s="1" t="s">
        <v>8</v>
      </c>
      <c r="B4" s="1">
        <f>B2/100</f>
        <v>0.90105999999999997</v>
      </c>
      <c r="C4" s="1">
        <f>C2/100</f>
        <v>0</v>
      </c>
      <c r="D4" s="1">
        <f t="shared" ref="D4:K4" si="0">D2/100</f>
        <v>3.1460000000000002E-2</v>
      </c>
      <c r="E4" s="1">
        <f t="shared" si="0"/>
        <v>0</v>
      </c>
      <c r="F4" s="1">
        <f t="shared" si="0"/>
        <v>7.79E-3</v>
      </c>
      <c r="G4" s="1">
        <f t="shared" si="0"/>
        <v>5.0800000000000003E-3</v>
      </c>
      <c r="H4" s="1">
        <f t="shared" si="0"/>
        <v>0</v>
      </c>
      <c r="I4" s="1">
        <f t="shared" si="0"/>
        <v>1.0189999999999999E-2</v>
      </c>
      <c r="J4" s="1">
        <f t="shared" si="0"/>
        <v>0</v>
      </c>
      <c r="K4" s="1">
        <f t="shared" si="0"/>
        <v>4.4420000000000001E-2</v>
      </c>
      <c r="L4" s="1"/>
      <c r="M4" s="1"/>
      <c r="N4" s="1"/>
    </row>
    <row r="5" spans="1:14" ht="22.5">
      <c r="A5" s="1" t="s">
        <v>20</v>
      </c>
      <c r="B5" s="1">
        <v>0.71750000000000003</v>
      </c>
      <c r="C5" s="1">
        <v>1.2611000000000001</v>
      </c>
      <c r="D5" s="1">
        <v>1.355</v>
      </c>
      <c r="E5" s="1">
        <v>1.9129</v>
      </c>
      <c r="F5" s="1">
        <v>2.0110000000000001</v>
      </c>
      <c r="G5" s="1">
        <v>2.7082999999999999</v>
      </c>
      <c r="H5" s="1">
        <v>2.9569999999999999</v>
      </c>
      <c r="I5" s="1">
        <v>1.9770000000000001</v>
      </c>
      <c r="J5" s="25">
        <f>I44</f>
        <v>0.50403225806451613</v>
      </c>
      <c r="K5" s="1">
        <v>1.2504</v>
      </c>
      <c r="L5" s="1">
        <v>1.429</v>
      </c>
      <c r="M5" s="1"/>
      <c r="N5" s="1">
        <f>B5*B4+C4*C5+D5*D4+E4*E5+F5*F4+G5*G4+H4*H5+I5*I4+K5*K4</f>
        <v>0.79425110199999993</v>
      </c>
    </row>
    <row r="6" spans="1:14" ht="22.5">
      <c r="A6" s="1" t="s">
        <v>10</v>
      </c>
      <c r="B6" s="1">
        <f>B4*B5/$N$5</f>
        <v>0.81398760212233245</v>
      </c>
      <c r="C6" s="1">
        <f t="shared" ref="C6:E6" si="1">C4*C5/$N$5</f>
        <v>0</v>
      </c>
      <c r="D6" s="1">
        <f t="shared" si="1"/>
        <v>5.3671061824979382E-2</v>
      </c>
      <c r="E6" s="1">
        <f t="shared" si="1"/>
        <v>0</v>
      </c>
      <c r="F6" s="1">
        <f>F4*F5/$N$5</f>
        <v>1.9723850505907137E-2</v>
      </c>
      <c r="G6" s="1">
        <f>G4*G5/$N$5</f>
        <v>1.7322184338624941E-2</v>
      </c>
      <c r="H6" s="1">
        <f t="shared" ref="H6" si="2">H4*H5/$N$5</f>
        <v>0</v>
      </c>
      <c r="I6" s="1">
        <f>I4*I5/$N$5</f>
        <v>2.5364308528211525E-2</v>
      </c>
      <c r="J6" s="1">
        <f>J4*J5/$N$5</f>
        <v>0</v>
      </c>
      <c r="K6" s="1">
        <f>K4*K5/$N$5</f>
        <v>6.9930992679944695E-2</v>
      </c>
      <c r="L6" s="1">
        <v>0</v>
      </c>
      <c r="M6" s="1"/>
      <c r="N6" s="1">
        <f>SUM(B6:K6)</f>
        <v>1.0000000000000002</v>
      </c>
    </row>
    <row r="7" spans="1:14" ht="22.5">
      <c r="A7" s="1" t="s">
        <v>17</v>
      </c>
      <c r="B7" s="1">
        <v>55499</v>
      </c>
      <c r="C7" s="1">
        <v>50284</v>
      </c>
      <c r="D7" s="1">
        <v>51876</v>
      </c>
      <c r="E7" s="1">
        <v>48918</v>
      </c>
      <c r="F7" s="1">
        <v>50346</v>
      </c>
      <c r="G7" s="1">
        <v>49500</v>
      </c>
      <c r="H7" s="1">
        <v>48776</v>
      </c>
      <c r="I7" s="1">
        <v>0</v>
      </c>
      <c r="J7" s="1"/>
      <c r="K7" s="1">
        <v>0</v>
      </c>
      <c r="L7" s="1"/>
      <c r="M7" s="1"/>
      <c r="N7" s="1">
        <f>(B6*B7+C6*C7+D6*D7+E6*E7+F6*F7+G6*G7+H6*H7)</f>
        <v>49810.203035752296</v>
      </c>
    </row>
    <row r="8" spans="1:14" ht="22.5">
      <c r="A8" s="2" t="s">
        <v>23</v>
      </c>
      <c r="B8" s="2">
        <v>25</v>
      </c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</row>
    <row r="9" spans="1:14" ht="22.5">
      <c r="A9" s="2" t="s">
        <v>9</v>
      </c>
      <c r="B9" s="2">
        <v>180</v>
      </c>
      <c r="C9" s="36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</row>
    <row r="10" spans="1:14" ht="22.5">
      <c r="A10" s="1" t="s">
        <v>11</v>
      </c>
      <c r="B10" s="1">
        <v>16.0428</v>
      </c>
      <c r="C10" s="1">
        <v>28.053599999999999</v>
      </c>
      <c r="D10" s="1">
        <v>30.069299999999998</v>
      </c>
      <c r="E10" s="1">
        <v>42.080399999999997</v>
      </c>
      <c r="F10" s="1">
        <v>44.096200000000003</v>
      </c>
      <c r="G10" s="1">
        <v>58.122999999999998</v>
      </c>
      <c r="H10" s="1">
        <v>72.150000000000006</v>
      </c>
      <c r="I10" s="1">
        <v>44.009799999999998</v>
      </c>
      <c r="J10" s="1">
        <v>18.02</v>
      </c>
      <c r="K10" s="1">
        <v>28.013400000000001</v>
      </c>
      <c r="L10" s="1"/>
      <c r="M10" s="1"/>
      <c r="N10" s="1">
        <f>B4*B10+D4*D10+F4*F10+G4*G10+I4*I10+K4*K10</f>
        <v>17.733094873999999</v>
      </c>
    </row>
    <row r="11" spans="1:14" ht="22.5">
      <c r="A11" s="1" t="s">
        <v>12</v>
      </c>
      <c r="B11" s="36"/>
      <c r="C11" s="37"/>
      <c r="D11" s="37"/>
      <c r="E11" s="37"/>
      <c r="F11" s="37"/>
      <c r="G11" s="37"/>
      <c r="H11" s="37"/>
      <c r="I11" s="37"/>
      <c r="J11" s="37"/>
      <c r="K11" s="38"/>
      <c r="L11" s="6"/>
      <c r="M11" s="6"/>
      <c r="N11" s="1">
        <f>2*B4*J10+2*C4*J10+3*D4*J10+3*E4*J10+4*F4*J10+5*G4*J10+6*H4*J10</f>
        <v>35.19414119999999</v>
      </c>
    </row>
    <row r="12" spans="1:14" ht="22.5">
      <c r="A12" s="1" t="s">
        <v>14</v>
      </c>
      <c r="B12" s="1">
        <f>N11/N10</f>
        <v>1.9846587101725328</v>
      </c>
      <c r="C12" s="36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8"/>
    </row>
    <row r="13" spans="1:14" ht="22.5">
      <c r="A13" s="2" t="s">
        <v>58</v>
      </c>
      <c r="B13" s="2">
        <v>7.52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ht="22.5">
      <c r="A14" s="1" t="s">
        <v>24</v>
      </c>
      <c r="B14" s="1">
        <f>1+((N14/G14)*(B13/(21-B13)))</f>
        <v>1.501592837421565</v>
      </c>
      <c r="C14" s="1">
        <f>B14-1</f>
        <v>0.50159283742156502</v>
      </c>
      <c r="D14" s="42" t="s">
        <v>53</v>
      </c>
      <c r="E14" s="44"/>
      <c r="F14" s="43"/>
      <c r="G14" s="8">
        <f>1/0.21*(2*B4+3*C4+3.5*D4+4.5*E4+5*F4+6.5*G4+8*H4)</f>
        <v>9.4485714285714284</v>
      </c>
      <c r="H14" s="42" t="s">
        <v>52</v>
      </c>
      <c r="I14" s="43"/>
      <c r="J14" s="8">
        <f>1+G14</f>
        <v>10.448571428571428</v>
      </c>
      <c r="K14" s="41" t="s">
        <v>54</v>
      </c>
      <c r="L14" s="8">
        <f>2*B4+2*C4+3*D4+3*E4+4*F4+5*G4+6*H4</f>
        <v>1.95306</v>
      </c>
      <c r="M14" s="41" t="s">
        <v>55</v>
      </c>
      <c r="N14" s="8">
        <f>J14-L14</f>
        <v>8.4955114285714277</v>
      </c>
    </row>
    <row r="15" spans="1:14" ht="22.5">
      <c r="A15" s="41" t="s">
        <v>56</v>
      </c>
      <c r="B15" s="24">
        <f>100/N14*(B4+2*C4+2*D4+3*E4+3*F4+4*G4+5*H4)</f>
        <v>11.861204689938788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ht="22.5">
      <c r="A16" s="41" t="s">
        <v>57</v>
      </c>
      <c r="B16" s="24">
        <f>B15*((21-B13)/21)</f>
        <v>7.6137637723988041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8" ht="22.5">
      <c r="A17" s="1" t="s">
        <v>16</v>
      </c>
      <c r="B17" s="1">
        <f>B6*(I10+C14*2*32+((1+C14)*0.79/0.21*2*K10))+C6*(2*I10+C14*3*32+((1+C14)*0.79/0.21*3*K10))+D6*(2*I10+C14*3.5*32+((1+C14)*0.79/0.21*3.5*K10))+E6*(3*I10+C14*4.5*32+((1+C14)*0.79/0.21*4.5*K10))+F6*(3*I10+C14*5*32+((1+C14)*0.79/0.21*5*K10))+G6*(4*I10+C14*6.5*32+((1+C14)*0.79/0.21*6.5*K10))+H6*(5*I10+C14*8*32+((1+C14)*0.79/0.21*8*K10))+I6*I10+K6*K10</f>
        <v>402.57768372291827</v>
      </c>
      <c r="C17" s="36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8"/>
    </row>
    <row r="18" spans="1:18" ht="22.5">
      <c r="A18" s="1" t="s">
        <v>15</v>
      </c>
      <c r="B18" s="1">
        <f>B17/N10</f>
        <v>22.70205435562022</v>
      </c>
      <c r="C18" s="36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8"/>
    </row>
    <row r="19" spans="1:18" ht="22.5">
      <c r="A19" s="1" t="s">
        <v>50</v>
      </c>
      <c r="B19" s="1">
        <f ca="1">(E46+E53)/(2*N5)</f>
        <v>1.6757238998474524</v>
      </c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8" ht="22.5">
      <c r="A20" s="1" t="s">
        <v>51</v>
      </c>
      <c r="B20" s="1">
        <f>(D45+D52)/(2*J5)</f>
        <v>2.8440639999999999</v>
      </c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8" ht="22.5">
      <c r="A21" s="1" t="s">
        <v>22</v>
      </c>
      <c r="B21" s="1">
        <f ca="1">B18*B19*(B9-B8)+B12*B20*(B9-B8)</f>
        <v>6771.4650746317184</v>
      </c>
      <c r="C21" s="36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/>
    </row>
    <row r="22" spans="1:18" ht="22.5">
      <c r="A22" s="3" t="s">
        <v>13</v>
      </c>
      <c r="B22" s="3">
        <f ca="1">(1-(B21/N7))*100</f>
        <v>86.405465824398746</v>
      </c>
      <c r="C22" s="36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8"/>
    </row>
    <row r="26" spans="1:18" ht="15.75">
      <c r="A26" s="39" t="s">
        <v>25</v>
      </c>
      <c r="B26" s="39"/>
      <c r="C26" s="40" t="s">
        <v>26</v>
      </c>
      <c r="D26" s="40"/>
      <c r="E26" s="9"/>
      <c r="F26" s="9"/>
      <c r="K26" s="10"/>
      <c r="L26" s="10"/>
      <c r="M26" s="10"/>
      <c r="N26" s="10"/>
    </row>
    <row r="27" spans="1:18" ht="18">
      <c r="A27" s="30" t="s">
        <v>27</v>
      </c>
      <c r="B27" s="30"/>
      <c r="C27" s="30"/>
      <c r="D27" s="30"/>
      <c r="E27" s="31" t="s">
        <v>28</v>
      </c>
      <c r="F27" s="31"/>
      <c r="G27" s="31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ht="21">
      <c r="A28" s="11" t="s">
        <v>29</v>
      </c>
      <c r="B28" s="11" t="s">
        <v>30</v>
      </c>
      <c r="C28" s="11" t="s">
        <v>31</v>
      </c>
      <c r="D28" s="11" t="s">
        <v>32</v>
      </c>
      <c r="E28" s="11" t="s">
        <v>33</v>
      </c>
      <c r="I28" s="26" t="s">
        <v>47</v>
      </c>
      <c r="J28" s="26" t="s">
        <v>48</v>
      </c>
      <c r="K28" s="26" t="s">
        <v>49</v>
      </c>
      <c r="L28" s="10"/>
      <c r="M28" s="10"/>
      <c r="N28" s="10"/>
      <c r="O28" s="10"/>
      <c r="P28" s="10"/>
      <c r="Q28" s="10"/>
      <c r="R28" s="10"/>
    </row>
    <row r="29" spans="1:18" ht="15.75">
      <c r="A29" s="12">
        <v>0</v>
      </c>
      <c r="B29" s="13">
        <v>1.62</v>
      </c>
      <c r="C29" s="13">
        <v>1.306</v>
      </c>
      <c r="D29" s="13">
        <v>1.302</v>
      </c>
      <c r="E29" s="13">
        <v>1.427</v>
      </c>
      <c r="I29" s="12">
        <v>100</v>
      </c>
      <c r="J29" s="13">
        <v>1.696</v>
      </c>
      <c r="K29" s="13">
        <f>1/J29</f>
        <v>0.589622641509434</v>
      </c>
      <c r="L29" s="10"/>
      <c r="M29" s="10"/>
      <c r="N29" s="10"/>
      <c r="O29" s="10"/>
      <c r="P29" s="10"/>
      <c r="Q29" s="10"/>
      <c r="R29" s="10"/>
    </row>
    <row r="30" spans="1:18" ht="15.75">
      <c r="A30" s="12">
        <v>100</v>
      </c>
      <c r="B30" s="13">
        <v>1.7250000000000001</v>
      </c>
      <c r="C30" s="13">
        <v>1.319</v>
      </c>
      <c r="D30" s="13">
        <v>1.302</v>
      </c>
      <c r="E30" s="13">
        <v>1.44</v>
      </c>
      <c r="I30" s="12">
        <v>120</v>
      </c>
      <c r="J30" s="13">
        <v>1.7929999999999999</v>
      </c>
      <c r="K30" s="13">
        <f t="shared" ref="K30:K39" si="3">1/J30</f>
        <v>0.5577244841048522</v>
      </c>
      <c r="L30" s="10"/>
      <c r="M30" s="10"/>
      <c r="N30" s="10"/>
      <c r="O30" s="10"/>
      <c r="P30" s="10"/>
      <c r="Q30" s="10"/>
      <c r="R30" s="10"/>
    </row>
    <row r="31" spans="1:18" ht="15.75">
      <c r="A31" s="12">
        <v>200</v>
      </c>
      <c r="B31" s="13">
        <v>1.8080000000000001</v>
      </c>
      <c r="C31" s="13">
        <v>1.34</v>
      </c>
      <c r="D31" s="13">
        <v>1.306</v>
      </c>
      <c r="E31" s="13">
        <v>1.4570000000000001</v>
      </c>
      <c r="I31" s="12">
        <v>160</v>
      </c>
      <c r="J31" s="13">
        <v>1.984</v>
      </c>
      <c r="K31" s="13">
        <f t="shared" si="3"/>
        <v>0.50403225806451613</v>
      </c>
      <c r="L31" s="10"/>
      <c r="M31" s="10"/>
      <c r="N31" s="10"/>
      <c r="O31" s="10"/>
      <c r="P31" s="10"/>
      <c r="Q31" s="10"/>
      <c r="R31" s="10"/>
    </row>
    <row r="32" spans="1:18" ht="15.75">
      <c r="A32" s="12">
        <v>300</v>
      </c>
      <c r="B32" s="13">
        <v>1.8839999999999999</v>
      </c>
      <c r="C32" s="13">
        <v>1.36</v>
      </c>
      <c r="D32" s="13">
        <v>1.31</v>
      </c>
      <c r="E32" s="13">
        <v>1.4730000000000001</v>
      </c>
      <c r="I32" s="12">
        <v>200</v>
      </c>
      <c r="J32" s="13">
        <v>2.1720000000000002</v>
      </c>
      <c r="K32" s="13">
        <f t="shared" si="3"/>
        <v>0.46040515653775321</v>
      </c>
      <c r="L32" s="10"/>
      <c r="M32" s="10"/>
      <c r="N32" s="10"/>
      <c r="O32" s="10"/>
      <c r="P32" s="10"/>
      <c r="Q32" s="10"/>
      <c r="R32" s="10"/>
    </row>
    <row r="33" spans="1:18" ht="15.75">
      <c r="A33" s="12">
        <v>400</v>
      </c>
      <c r="B33" s="13">
        <v>1.9510000000000001</v>
      </c>
      <c r="C33" s="13">
        <v>1.381</v>
      </c>
      <c r="D33" s="13">
        <v>1.323</v>
      </c>
      <c r="E33" s="13">
        <v>1.494</v>
      </c>
      <c r="I33" s="12">
        <v>240</v>
      </c>
      <c r="J33" s="13">
        <v>2.359</v>
      </c>
      <c r="K33" s="13">
        <f t="shared" si="3"/>
        <v>0.42390843577787196</v>
      </c>
      <c r="L33" s="10"/>
      <c r="M33" s="10"/>
      <c r="N33" s="10"/>
      <c r="O33" s="10"/>
      <c r="P33" s="10"/>
      <c r="Q33" s="10"/>
      <c r="R33" s="10"/>
    </row>
    <row r="34" spans="1:18" ht="15.75">
      <c r="A34" s="12">
        <v>500</v>
      </c>
      <c r="B34" s="13">
        <v>2.0089999999999999</v>
      </c>
      <c r="C34" s="13">
        <v>1.3979999999999999</v>
      </c>
      <c r="D34" s="13">
        <v>1.335</v>
      </c>
      <c r="E34" s="13">
        <v>1.52</v>
      </c>
      <c r="I34" s="12">
        <v>280</v>
      </c>
      <c r="J34" s="13">
        <v>2.5459999999999998</v>
      </c>
      <c r="K34" s="13">
        <f t="shared" si="3"/>
        <v>0.39277297721916737</v>
      </c>
      <c r="L34" s="10"/>
      <c r="M34" s="10"/>
      <c r="N34" s="10"/>
      <c r="O34" s="10"/>
      <c r="P34" s="10"/>
      <c r="Q34" s="10"/>
      <c r="R34" s="10"/>
    </row>
    <row r="35" spans="1:18" ht="15.75">
      <c r="A35" s="12">
        <v>600</v>
      </c>
      <c r="B35" s="13">
        <v>2.0640000000000001</v>
      </c>
      <c r="C35" s="13">
        <v>1.419</v>
      </c>
      <c r="D35" s="13">
        <v>1.3440000000000001</v>
      </c>
      <c r="E35" s="13">
        <v>1.5449999999999999</v>
      </c>
      <c r="I35" s="12">
        <v>320</v>
      </c>
      <c r="J35" s="13">
        <v>2.7320000000000002</v>
      </c>
      <c r="K35" s="13">
        <f t="shared" si="3"/>
        <v>0.3660322108345534</v>
      </c>
      <c r="L35" s="10"/>
      <c r="M35" s="10"/>
      <c r="N35" s="10"/>
      <c r="O35" s="10"/>
      <c r="P35" s="10"/>
      <c r="Q35" s="10"/>
      <c r="R35" s="10"/>
    </row>
    <row r="36" spans="1:18" ht="15.75">
      <c r="A36" s="12">
        <v>700</v>
      </c>
      <c r="B36" s="13">
        <v>2.11</v>
      </c>
      <c r="C36" s="13">
        <v>1.4359999999999999</v>
      </c>
      <c r="D36" s="13">
        <v>1.36</v>
      </c>
      <c r="E36" s="13">
        <v>1.57</v>
      </c>
      <c r="I36" s="12">
        <v>360</v>
      </c>
      <c r="J36" s="13">
        <v>2.9169999999999998</v>
      </c>
      <c r="K36" s="13">
        <f t="shared" si="3"/>
        <v>0.34281796366129585</v>
      </c>
      <c r="L36" s="10"/>
      <c r="M36" s="10"/>
      <c r="N36" s="10"/>
      <c r="O36" s="10"/>
      <c r="P36" s="10"/>
      <c r="Q36" s="10"/>
      <c r="R36" s="10"/>
    </row>
    <row r="37" spans="1:18" ht="15.75">
      <c r="A37" s="12">
        <v>800</v>
      </c>
      <c r="B37" s="13">
        <v>2.1560000000000001</v>
      </c>
      <c r="C37" s="13">
        <v>1.4530000000000001</v>
      </c>
      <c r="D37" s="13">
        <v>1.377</v>
      </c>
      <c r="E37" s="13">
        <v>1.595</v>
      </c>
      <c r="I37" s="12">
        <v>400</v>
      </c>
      <c r="J37" s="13">
        <v>3.1030000000000002</v>
      </c>
      <c r="K37" s="13">
        <f t="shared" si="3"/>
        <v>0.32226877215597804</v>
      </c>
      <c r="L37" s="10"/>
      <c r="M37" s="10"/>
      <c r="N37" s="10"/>
      <c r="O37" s="10"/>
      <c r="P37" s="10"/>
      <c r="Q37" s="10"/>
      <c r="R37" s="10"/>
    </row>
    <row r="38" spans="1:18" ht="15.75">
      <c r="A38" s="12">
        <v>900</v>
      </c>
      <c r="B38" s="13">
        <v>2.1890000000000001</v>
      </c>
      <c r="C38" s="13">
        <v>1.4690000000000001</v>
      </c>
      <c r="D38" s="13">
        <v>1.3859999999999999</v>
      </c>
      <c r="E38" s="13">
        <v>1.62</v>
      </c>
      <c r="I38" s="12">
        <v>440</v>
      </c>
      <c r="J38" s="13">
        <v>3.2879999999999998</v>
      </c>
      <c r="K38" s="13">
        <f t="shared" si="3"/>
        <v>0.30413625304136255</v>
      </c>
      <c r="L38" s="10"/>
      <c r="M38" s="10"/>
      <c r="N38" s="10"/>
      <c r="O38" s="10"/>
      <c r="P38" s="10"/>
      <c r="Q38" s="10"/>
      <c r="R38" s="10"/>
    </row>
    <row r="39" spans="1:18" ht="15.75">
      <c r="A39" s="12">
        <v>1000</v>
      </c>
      <c r="B39" s="13">
        <v>2.2269999999999999</v>
      </c>
      <c r="C39" s="13">
        <v>1.482</v>
      </c>
      <c r="D39" s="13">
        <v>1.3979999999999999</v>
      </c>
      <c r="E39" s="13">
        <v>1.645</v>
      </c>
      <c r="I39" s="12">
        <v>500</v>
      </c>
      <c r="J39" s="13">
        <v>3.5649999999999999</v>
      </c>
      <c r="K39" s="13">
        <f t="shared" si="3"/>
        <v>0.28050490883590462</v>
      </c>
      <c r="L39" s="10"/>
      <c r="M39" s="10"/>
      <c r="N39" s="10"/>
      <c r="O39" s="10"/>
      <c r="P39" s="10"/>
      <c r="Q39" s="10"/>
      <c r="R39" s="10"/>
    </row>
    <row r="41" spans="1:18" ht="19.5">
      <c r="A41" s="9"/>
      <c r="B41" s="27" t="s">
        <v>42</v>
      </c>
      <c r="C41" s="27"/>
      <c r="D41" s="27"/>
      <c r="E41" s="28"/>
      <c r="I41" s="29" t="s">
        <v>44</v>
      </c>
      <c r="J41" s="29"/>
      <c r="K41" s="29"/>
    </row>
    <row r="42" spans="1:18" ht="15">
      <c r="A42" s="9" t="s">
        <v>36</v>
      </c>
      <c r="B42" s="15">
        <f>B9</f>
        <v>180</v>
      </c>
      <c r="C42" s="16">
        <v>0</v>
      </c>
      <c r="D42" s="9"/>
      <c r="E42" s="9"/>
      <c r="I42" s="9" t="s">
        <v>36</v>
      </c>
      <c r="J42" s="15">
        <f>B9</f>
        <v>180</v>
      </c>
      <c r="K42" s="16">
        <v>0</v>
      </c>
    </row>
    <row r="43" spans="1:18" ht="16.5">
      <c r="A43" s="23" t="s">
        <v>37</v>
      </c>
      <c r="B43" s="23" t="s">
        <v>38</v>
      </c>
      <c r="C43" s="23" t="s">
        <v>39</v>
      </c>
      <c r="D43" s="23" t="s">
        <v>40</v>
      </c>
      <c r="E43" s="23" t="s">
        <v>41</v>
      </c>
      <c r="I43" s="23" t="s">
        <v>7</v>
      </c>
    </row>
    <row r="44" spans="1:18" ht="15">
      <c r="A44" s="15">
        <f>I3</f>
        <v>7.6137637723988041</v>
      </c>
      <c r="B44" s="15">
        <f>L3</f>
        <v>7.0148507127539332</v>
      </c>
      <c r="C44" s="18">
        <f>K3</f>
        <v>85.371385514847262</v>
      </c>
      <c r="D44" s="18"/>
      <c r="E44" s="18">
        <f>SUM(A44:C44)</f>
        <v>100</v>
      </c>
      <c r="I44" s="19">
        <f>(LOOKUP(J42+100,I29:I39,K29:K39)-LOOKUP(J42,I29:I39,K29:K39))/100*K42+LOOKUP(J42,I29:I39,K29:K39)</f>
        <v>0.50403225806451613</v>
      </c>
    </row>
    <row r="45" spans="1:18" ht="15">
      <c r="A45" s="19">
        <f>(LOOKUP(B42+100,A29:A39,B29:B39)-LOOKUP(B42,A29:A39,B29:B39))/100*C42+LOOKUP(B42,A29:A39,B29:B39)</f>
        <v>1.7250000000000001</v>
      </c>
      <c r="B45" s="19">
        <f ca="1">(LOOKUP(B42+100,A29:A39,C29:C34)-LOOKUP(B42,A29:A39,C29:C39))/100*C42+LOOKUP(B42,A29:A39,C29:C39)</f>
        <v>1.319</v>
      </c>
      <c r="C45" s="19">
        <f>(LOOKUP(B42+100,A29:A39,D29:D39)-LOOKUP(B42,A29:A39,D29:D39))/100*C42+LOOKUP(B42,A29:A39,D29:D39)</f>
        <v>1.302</v>
      </c>
      <c r="D45" s="19">
        <f>(LOOKUP(B42+100,A29:A39,E29:E39)-LOOKUP(B42,A29:A39,E29:E39))/100*C42+LOOKUP(B42,A29:A39,E29:E39)</f>
        <v>1.44</v>
      </c>
      <c r="E45" s="20"/>
    </row>
    <row r="46" spans="1:18" ht="15">
      <c r="A46" s="21">
        <f>A45*A44/100</f>
        <v>0.13133742507387938</v>
      </c>
      <c r="B46" s="21">
        <f ca="1">B45*B44/100</f>
        <v>9.2525880901224364E-2</v>
      </c>
      <c r="C46" s="21">
        <f>C45*C44/100</f>
        <v>1.1115354394033112</v>
      </c>
      <c r="D46" s="20"/>
      <c r="E46" s="22">
        <f ca="1">SUM(A46:C46)</f>
        <v>1.3353987453784151</v>
      </c>
    </row>
    <row r="47" spans="1:18" ht="15">
      <c r="A47" s="9"/>
      <c r="B47" s="9"/>
      <c r="C47" s="9"/>
      <c r="D47" s="9"/>
      <c r="E47" s="9"/>
    </row>
    <row r="48" spans="1:18" ht="19.5">
      <c r="A48" s="14"/>
      <c r="B48" s="32" t="s">
        <v>35</v>
      </c>
      <c r="C48" s="32"/>
      <c r="D48" s="32"/>
      <c r="E48" s="32"/>
    </row>
    <row r="49" spans="1:5" ht="15">
      <c r="A49" s="9" t="s">
        <v>36</v>
      </c>
      <c r="B49" s="15">
        <f>B8</f>
        <v>25</v>
      </c>
      <c r="C49" s="16">
        <v>0</v>
      </c>
      <c r="D49" s="9"/>
      <c r="E49" s="9"/>
    </row>
    <row r="50" spans="1:5" ht="16.5">
      <c r="A50" s="17" t="s">
        <v>37</v>
      </c>
      <c r="B50" s="17" t="s">
        <v>38</v>
      </c>
      <c r="C50" s="17" t="s">
        <v>39</v>
      </c>
      <c r="D50" s="17" t="s">
        <v>40</v>
      </c>
      <c r="E50" s="17" t="s">
        <v>41</v>
      </c>
    </row>
    <row r="51" spans="1:5">
      <c r="A51" s="15">
        <f>A44</f>
        <v>7.6137637723988041</v>
      </c>
      <c r="B51" s="15">
        <f>B44</f>
        <v>7.0148507127539332</v>
      </c>
      <c r="C51" s="18">
        <f>C44</f>
        <v>85.371385514847262</v>
      </c>
      <c r="D51" s="18"/>
      <c r="E51" s="18">
        <f>SUM(A51:C51)</f>
        <v>100</v>
      </c>
    </row>
    <row r="52" spans="1:5" ht="15">
      <c r="A52" s="19">
        <f>(LOOKUP(B49+100,A29:A39,B29:B39)-LOOKUP(B49,A29:A39,B29:B39))/100*C49+LOOKUP(B49,A29:A39,B29:B39)</f>
        <v>1.62</v>
      </c>
      <c r="B52" s="19">
        <f>(LOOKUP(B49+100,A29:A39,C29:C39)-LOOKUP(B49,A29:A39,C29:C39))/100*C49+LOOKUP(B49,A29:A39,C29:C39)</f>
        <v>1.306</v>
      </c>
      <c r="C52" s="19">
        <f>(LOOKUP(B49+100,A29:A39,D29:D39)-LOOKUP(B49,A29:A39,D29:D39))/100*C49+LOOKUP(B49,A29:A39,D29:D39)</f>
        <v>1.302</v>
      </c>
      <c r="D52" s="19">
        <f>(LOOKUP(B49+100,A29:A39,E29:E39)-LOOKUP(B49,A29:A39,E29:E39))/100*C49+LOOKUP(B49,A29:A39,E29:E39)</f>
        <v>1.427</v>
      </c>
      <c r="E52" s="20"/>
    </row>
    <row r="53" spans="1:5" ht="15">
      <c r="A53" s="21">
        <f>A52*A51/100</f>
        <v>0.12334297311286063</v>
      </c>
      <c r="B53" s="21">
        <f>B52*B51/100</f>
        <v>9.1613950308566366E-2</v>
      </c>
      <c r="C53" s="21">
        <f>C52*C51/100</f>
        <v>1.1115354394033112</v>
      </c>
      <c r="D53" s="20"/>
      <c r="E53" s="22">
        <f>SUM(A53:C53)</f>
        <v>1.3264923628247383</v>
      </c>
    </row>
  </sheetData>
  <mergeCells count="17">
    <mergeCell ref="D14:F14"/>
    <mergeCell ref="H14:I14"/>
    <mergeCell ref="I41:K41"/>
    <mergeCell ref="A27:D27"/>
    <mergeCell ref="E27:G27"/>
    <mergeCell ref="B48:E48"/>
    <mergeCell ref="B3:H3"/>
    <mergeCell ref="C17:N17"/>
    <mergeCell ref="C18:N18"/>
    <mergeCell ref="C21:N21"/>
    <mergeCell ref="C22:N22"/>
    <mergeCell ref="A26:B26"/>
    <mergeCell ref="C26:D26"/>
    <mergeCell ref="B11:K11"/>
    <mergeCell ref="C9:N9"/>
    <mergeCell ref="C8:N8"/>
    <mergeCell ref="C12:N1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محاسبات راندمان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fateme ebrahimi</dc:creator>
  <cp:lastModifiedBy>fateme ebrahimi</cp:lastModifiedBy>
  <dcterms:created xsi:type="dcterms:W3CDTF">2016-12-19T06:53:17Z</dcterms:created>
  <dcterms:modified xsi:type="dcterms:W3CDTF">2017-02-14T11:22:01Z</dcterms:modified>
</cp:coreProperties>
</file>