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 tabRatio="633" activeTab="9"/>
  </bookViews>
  <sheets>
    <sheet name="Formulaes" sheetId="6" r:id="rId1"/>
    <sheet name="12.1-12.5" sheetId="1" r:id="rId2"/>
    <sheet name="12.6-12.12" sheetId="2" r:id="rId3"/>
    <sheet name="12.13-12.23" sheetId="3" r:id="rId4"/>
    <sheet name="12.24-12.31" sheetId="4" r:id="rId5"/>
    <sheet name="12.32-12.37" sheetId="5" r:id="rId6"/>
    <sheet name="12.38-12.43" sheetId="7" r:id="rId7"/>
    <sheet name="12.44-12.47" sheetId="8" r:id="rId8"/>
    <sheet name="12.48-12.50" sheetId="9" r:id="rId9"/>
    <sheet name="12.51-12.69" sheetId="10" r:id="rId10"/>
  </sheets>
  <calcPr calcId="125725"/>
</workbook>
</file>

<file path=xl/calcChain.xml><?xml version="1.0" encoding="utf-8"?>
<calcChain xmlns="http://schemas.openxmlformats.org/spreadsheetml/2006/main">
  <c r="P61" i="8"/>
  <c r="P60"/>
  <c r="P52"/>
  <c r="N58"/>
  <c r="T55"/>
  <c r="P58" s="1"/>
  <c r="S55"/>
  <c r="R55"/>
  <c r="Q55"/>
  <c r="P55"/>
  <c r="S47"/>
  <c r="O55"/>
  <c r="N55"/>
  <c r="P53"/>
  <c r="P46"/>
  <c r="F60"/>
  <c r="C60"/>
  <c r="B60"/>
  <c r="C55"/>
  <c r="E63"/>
  <c r="E62"/>
  <c r="AI24"/>
  <c r="H57"/>
  <c r="G57"/>
  <c r="F57"/>
  <c r="E57"/>
  <c r="C57"/>
  <c r="B57"/>
  <c r="D53"/>
  <c r="AE14" i="7"/>
  <c r="D52" i="8"/>
  <c r="AH27"/>
  <c r="AH26"/>
  <c r="AF24"/>
  <c r="AE24"/>
  <c r="AK20"/>
  <c r="AJ20"/>
  <c r="AI20"/>
  <c r="AH20"/>
  <c r="AG20"/>
  <c r="AF20"/>
  <c r="AE20"/>
  <c r="T18"/>
  <c r="AG16"/>
  <c r="U17"/>
  <c r="O25"/>
  <c r="V23"/>
  <c r="K27"/>
  <c r="X21"/>
  <c r="Y21" s="1"/>
  <c r="Z21" s="1"/>
  <c r="W21"/>
  <c r="W21" i="7"/>
  <c r="X6"/>
  <c r="X7"/>
  <c r="X8"/>
  <c r="X9"/>
  <c r="X10"/>
  <c r="X11"/>
  <c r="X5"/>
  <c r="U21" i="8"/>
  <c r="P30"/>
  <c r="P29"/>
  <c r="O27"/>
  <c r="M25"/>
  <c r="N23"/>
  <c r="K23"/>
  <c r="P21"/>
  <c r="O21"/>
  <c r="N21"/>
  <c r="M21"/>
  <c r="L21"/>
  <c r="K21"/>
  <c r="J21"/>
  <c r="I20"/>
  <c r="I19"/>
  <c r="I18"/>
  <c r="I16"/>
  <c r="J10"/>
  <c r="AF52" i="7"/>
  <c r="AG49"/>
  <c r="AF48"/>
  <c r="W62"/>
  <c r="V61"/>
  <c r="V58"/>
  <c r="V56"/>
  <c r="X41"/>
  <c r="X42"/>
  <c r="X43"/>
  <c r="X44"/>
  <c r="X45"/>
  <c r="X40"/>
  <c r="T47"/>
  <c r="S47"/>
  <c r="T46"/>
  <c r="S46"/>
  <c r="Y45"/>
  <c r="Z45" s="1"/>
  <c r="W45"/>
  <c r="V45"/>
  <c r="U45"/>
  <c r="Y44"/>
  <c r="Z44" s="1"/>
  <c r="W44"/>
  <c r="V44"/>
  <c r="U44"/>
  <c r="Y43"/>
  <c r="Z43" s="1"/>
  <c r="W43"/>
  <c r="V43"/>
  <c r="U43"/>
  <c r="Y42"/>
  <c r="Z42" s="1"/>
  <c r="W42"/>
  <c r="V42"/>
  <c r="U42"/>
  <c r="Y41"/>
  <c r="Z41" s="1"/>
  <c r="W41"/>
  <c r="V41"/>
  <c r="U41"/>
  <c r="Y40"/>
  <c r="W40"/>
  <c r="W46" s="1"/>
  <c r="V48" s="1"/>
  <c r="V40"/>
  <c r="V46" s="1"/>
  <c r="U40"/>
  <c r="U46" s="1"/>
  <c r="V49" s="1"/>
  <c r="G54"/>
  <c r="G53"/>
  <c r="G52"/>
  <c r="H45"/>
  <c r="G50"/>
  <c r="G48"/>
  <c r="I34"/>
  <c r="I35"/>
  <c r="I36"/>
  <c r="I37"/>
  <c r="I33"/>
  <c r="D40"/>
  <c r="D39"/>
  <c r="E38"/>
  <c r="D38"/>
  <c r="J37"/>
  <c r="K37" s="1"/>
  <c r="H37"/>
  <c r="G37"/>
  <c r="F37"/>
  <c r="J36"/>
  <c r="K36" s="1"/>
  <c r="H36"/>
  <c r="G36"/>
  <c r="F36"/>
  <c r="J35"/>
  <c r="K35" s="1"/>
  <c r="H35"/>
  <c r="G35"/>
  <c r="F35"/>
  <c r="J34"/>
  <c r="K34" s="1"/>
  <c r="H34"/>
  <c r="G34"/>
  <c r="F34"/>
  <c r="J33"/>
  <c r="K33" s="1"/>
  <c r="K38" s="1"/>
  <c r="H33"/>
  <c r="H38" s="1"/>
  <c r="F39" s="1"/>
  <c r="G33"/>
  <c r="G38" s="1"/>
  <c r="K40" s="1"/>
  <c r="F33"/>
  <c r="F38" s="1"/>
  <c r="F40" s="1"/>
  <c r="AI28"/>
  <c r="AI27"/>
  <c r="AJ6"/>
  <c r="AJ7"/>
  <c r="AJ8"/>
  <c r="AJ9"/>
  <c r="AJ10"/>
  <c r="AJ11"/>
  <c r="AJ12"/>
  <c r="AJ5"/>
  <c r="AF14"/>
  <c r="AF13"/>
  <c r="AE13"/>
  <c r="AK12"/>
  <c r="AL12" s="1"/>
  <c r="AI12"/>
  <c r="AH12"/>
  <c r="AG12"/>
  <c r="AK11"/>
  <c r="AL11" s="1"/>
  <c r="AI11"/>
  <c r="AH11"/>
  <c r="AG11"/>
  <c r="AK10"/>
  <c r="AL10" s="1"/>
  <c r="AI10"/>
  <c r="AH10"/>
  <c r="AG10"/>
  <c r="AK9"/>
  <c r="AL9" s="1"/>
  <c r="AI9"/>
  <c r="AH9"/>
  <c r="AG9"/>
  <c r="AK8"/>
  <c r="AL8" s="1"/>
  <c r="AI8"/>
  <c r="AH8"/>
  <c r="AG8"/>
  <c r="AK7"/>
  <c r="AL7" s="1"/>
  <c r="AI7"/>
  <c r="AH7"/>
  <c r="AG7"/>
  <c r="AK6"/>
  <c r="AL6" s="1"/>
  <c r="AI6"/>
  <c r="AH6"/>
  <c r="AG6"/>
  <c r="AK5"/>
  <c r="AI5"/>
  <c r="AI13" s="1"/>
  <c r="AG15" s="1"/>
  <c r="AH5"/>
  <c r="AH13" s="1"/>
  <c r="AG5"/>
  <c r="AG13" s="1"/>
  <c r="AG16" s="1"/>
  <c r="W31"/>
  <c r="W30"/>
  <c r="W27"/>
  <c r="T13"/>
  <c r="S13"/>
  <c r="T12"/>
  <c r="S12"/>
  <c r="W11"/>
  <c r="V11"/>
  <c r="U11"/>
  <c r="W10"/>
  <c r="V10"/>
  <c r="U10"/>
  <c r="W9"/>
  <c r="V9"/>
  <c r="U9"/>
  <c r="W8"/>
  <c r="V8"/>
  <c r="U8"/>
  <c r="W7"/>
  <c r="V7"/>
  <c r="U7"/>
  <c r="W6"/>
  <c r="V6"/>
  <c r="U6"/>
  <c r="W5"/>
  <c r="W12" s="1"/>
  <c r="U15" s="1"/>
  <c r="V5"/>
  <c r="V12" s="1"/>
  <c r="Z16" s="1"/>
  <c r="U5"/>
  <c r="U12" s="1"/>
  <c r="U16" s="1"/>
  <c r="I24"/>
  <c r="I23"/>
  <c r="J25"/>
  <c r="N7"/>
  <c r="N8"/>
  <c r="N9"/>
  <c r="N10"/>
  <c r="N6"/>
  <c r="J12"/>
  <c r="I12"/>
  <c r="J11"/>
  <c r="I11"/>
  <c r="O10"/>
  <c r="P10" s="1"/>
  <c r="M10"/>
  <c r="L10"/>
  <c r="K10"/>
  <c r="O9"/>
  <c r="P9" s="1"/>
  <c r="M9"/>
  <c r="L9"/>
  <c r="K9"/>
  <c r="O8"/>
  <c r="P8" s="1"/>
  <c r="M8"/>
  <c r="L8"/>
  <c r="K8"/>
  <c r="O7"/>
  <c r="P7" s="1"/>
  <c r="M7"/>
  <c r="L7"/>
  <c r="K7"/>
  <c r="O6"/>
  <c r="P6" s="1"/>
  <c r="P11" s="1"/>
  <c r="M20" s="1"/>
  <c r="M6"/>
  <c r="M11" s="1"/>
  <c r="L13" s="1"/>
  <c r="L6"/>
  <c r="L11" s="1"/>
  <c r="K6"/>
  <c r="K11" s="1"/>
  <c r="L14" s="1"/>
  <c r="W24" i="9"/>
  <c r="U21"/>
  <c r="U20"/>
  <c r="U19"/>
  <c r="U18"/>
  <c r="V16"/>
  <c r="V15"/>
  <c r="W15"/>
  <c r="X15"/>
  <c r="U16"/>
  <c r="U15"/>
  <c r="X4"/>
  <c r="X5"/>
  <c r="X6"/>
  <c r="X7"/>
  <c r="X8"/>
  <c r="X9"/>
  <c r="X10"/>
  <c r="X11"/>
  <c r="X12"/>
  <c r="X13"/>
  <c r="X14"/>
  <c r="W4"/>
  <c r="W5"/>
  <c r="W6"/>
  <c r="W7"/>
  <c r="W8"/>
  <c r="W9"/>
  <c r="W10"/>
  <c r="W11"/>
  <c r="W12"/>
  <c r="W13"/>
  <c r="W14"/>
  <c r="X3"/>
  <c r="W3"/>
  <c r="P21"/>
  <c r="O17"/>
  <c r="O16"/>
  <c r="O15"/>
  <c r="O14"/>
  <c r="O12"/>
  <c r="N12"/>
  <c r="O11"/>
  <c r="P11"/>
  <c r="Q11"/>
  <c r="N11"/>
  <c r="Q5"/>
  <c r="Q6"/>
  <c r="Q7"/>
  <c r="Q8"/>
  <c r="Q9"/>
  <c r="Q10"/>
  <c r="Q4"/>
  <c r="P10"/>
  <c r="P5"/>
  <c r="P6"/>
  <c r="P7"/>
  <c r="P8"/>
  <c r="P9"/>
  <c r="P4"/>
  <c r="J18"/>
  <c r="I15"/>
  <c r="D18"/>
  <c r="I14"/>
  <c r="I13"/>
  <c r="K9"/>
  <c r="I12"/>
  <c r="I10"/>
  <c r="H10"/>
  <c r="I9"/>
  <c r="J9"/>
  <c r="K5"/>
  <c r="K6"/>
  <c r="K7"/>
  <c r="K8"/>
  <c r="K4"/>
  <c r="H9"/>
  <c r="J5"/>
  <c r="J6"/>
  <c r="J7"/>
  <c r="J8"/>
  <c r="J4"/>
  <c r="D22"/>
  <c r="D17"/>
  <c r="D16"/>
  <c r="D15"/>
  <c r="C13"/>
  <c r="B13"/>
  <c r="C12"/>
  <c r="D12"/>
  <c r="E12"/>
  <c r="B12"/>
  <c r="E5"/>
  <c r="E6"/>
  <c r="E7"/>
  <c r="E8"/>
  <c r="E9"/>
  <c r="E10"/>
  <c r="E11"/>
  <c r="D5"/>
  <c r="D6"/>
  <c r="D7"/>
  <c r="D8"/>
  <c r="D9"/>
  <c r="D10"/>
  <c r="D11"/>
  <c r="E4"/>
  <c r="D4"/>
  <c r="M1" i="1"/>
  <c r="AC49" i="5"/>
  <c r="AC48"/>
  <c r="AC47"/>
  <c r="AC46"/>
  <c r="AE35"/>
  <c r="AE36"/>
  <c r="AE37"/>
  <c r="AE38"/>
  <c r="AE39"/>
  <c r="AE40"/>
  <c r="AE41"/>
  <c r="AE42"/>
  <c r="AE34"/>
  <c r="AD35"/>
  <c r="AD36"/>
  <c r="AD37"/>
  <c r="AD38"/>
  <c r="AD39"/>
  <c r="AD40"/>
  <c r="AD41"/>
  <c r="AD42"/>
  <c r="AD34"/>
  <c r="AB43"/>
  <c r="AC43"/>
  <c r="AD43"/>
  <c r="AE43"/>
  <c r="AA43"/>
  <c r="AC35"/>
  <c r="AC36"/>
  <c r="AC37"/>
  <c r="AC38"/>
  <c r="AC39"/>
  <c r="AC40"/>
  <c r="AC41"/>
  <c r="AC42"/>
  <c r="AC34"/>
  <c r="U63"/>
  <c r="AB44"/>
  <c r="AA44"/>
  <c r="AG46"/>
  <c r="R40"/>
  <c r="Q40"/>
  <c r="R39"/>
  <c r="Q39"/>
  <c r="U38"/>
  <c r="T38"/>
  <c r="S38"/>
  <c r="U37"/>
  <c r="T37"/>
  <c r="S37"/>
  <c r="U36"/>
  <c r="T36"/>
  <c r="S36"/>
  <c r="U35"/>
  <c r="T35"/>
  <c r="S35"/>
  <c r="U34"/>
  <c r="T34"/>
  <c r="S34"/>
  <c r="U33"/>
  <c r="U39" s="1"/>
  <c r="T41" s="1"/>
  <c r="T33"/>
  <c r="T39" s="1"/>
  <c r="W41" s="1"/>
  <c r="S33"/>
  <c r="S39" s="1"/>
  <c r="T42" s="1"/>
  <c r="C39"/>
  <c r="C38"/>
  <c r="D37"/>
  <c r="C37"/>
  <c r="G36"/>
  <c r="F36"/>
  <c r="E36"/>
  <c r="G35"/>
  <c r="F35"/>
  <c r="E35"/>
  <c r="G34"/>
  <c r="F34"/>
  <c r="E34"/>
  <c r="G33"/>
  <c r="F33"/>
  <c r="E33"/>
  <c r="G32"/>
  <c r="G37" s="1"/>
  <c r="E38" s="1"/>
  <c r="F32"/>
  <c r="F37" s="1"/>
  <c r="J39" s="1"/>
  <c r="E32"/>
  <c r="E37" s="1"/>
  <c r="E39" s="1"/>
  <c r="AI10"/>
  <c r="AI11"/>
  <c r="AI12"/>
  <c r="AI13"/>
  <c r="AI14"/>
  <c r="AI15"/>
  <c r="AI16"/>
  <c r="AI9"/>
  <c r="AJ9" s="1"/>
  <c r="AE5" i="4"/>
  <c r="AE18" i="5"/>
  <c r="AD18"/>
  <c r="AE17"/>
  <c r="AD17"/>
  <c r="AJ16"/>
  <c r="AK16" s="1"/>
  <c r="AH16"/>
  <c r="AG16"/>
  <c r="AF16"/>
  <c r="AJ15"/>
  <c r="AK15" s="1"/>
  <c r="AH15"/>
  <c r="AG15"/>
  <c r="AF15"/>
  <c r="AJ14"/>
  <c r="AK14" s="1"/>
  <c r="AH14"/>
  <c r="AG14"/>
  <c r="AF14"/>
  <c r="AJ13"/>
  <c r="AK13" s="1"/>
  <c r="AH13"/>
  <c r="AG13"/>
  <c r="AF13"/>
  <c r="AJ12"/>
  <c r="AK12" s="1"/>
  <c r="AH12"/>
  <c r="AG12"/>
  <c r="AF12"/>
  <c r="AJ11"/>
  <c r="AK11" s="1"/>
  <c r="AH11"/>
  <c r="AG11"/>
  <c r="AF11"/>
  <c r="AJ10"/>
  <c r="AK10" s="1"/>
  <c r="AH10"/>
  <c r="AG10"/>
  <c r="AF10"/>
  <c r="AH9"/>
  <c r="AH17" s="1"/>
  <c r="AF19" s="1"/>
  <c r="AG9"/>
  <c r="AF9"/>
  <c r="AF17" s="1"/>
  <c r="AF20" s="1"/>
  <c r="Y9"/>
  <c r="Y10"/>
  <c r="Y11"/>
  <c r="Y12"/>
  <c r="Y13"/>
  <c r="Y14"/>
  <c r="Y8"/>
  <c r="Z8" s="1"/>
  <c r="U16"/>
  <c r="T16"/>
  <c r="U15"/>
  <c r="T15"/>
  <c r="Z14"/>
  <c r="AA14" s="1"/>
  <c r="X14"/>
  <c r="W14"/>
  <c r="V14"/>
  <c r="Z13"/>
  <c r="AA13" s="1"/>
  <c r="X13"/>
  <c r="W13"/>
  <c r="V13"/>
  <c r="Z12"/>
  <c r="AA12" s="1"/>
  <c r="X12"/>
  <c r="W12"/>
  <c r="V12"/>
  <c r="Z11"/>
  <c r="AA11" s="1"/>
  <c r="X11"/>
  <c r="W11"/>
  <c r="V11"/>
  <c r="Z10"/>
  <c r="AA10" s="1"/>
  <c r="X10"/>
  <c r="W10"/>
  <c r="V10"/>
  <c r="Z9"/>
  <c r="AA9" s="1"/>
  <c r="X9"/>
  <c r="W9"/>
  <c r="V9"/>
  <c r="X8"/>
  <c r="X15" s="1"/>
  <c r="V18" s="1"/>
  <c r="W8"/>
  <c r="V8"/>
  <c r="V15" s="1"/>
  <c r="V19" s="1"/>
  <c r="J14"/>
  <c r="I14"/>
  <c r="J13"/>
  <c r="I13"/>
  <c r="M12"/>
  <c r="L12"/>
  <c r="K12"/>
  <c r="M11"/>
  <c r="L11"/>
  <c r="K11"/>
  <c r="M10"/>
  <c r="L10"/>
  <c r="K10"/>
  <c r="M9"/>
  <c r="L9"/>
  <c r="K9"/>
  <c r="M8"/>
  <c r="M13" s="1"/>
  <c r="L15" s="1"/>
  <c r="L8"/>
  <c r="L13" s="1"/>
  <c r="H21" s="1"/>
  <c r="K8"/>
  <c r="K13" s="1"/>
  <c r="L16" s="1"/>
  <c r="AI40" i="4"/>
  <c r="AN32"/>
  <c r="AN26"/>
  <c r="AN27"/>
  <c r="AN28"/>
  <c r="AN29"/>
  <c r="AN30"/>
  <c r="AN31"/>
  <c r="AN25"/>
  <c r="AM32"/>
  <c r="AL25"/>
  <c r="AM25" s="1"/>
  <c r="AI35"/>
  <c r="AI34"/>
  <c r="AG32"/>
  <c r="AH33"/>
  <c r="AH32"/>
  <c r="AG33"/>
  <c r="AI32"/>
  <c r="AK26"/>
  <c r="AK27"/>
  <c r="AK32" s="1"/>
  <c r="AI36" s="1"/>
  <c r="AK28"/>
  <c r="AK29"/>
  <c r="AK30"/>
  <c r="AK31"/>
  <c r="AJ26"/>
  <c r="AJ27"/>
  <c r="AJ32" s="1"/>
  <c r="AJ28"/>
  <c r="AJ29"/>
  <c r="AJ30"/>
  <c r="AJ31"/>
  <c r="AI26"/>
  <c r="AI27"/>
  <c r="AI28"/>
  <c r="AI29"/>
  <c r="AI30"/>
  <c r="AI31"/>
  <c r="AK25"/>
  <c r="AJ25"/>
  <c r="AI25"/>
  <c r="AA44"/>
  <c r="AC36"/>
  <c r="AC29"/>
  <c r="AC30"/>
  <c r="AC31"/>
  <c r="AC32"/>
  <c r="AC33"/>
  <c r="AC34"/>
  <c r="AC35"/>
  <c r="AC28"/>
  <c r="AA29"/>
  <c r="AA30"/>
  <c r="AA31"/>
  <c r="AA32"/>
  <c r="AA33"/>
  <c r="AA34"/>
  <c r="AB34" s="1"/>
  <c r="AA35"/>
  <c r="AA28"/>
  <c r="AB28" s="1"/>
  <c r="W37"/>
  <c r="V37"/>
  <c r="W36"/>
  <c r="V36"/>
  <c r="AB35"/>
  <c r="Z35"/>
  <c r="Y35"/>
  <c r="X35"/>
  <c r="Z34"/>
  <c r="Y34"/>
  <c r="X34"/>
  <c r="AB33"/>
  <c r="Z33"/>
  <c r="Y33"/>
  <c r="X33"/>
  <c r="AB32"/>
  <c r="Z32"/>
  <c r="Y32"/>
  <c r="X32"/>
  <c r="AB31"/>
  <c r="Z31"/>
  <c r="Y31"/>
  <c r="X31"/>
  <c r="AB30"/>
  <c r="Z30"/>
  <c r="Y30"/>
  <c r="X30"/>
  <c r="AB29"/>
  <c r="Z29"/>
  <c r="Y29"/>
  <c r="X29"/>
  <c r="Z28"/>
  <c r="Z36" s="1"/>
  <c r="X38" s="1"/>
  <c r="Y28"/>
  <c r="Y36" s="1"/>
  <c r="X39" s="1"/>
  <c r="X28"/>
  <c r="X36" s="1"/>
  <c r="Q37"/>
  <c r="Q34"/>
  <c r="Q29"/>
  <c r="Q30"/>
  <c r="Q31"/>
  <c r="Q32"/>
  <c r="Q33"/>
  <c r="Q28"/>
  <c r="O29"/>
  <c r="O30"/>
  <c r="O31"/>
  <c r="O32"/>
  <c r="O33"/>
  <c r="O28"/>
  <c r="P33"/>
  <c r="P32"/>
  <c r="P31"/>
  <c r="P30"/>
  <c r="P29"/>
  <c r="P28"/>
  <c r="H42"/>
  <c r="F44"/>
  <c r="F43"/>
  <c r="J34"/>
  <c r="J29"/>
  <c r="J30"/>
  <c r="J31"/>
  <c r="J32"/>
  <c r="J33"/>
  <c r="J28"/>
  <c r="H29"/>
  <c r="H30"/>
  <c r="H31"/>
  <c r="H32"/>
  <c r="H33"/>
  <c r="H28"/>
  <c r="D35"/>
  <c r="C35"/>
  <c r="D34"/>
  <c r="C34"/>
  <c r="I33"/>
  <c r="G33"/>
  <c r="F33"/>
  <c r="E33"/>
  <c r="I32"/>
  <c r="G32"/>
  <c r="F32"/>
  <c r="E32"/>
  <c r="I31"/>
  <c r="G31"/>
  <c r="F31"/>
  <c r="E31"/>
  <c r="I30"/>
  <c r="G30"/>
  <c r="F30"/>
  <c r="E30"/>
  <c r="I29"/>
  <c r="G29"/>
  <c r="F29"/>
  <c r="E29"/>
  <c r="I28"/>
  <c r="I34" s="1"/>
  <c r="G28"/>
  <c r="G34" s="1"/>
  <c r="F36" s="1"/>
  <c r="F28"/>
  <c r="F34" s="1"/>
  <c r="E28"/>
  <c r="E34" s="1"/>
  <c r="F37" s="1"/>
  <c r="AQ9"/>
  <c r="AN16"/>
  <c r="AQ5"/>
  <c r="AQ6"/>
  <c r="AQ7"/>
  <c r="AQ8"/>
  <c r="AQ4"/>
  <c r="AO5"/>
  <c r="AO6"/>
  <c r="AO7"/>
  <c r="AO8"/>
  <c r="AO4"/>
  <c r="AP4" s="1"/>
  <c r="AJ11"/>
  <c r="AJ10"/>
  <c r="AK9"/>
  <c r="AJ9"/>
  <c r="AP8"/>
  <c r="AN8"/>
  <c r="AM8"/>
  <c r="AL8"/>
  <c r="AP7"/>
  <c r="AN7"/>
  <c r="AM7"/>
  <c r="AL7"/>
  <c r="AP6"/>
  <c r="AN6"/>
  <c r="AM6"/>
  <c r="AL6"/>
  <c r="AP5"/>
  <c r="AN5"/>
  <c r="AM5"/>
  <c r="AL5"/>
  <c r="AN4"/>
  <c r="AN9" s="1"/>
  <c r="AL10" s="1"/>
  <c r="AM4"/>
  <c r="AM9" s="1"/>
  <c r="AL4"/>
  <c r="AL9" s="1"/>
  <c r="AL11" s="1"/>
  <c r="AA23"/>
  <c r="AA22"/>
  <c r="AC21"/>
  <c r="AE13"/>
  <c r="AF13"/>
  <c r="AF6"/>
  <c r="AF7"/>
  <c r="AF8"/>
  <c r="AF9"/>
  <c r="AF10"/>
  <c r="AF11"/>
  <c r="AF12"/>
  <c r="AF5"/>
  <c r="AD6"/>
  <c r="AD7"/>
  <c r="AD8"/>
  <c r="AD9"/>
  <c r="AD10"/>
  <c r="AD11"/>
  <c r="AE11" s="1"/>
  <c r="AD12"/>
  <c r="AD5"/>
  <c r="Z14"/>
  <c r="Y14"/>
  <c r="Z13"/>
  <c r="Y13"/>
  <c r="AE12"/>
  <c r="AC12"/>
  <c r="AB12"/>
  <c r="AA12"/>
  <c r="AC11"/>
  <c r="AB11"/>
  <c r="AA11"/>
  <c r="AE10"/>
  <c r="AC10"/>
  <c r="AB10"/>
  <c r="AA10"/>
  <c r="AE9"/>
  <c r="AC9"/>
  <c r="AB9"/>
  <c r="AA9"/>
  <c r="AE8"/>
  <c r="AC8"/>
  <c r="AB8"/>
  <c r="AA8"/>
  <c r="AE7"/>
  <c r="AC7"/>
  <c r="AB7"/>
  <c r="AA7"/>
  <c r="AE6"/>
  <c r="AC6"/>
  <c r="AB6"/>
  <c r="AA6"/>
  <c r="AC5"/>
  <c r="AC13" s="1"/>
  <c r="AA15" s="1"/>
  <c r="AB5"/>
  <c r="AB13" s="1"/>
  <c r="AA5"/>
  <c r="AA13" s="1"/>
  <c r="AA16" s="1"/>
  <c r="T11"/>
  <c r="P23"/>
  <c r="P22"/>
  <c r="R20"/>
  <c r="U11"/>
  <c r="U5"/>
  <c r="U6"/>
  <c r="U7"/>
  <c r="U8"/>
  <c r="U9"/>
  <c r="U10"/>
  <c r="U4"/>
  <c r="S5"/>
  <c r="S6"/>
  <c r="S7"/>
  <c r="S8"/>
  <c r="S9"/>
  <c r="S10"/>
  <c r="S4"/>
  <c r="O12"/>
  <c r="N12"/>
  <c r="O11"/>
  <c r="N11"/>
  <c r="T10"/>
  <c r="R10"/>
  <c r="Q10"/>
  <c r="P10"/>
  <c r="T9"/>
  <c r="R9"/>
  <c r="Q9"/>
  <c r="P9"/>
  <c r="T8"/>
  <c r="R8"/>
  <c r="Q8"/>
  <c r="P8"/>
  <c r="T7"/>
  <c r="R7"/>
  <c r="Q7"/>
  <c r="P7"/>
  <c r="T6"/>
  <c r="R6"/>
  <c r="Q6"/>
  <c r="P6"/>
  <c r="T5"/>
  <c r="R5"/>
  <c r="Q5"/>
  <c r="P5"/>
  <c r="T4"/>
  <c r="R4"/>
  <c r="R11" s="1"/>
  <c r="P14" s="1"/>
  <c r="Q4"/>
  <c r="Q11" s="1"/>
  <c r="P4"/>
  <c r="P11" s="1"/>
  <c r="P15" s="1"/>
  <c r="P5" i="3"/>
  <c r="D11" i="4"/>
  <c r="C11"/>
  <c r="D10"/>
  <c r="C10"/>
  <c r="G9"/>
  <c r="F9"/>
  <c r="E9"/>
  <c r="G8"/>
  <c r="F8"/>
  <c r="E8"/>
  <c r="G7"/>
  <c r="F7"/>
  <c r="E7"/>
  <c r="G6"/>
  <c r="F6"/>
  <c r="E6"/>
  <c r="G5"/>
  <c r="G10" s="1"/>
  <c r="F12" s="1"/>
  <c r="F5"/>
  <c r="F10" s="1"/>
  <c r="E5"/>
  <c r="E10" s="1"/>
  <c r="F13" s="1"/>
  <c r="AG25" i="3"/>
  <c r="AG26"/>
  <c r="AG27"/>
  <c r="AG28"/>
  <c r="AG29"/>
  <c r="AG30"/>
  <c r="AG31"/>
  <c r="AG24"/>
  <c r="AF25"/>
  <c r="AF26"/>
  <c r="AF27"/>
  <c r="AF28"/>
  <c r="AF29"/>
  <c r="AF30"/>
  <c r="AF31"/>
  <c r="AF24"/>
  <c r="AF22"/>
  <c r="AE22"/>
  <c r="AC37"/>
  <c r="AC36"/>
  <c r="AC35"/>
  <c r="AC34"/>
  <c r="AB33"/>
  <c r="AA33"/>
  <c r="AB32"/>
  <c r="AC32"/>
  <c r="AD32"/>
  <c r="AE32"/>
  <c r="AA32"/>
  <c r="AE25"/>
  <c r="AE26"/>
  <c r="AE27"/>
  <c r="AE28"/>
  <c r="AE29"/>
  <c r="AE30"/>
  <c r="AE31"/>
  <c r="AE24"/>
  <c r="AD25"/>
  <c r="AD26"/>
  <c r="AD27"/>
  <c r="AD28"/>
  <c r="AD29"/>
  <c r="AD30"/>
  <c r="AD31"/>
  <c r="AD24"/>
  <c r="AC25"/>
  <c r="AC26"/>
  <c r="AC27"/>
  <c r="AC28"/>
  <c r="AC29"/>
  <c r="AC30"/>
  <c r="AC31"/>
  <c r="AC24"/>
  <c r="W24"/>
  <c r="W25"/>
  <c r="W26"/>
  <c r="W27"/>
  <c r="W28"/>
  <c r="W23"/>
  <c r="V24"/>
  <c r="V25"/>
  <c r="V26"/>
  <c r="V27"/>
  <c r="V28"/>
  <c r="V23"/>
  <c r="R29"/>
  <c r="R24"/>
  <c r="R25"/>
  <c r="R26"/>
  <c r="R27"/>
  <c r="R28"/>
  <c r="R23"/>
  <c r="Q24"/>
  <c r="Q25"/>
  <c r="Q26"/>
  <c r="Q27"/>
  <c r="Q28"/>
  <c r="Q23"/>
  <c r="P21"/>
  <c r="Q21"/>
  <c r="M30"/>
  <c r="L30"/>
  <c r="M29"/>
  <c r="L29"/>
  <c r="P28"/>
  <c r="O28"/>
  <c r="N28"/>
  <c r="P27"/>
  <c r="O27"/>
  <c r="N27"/>
  <c r="P26"/>
  <c r="O26"/>
  <c r="N26"/>
  <c r="P25"/>
  <c r="O25"/>
  <c r="N25"/>
  <c r="P24"/>
  <c r="O24"/>
  <c r="N24"/>
  <c r="P23"/>
  <c r="P29" s="1"/>
  <c r="O31" s="1"/>
  <c r="O23"/>
  <c r="O29" s="1"/>
  <c r="N23"/>
  <c r="N29" s="1"/>
  <c r="O32" s="1"/>
  <c r="I23"/>
  <c r="I24"/>
  <c r="I25"/>
  <c r="I26"/>
  <c r="I22"/>
  <c r="H23"/>
  <c r="H24"/>
  <c r="H25"/>
  <c r="H26"/>
  <c r="H22"/>
  <c r="H20"/>
  <c r="G20"/>
  <c r="C29"/>
  <c r="C28"/>
  <c r="D27"/>
  <c r="C27"/>
  <c r="G26"/>
  <c r="F26"/>
  <c r="E26"/>
  <c r="G25"/>
  <c r="F25"/>
  <c r="E25"/>
  <c r="G24"/>
  <c r="F24"/>
  <c r="E24"/>
  <c r="G23"/>
  <c r="F23"/>
  <c r="E23"/>
  <c r="G22"/>
  <c r="G27" s="1"/>
  <c r="E28" s="1"/>
  <c r="F22"/>
  <c r="F27" s="1"/>
  <c r="E22"/>
  <c r="E27" s="1"/>
  <c r="E29" s="1"/>
  <c r="AK8"/>
  <c r="AK7"/>
  <c r="AL7"/>
  <c r="AL8"/>
  <c r="AL9"/>
  <c r="AL10"/>
  <c r="AL11"/>
  <c r="AL12"/>
  <c r="AL13"/>
  <c r="AL6"/>
  <c r="AK9"/>
  <c r="AK10"/>
  <c r="AK11"/>
  <c r="AK12"/>
  <c r="AK13"/>
  <c r="AK6"/>
  <c r="AH19"/>
  <c r="AG15"/>
  <c r="AF15"/>
  <c r="AG14"/>
  <c r="AF14"/>
  <c r="AJ13"/>
  <c r="AI13"/>
  <c r="AH13"/>
  <c r="AJ12"/>
  <c r="AI12"/>
  <c r="AH12"/>
  <c r="AJ11"/>
  <c r="AI11"/>
  <c r="AH11"/>
  <c r="AJ10"/>
  <c r="AI10"/>
  <c r="AH10"/>
  <c r="AJ9"/>
  <c r="AI9"/>
  <c r="AH9"/>
  <c r="AJ8"/>
  <c r="AI8"/>
  <c r="AH8"/>
  <c r="AJ7"/>
  <c r="AI7"/>
  <c r="AH7"/>
  <c r="AJ6"/>
  <c r="AJ14" s="1"/>
  <c r="AH16" s="1"/>
  <c r="AI6"/>
  <c r="AI14" s="1"/>
  <c r="AH6"/>
  <c r="AH14" s="1"/>
  <c r="AH17" s="1"/>
  <c r="AA6"/>
  <c r="AA7"/>
  <c r="AA8"/>
  <c r="AA9"/>
  <c r="AA10"/>
  <c r="AA11"/>
  <c r="AA5"/>
  <c r="Z6"/>
  <c r="Z7"/>
  <c r="Z8"/>
  <c r="Z9"/>
  <c r="Z10"/>
  <c r="Z11"/>
  <c r="Z5"/>
  <c r="Y5"/>
  <c r="V13"/>
  <c r="U13"/>
  <c r="V12"/>
  <c r="U12"/>
  <c r="Y11"/>
  <c r="X11"/>
  <c r="W11"/>
  <c r="Y10"/>
  <c r="X10"/>
  <c r="W10"/>
  <c r="Y9"/>
  <c r="X9"/>
  <c r="W9"/>
  <c r="Y8"/>
  <c r="X8"/>
  <c r="W8"/>
  <c r="Y7"/>
  <c r="X7"/>
  <c r="W7"/>
  <c r="Y6"/>
  <c r="X6"/>
  <c r="W6"/>
  <c r="Y12"/>
  <c r="W15" s="1"/>
  <c r="X5"/>
  <c r="X12" s="1"/>
  <c r="W5"/>
  <c r="W12" s="1"/>
  <c r="W16" s="1"/>
  <c r="P10"/>
  <c r="L10"/>
  <c r="N12" s="1"/>
  <c r="N14" s="1"/>
  <c r="M10"/>
  <c r="N10"/>
  <c r="O10"/>
  <c r="N13"/>
  <c r="L11"/>
  <c r="K11"/>
  <c r="K10"/>
  <c r="O6"/>
  <c r="O7"/>
  <c r="O8"/>
  <c r="O9"/>
  <c r="N6"/>
  <c r="N7"/>
  <c r="N8"/>
  <c r="N9"/>
  <c r="M6"/>
  <c r="M7"/>
  <c r="M8"/>
  <c r="M9"/>
  <c r="O5"/>
  <c r="N5"/>
  <c r="M5"/>
  <c r="C10"/>
  <c r="G6"/>
  <c r="H6" s="1"/>
  <c r="G7"/>
  <c r="H7" s="1"/>
  <c r="G8"/>
  <c r="H8" s="1"/>
  <c r="G9"/>
  <c r="H9" s="1"/>
  <c r="G5"/>
  <c r="C11"/>
  <c r="B11"/>
  <c r="B10"/>
  <c r="F6"/>
  <c r="F7"/>
  <c r="F8"/>
  <c r="F9"/>
  <c r="E6"/>
  <c r="E7"/>
  <c r="E8"/>
  <c r="E9"/>
  <c r="D6"/>
  <c r="D7"/>
  <c r="D8"/>
  <c r="D9"/>
  <c r="F5"/>
  <c r="F10" s="1"/>
  <c r="E13" s="1"/>
  <c r="E5"/>
  <c r="E10" s="1"/>
  <c r="D5"/>
  <c r="D10" s="1"/>
  <c r="E12" s="1"/>
  <c r="X42" i="2"/>
  <c r="X41"/>
  <c r="X40"/>
  <c r="X39"/>
  <c r="W38"/>
  <c r="V38"/>
  <c r="W37"/>
  <c r="X37"/>
  <c r="Y37"/>
  <c r="Z37"/>
  <c r="V37"/>
  <c r="Z28"/>
  <c r="Z29"/>
  <c r="Z30"/>
  <c r="Z31"/>
  <c r="Z32"/>
  <c r="Z33"/>
  <c r="Z34"/>
  <c r="Z35"/>
  <c r="Z36"/>
  <c r="Y28"/>
  <c r="Y29"/>
  <c r="Y30"/>
  <c r="Y31"/>
  <c r="Y32"/>
  <c r="Y33"/>
  <c r="Y34"/>
  <c r="Y35"/>
  <c r="Y36"/>
  <c r="X28"/>
  <c r="X29"/>
  <c r="X30"/>
  <c r="X31"/>
  <c r="X32"/>
  <c r="X33"/>
  <c r="X34"/>
  <c r="X35"/>
  <c r="X36"/>
  <c r="Z27"/>
  <c r="Y27"/>
  <c r="X27"/>
  <c r="Q44"/>
  <c r="Q43"/>
  <c r="Q42"/>
  <c r="Q41"/>
  <c r="P40"/>
  <c r="O40"/>
  <c r="P39"/>
  <c r="Q39"/>
  <c r="R39"/>
  <c r="S39"/>
  <c r="O39"/>
  <c r="S28"/>
  <c r="S29"/>
  <c r="S30"/>
  <c r="S31"/>
  <c r="S32"/>
  <c r="S33"/>
  <c r="S34"/>
  <c r="S35"/>
  <c r="S36"/>
  <c r="S37"/>
  <c r="S38"/>
  <c r="S27"/>
  <c r="R28"/>
  <c r="R29"/>
  <c r="R30"/>
  <c r="R31"/>
  <c r="R32"/>
  <c r="R33"/>
  <c r="R34"/>
  <c r="R35"/>
  <c r="R36"/>
  <c r="R37"/>
  <c r="R38"/>
  <c r="R27"/>
  <c r="Q28"/>
  <c r="Q29"/>
  <c r="Q30"/>
  <c r="Q31"/>
  <c r="Q32"/>
  <c r="Q33"/>
  <c r="Q34"/>
  <c r="Q35"/>
  <c r="Q36"/>
  <c r="Q37"/>
  <c r="Q38"/>
  <c r="Q27"/>
  <c r="L37"/>
  <c r="L36"/>
  <c r="L35"/>
  <c r="L34"/>
  <c r="J33"/>
  <c r="I33"/>
  <c r="J32"/>
  <c r="K32"/>
  <c r="L32"/>
  <c r="M32"/>
  <c r="I32"/>
  <c r="M27"/>
  <c r="M28"/>
  <c r="M29"/>
  <c r="M30"/>
  <c r="M31"/>
  <c r="L27"/>
  <c r="L28"/>
  <c r="L29"/>
  <c r="L30"/>
  <c r="L31"/>
  <c r="K27"/>
  <c r="K28"/>
  <c r="K29"/>
  <c r="K30"/>
  <c r="K31"/>
  <c r="M26"/>
  <c r="L26"/>
  <c r="K26"/>
  <c r="D34"/>
  <c r="B32"/>
  <c r="B31"/>
  <c r="D33"/>
  <c r="D32"/>
  <c r="D31"/>
  <c r="F30"/>
  <c r="E30"/>
  <c r="D30"/>
  <c r="C30"/>
  <c r="B30"/>
  <c r="F26"/>
  <c r="F27"/>
  <c r="F28"/>
  <c r="F29"/>
  <c r="F25"/>
  <c r="E26"/>
  <c r="E27"/>
  <c r="E28"/>
  <c r="E29"/>
  <c r="E25"/>
  <c r="D26"/>
  <c r="D27"/>
  <c r="D28"/>
  <c r="D29"/>
  <c r="D25"/>
  <c r="Q17"/>
  <c r="Q16"/>
  <c r="J15"/>
  <c r="Q19"/>
  <c r="Q18"/>
  <c r="P15"/>
  <c r="O15"/>
  <c r="P14"/>
  <c r="Q14"/>
  <c r="R14"/>
  <c r="S14"/>
  <c r="O14"/>
  <c r="S7"/>
  <c r="S8"/>
  <c r="S9"/>
  <c r="S10"/>
  <c r="S11"/>
  <c r="S12"/>
  <c r="S13"/>
  <c r="R7"/>
  <c r="R8"/>
  <c r="R9"/>
  <c r="R10"/>
  <c r="R11"/>
  <c r="R12"/>
  <c r="R13"/>
  <c r="Q7"/>
  <c r="Q8"/>
  <c r="Q9"/>
  <c r="Q10"/>
  <c r="Q11"/>
  <c r="Q12"/>
  <c r="Q13"/>
  <c r="S6"/>
  <c r="R6"/>
  <c r="Q6"/>
  <c r="J18"/>
  <c r="J17"/>
  <c r="J16"/>
  <c r="C12"/>
  <c r="I13"/>
  <c r="H13"/>
  <c r="I12"/>
  <c r="J12"/>
  <c r="K12"/>
  <c r="L12"/>
  <c r="H12"/>
  <c r="L6"/>
  <c r="L7"/>
  <c r="L8"/>
  <c r="L9"/>
  <c r="L10"/>
  <c r="L11"/>
  <c r="L5"/>
  <c r="K6"/>
  <c r="K7"/>
  <c r="K8"/>
  <c r="K9"/>
  <c r="K10"/>
  <c r="K11"/>
  <c r="J5"/>
  <c r="J6"/>
  <c r="J7"/>
  <c r="J8"/>
  <c r="J9"/>
  <c r="J10"/>
  <c r="J11"/>
  <c r="K5"/>
  <c r="C15"/>
  <c r="C11"/>
  <c r="B11"/>
  <c r="C14"/>
  <c r="C13"/>
  <c r="C10"/>
  <c r="D10"/>
  <c r="E10"/>
  <c r="F10"/>
  <c r="F6"/>
  <c r="F7"/>
  <c r="F8"/>
  <c r="F9"/>
  <c r="F5"/>
  <c r="E6"/>
  <c r="E7"/>
  <c r="E8"/>
  <c r="E9"/>
  <c r="E5"/>
  <c r="D6"/>
  <c r="D7"/>
  <c r="D8"/>
  <c r="D9"/>
  <c r="D5"/>
  <c r="B10"/>
  <c r="T32" i="1"/>
  <c r="T31"/>
  <c r="T30"/>
  <c r="N21"/>
  <c r="N22"/>
  <c r="N23"/>
  <c r="N24"/>
  <c r="N25"/>
  <c r="N26"/>
  <c r="N27"/>
  <c r="N28"/>
  <c r="N20"/>
  <c r="N29" s="1"/>
  <c r="M21"/>
  <c r="M22"/>
  <c r="M23"/>
  <c r="M24"/>
  <c r="M25"/>
  <c r="M26"/>
  <c r="M27"/>
  <c r="M28"/>
  <c r="M20"/>
  <c r="L21"/>
  <c r="L22"/>
  <c r="L23"/>
  <c r="L24"/>
  <c r="L25"/>
  <c r="L26"/>
  <c r="L27"/>
  <c r="L28"/>
  <c r="L20"/>
  <c r="L29" s="1"/>
  <c r="K29"/>
  <c r="J29"/>
  <c r="I31"/>
  <c r="R1"/>
  <c r="R9"/>
  <c r="Q9"/>
  <c r="U4"/>
  <c r="U5"/>
  <c r="U6"/>
  <c r="U7"/>
  <c r="U8"/>
  <c r="U3"/>
  <c r="U9" s="1"/>
  <c r="S10" s="1"/>
  <c r="T4"/>
  <c r="T5"/>
  <c r="T6"/>
  <c r="T7"/>
  <c r="T8"/>
  <c r="T3"/>
  <c r="T9" s="1"/>
  <c r="S12" s="1"/>
  <c r="S4"/>
  <c r="S5"/>
  <c r="S6"/>
  <c r="S7"/>
  <c r="S8"/>
  <c r="S3"/>
  <c r="S9" s="1"/>
  <c r="S11" s="1"/>
  <c r="S13" s="1"/>
  <c r="L9"/>
  <c r="K9"/>
  <c r="O5"/>
  <c r="O6"/>
  <c r="O7"/>
  <c r="O8"/>
  <c r="O4"/>
  <c r="O9" s="1"/>
  <c r="N5"/>
  <c r="N6"/>
  <c r="N7"/>
  <c r="N8"/>
  <c r="N4"/>
  <c r="M5"/>
  <c r="M6"/>
  <c r="M7"/>
  <c r="M8"/>
  <c r="M4"/>
  <c r="M9" s="1"/>
  <c r="B9"/>
  <c r="A9"/>
  <c r="E3"/>
  <c r="E4"/>
  <c r="E5"/>
  <c r="E6"/>
  <c r="E7"/>
  <c r="E8"/>
  <c r="E2"/>
  <c r="D3"/>
  <c r="D4"/>
  <c r="D5"/>
  <c r="D6"/>
  <c r="D7"/>
  <c r="D8"/>
  <c r="D2"/>
  <c r="D9" s="1"/>
  <c r="F13" s="1"/>
  <c r="C3"/>
  <c r="C4"/>
  <c r="C5"/>
  <c r="C6"/>
  <c r="C7"/>
  <c r="C8"/>
  <c r="C2"/>
  <c r="R58" i="8" l="1"/>
  <c r="T23"/>
  <c r="X23" s="1"/>
  <c r="X16"/>
  <c r="X17" s="1"/>
  <c r="K28"/>
  <c r="Y46" i="7"/>
  <c r="Z40"/>
  <c r="Z46" s="1"/>
  <c r="X54" s="1"/>
  <c r="V50"/>
  <c r="X38" s="1"/>
  <c r="K43"/>
  <c r="F41"/>
  <c r="F42"/>
  <c r="H31" s="1"/>
  <c r="AK13"/>
  <c r="AL5"/>
  <c r="AL13" s="1"/>
  <c r="AI21" s="1"/>
  <c r="AG17"/>
  <c r="AG18" s="1"/>
  <c r="U17"/>
  <c r="Z17" s="1"/>
  <c r="Z18" s="1"/>
  <c r="U18"/>
  <c r="L15"/>
  <c r="N4" s="1"/>
  <c r="N11"/>
  <c r="L32" i="1"/>
  <c r="L30"/>
  <c r="C9"/>
  <c r="F12" s="1"/>
  <c r="E9"/>
  <c r="E11" s="1"/>
  <c r="N9"/>
  <c r="N13" s="1"/>
  <c r="M29"/>
  <c r="L33" s="1"/>
  <c r="M13"/>
  <c r="N11"/>
  <c r="AG47" i="5"/>
  <c r="W15"/>
  <c r="AA19" s="1"/>
  <c r="AG17"/>
  <c r="AJ19" s="1"/>
  <c r="T43"/>
  <c r="E40"/>
  <c r="AJ17"/>
  <c r="AK9"/>
  <c r="AK17" s="1"/>
  <c r="AF21"/>
  <c r="Z15"/>
  <c r="AA8"/>
  <c r="AA15" s="1"/>
  <c r="V20"/>
  <c r="L17"/>
  <c r="L18"/>
  <c r="M6" s="1"/>
  <c r="AL23" i="4"/>
  <c r="AL29"/>
  <c r="AM29" s="1"/>
  <c r="AL28"/>
  <c r="AM28" s="1"/>
  <c r="X40"/>
  <c r="AA26" s="1"/>
  <c r="F38"/>
  <c r="H26" s="1"/>
  <c r="F39"/>
  <c r="G26" s="1"/>
  <c r="AL12"/>
  <c r="AO2" s="1"/>
  <c r="AL13"/>
  <c r="AN2" s="1"/>
  <c r="AA17"/>
  <c r="AA18" s="1"/>
  <c r="P16"/>
  <c r="P17" s="1"/>
  <c r="F14"/>
  <c r="H3" s="1"/>
  <c r="O33" i="3"/>
  <c r="O34" s="1"/>
  <c r="E30"/>
  <c r="E31"/>
  <c r="AH18"/>
  <c r="W17"/>
  <c r="W18" s="1"/>
  <c r="P3"/>
  <c r="N15"/>
  <c r="O3" s="1"/>
  <c r="G10"/>
  <c r="H5"/>
  <c r="H10" s="1"/>
  <c r="E14"/>
  <c r="E15" s="1"/>
  <c r="F14" i="1"/>
  <c r="F15" s="1"/>
  <c r="M14"/>
  <c r="M16" s="1"/>
  <c r="S15"/>
  <c r="L34"/>
  <c r="L35" s="1"/>
  <c r="U26" i="8" l="1"/>
  <c r="U27"/>
  <c r="AB17"/>
  <c r="AB16"/>
  <c r="V51" i="7"/>
  <c r="W38" s="1"/>
  <c r="I31"/>
  <c r="K41"/>
  <c r="K42" s="1"/>
  <c r="L16"/>
  <c r="M4" s="1"/>
  <c r="AE32" i="5"/>
  <c r="AF32"/>
  <c r="AG48"/>
  <c r="AG49" s="1"/>
  <c r="N8"/>
  <c r="O8" s="1"/>
  <c r="P8" s="1"/>
  <c r="N6"/>
  <c r="N12" s="1"/>
  <c r="O12" s="1"/>
  <c r="P12" s="1"/>
  <c r="H22"/>
  <c r="H23" s="1"/>
  <c r="H30"/>
  <c r="J40"/>
  <c r="J41" s="1"/>
  <c r="V21"/>
  <c r="AA20"/>
  <c r="AA21" s="1"/>
  <c r="AH25"/>
  <c r="AJ22"/>
  <c r="V31"/>
  <c r="W42"/>
  <c r="W43" s="1"/>
  <c r="E41"/>
  <c r="G30" s="1"/>
  <c r="X24"/>
  <c r="V26" s="1"/>
  <c r="V27" s="1"/>
  <c r="AA22"/>
  <c r="AF22"/>
  <c r="AJ20"/>
  <c r="AJ21" s="1"/>
  <c r="T44"/>
  <c r="U31" s="1"/>
  <c r="AF26"/>
  <c r="AF27"/>
  <c r="AL26" i="4"/>
  <c r="AM26" s="1"/>
  <c r="AL30"/>
  <c r="AM30" s="1"/>
  <c r="AL27"/>
  <c r="AM27" s="1"/>
  <c r="AL31"/>
  <c r="AM31" s="1"/>
  <c r="X41"/>
  <c r="Z26" s="1"/>
  <c r="F15"/>
  <c r="G3" s="1"/>
  <c r="P6" i="3"/>
  <c r="Q6" s="1"/>
  <c r="P8"/>
  <c r="Q8" s="1"/>
  <c r="P7"/>
  <c r="Q7" s="1"/>
  <c r="P9"/>
  <c r="Q9" s="1"/>
  <c r="AF36" i="5" l="1"/>
  <c r="AG36" s="1"/>
  <c r="AH36" s="1"/>
  <c r="AF38"/>
  <c r="AG38" s="1"/>
  <c r="AH38" s="1"/>
  <c r="AF34"/>
  <c r="AG34" s="1"/>
  <c r="AH34" s="1"/>
  <c r="AF35"/>
  <c r="AG35" s="1"/>
  <c r="AH35" s="1"/>
  <c r="AF39"/>
  <c r="AG39" s="1"/>
  <c r="AH39" s="1"/>
  <c r="AF40"/>
  <c r="AG40" s="1"/>
  <c r="AH40" s="1"/>
  <c r="AF41"/>
  <c r="AG41" s="1"/>
  <c r="AH41" s="1"/>
  <c r="AF37"/>
  <c r="AG37" s="1"/>
  <c r="AH37" s="1"/>
  <c r="AF42"/>
  <c r="AG42" s="1"/>
  <c r="AH42" s="1"/>
  <c r="N9"/>
  <c r="O9" s="1"/>
  <c r="P9" s="1"/>
  <c r="N10"/>
  <c r="V35"/>
  <c r="W35" s="1"/>
  <c r="X35" s="1"/>
  <c r="V37"/>
  <c r="W37" s="1"/>
  <c r="X37" s="1"/>
  <c r="V33"/>
  <c r="W33" s="1"/>
  <c r="V34"/>
  <c r="W34" s="1"/>
  <c r="X34" s="1"/>
  <c r="V36"/>
  <c r="W36" s="1"/>
  <c r="X36" s="1"/>
  <c r="V38"/>
  <c r="W38" s="1"/>
  <c r="X38" s="1"/>
  <c r="H33"/>
  <c r="I33" s="1"/>
  <c r="J33" s="1"/>
  <c r="H35"/>
  <c r="I35" s="1"/>
  <c r="J35" s="1"/>
  <c r="H32"/>
  <c r="I32" s="1"/>
  <c r="J32" s="1"/>
  <c r="H34"/>
  <c r="I34" s="1"/>
  <c r="J34" s="1"/>
  <c r="H36"/>
  <c r="I36" s="1"/>
  <c r="J36" s="1"/>
  <c r="N11"/>
  <c r="O11" s="1"/>
  <c r="P11" s="1"/>
  <c r="H6" i="4"/>
  <c r="I6" s="1"/>
  <c r="J6" s="1"/>
  <c r="H8"/>
  <c r="I8" s="1"/>
  <c r="J8" s="1"/>
  <c r="H5"/>
  <c r="H7"/>
  <c r="I7" s="1"/>
  <c r="J7" s="1"/>
  <c r="H9"/>
  <c r="I9" s="1"/>
  <c r="J9" s="1"/>
  <c r="Q5" i="3"/>
  <c r="AH43" i="5" l="1"/>
  <c r="AG50"/>
  <c r="AE52"/>
  <c r="P13"/>
  <c r="N13"/>
  <c r="O10"/>
  <c r="P10" s="1"/>
  <c r="J37"/>
  <c r="X33"/>
  <c r="X39" s="1"/>
  <c r="W39"/>
  <c r="H10" i="4"/>
  <c r="I5"/>
  <c r="J5" s="1"/>
  <c r="J10" s="1"/>
  <c r="G19" s="1"/>
  <c r="M22" i="5" l="1"/>
  <c r="M25"/>
  <c r="G44"/>
  <c r="J42"/>
  <c r="Y5" i="7"/>
  <c r="Z5" l="1"/>
  <c r="Z10"/>
  <c r="Y10"/>
  <c r="Z8"/>
  <c r="Y7"/>
  <c r="Z7" s="1"/>
  <c r="Y11"/>
  <c r="Y12" s="1"/>
  <c r="Y9"/>
  <c r="Z9"/>
  <c r="Y6"/>
  <c r="Z6"/>
  <c r="Y8"/>
  <c r="Z11" l="1"/>
  <c r="Z12" s="1"/>
  <c r="Z19" l="1"/>
  <c r="U23"/>
  <c r="U24" s="1"/>
</calcChain>
</file>

<file path=xl/sharedStrings.xml><?xml version="1.0" encoding="utf-8"?>
<sst xmlns="http://schemas.openxmlformats.org/spreadsheetml/2006/main" count="941" uniqueCount="301">
  <si>
    <t>x</t>
  </si>
  <si>
    <t>y</t>
  </si>
  <si>
    <t>x^2</t>
  </si>
  <si>
    <t>y^2</t>
  </si>
  <si>
    <t>xy</t>
  </si>
  <si>
    <t>Sum</t>
  </si>
  <si>
    <t>coeffiecient of Correlation= r</t>
  </si>
  <si>
    <t>Answer</t>
  </si>
  <si>
    <t>Numerator of r</t>
  </si>
  <si>
    <t>Denomirator of r formula</t>
  </si>
  <si>
    <t xml:space="preserve">Numerator of r </t>
  </si>
  <si>
    <t>Denomirator of r</t>
  </si>
  <si>
    <t>r=</t>
  </si>
  <si>
    <t>Delta(x)</t>
  </si>
  <si>
    <t>Southwest(y)</t>
  </si>
  <si>
    <t>Numerator</t>
  </si>
  <si>
    <t>Denomirator</t>
  </si>
  <si>
    <t>Texas</t>
  </si>
  <si>
    <t>Alabama</t>
  </si>
  <si>
    <t>Colorado</t>
  </si>
  <si>
    <t>Florida</t>
  </si>
  <si>
    <t>Illinois</t>
  </si>
  <si>
    <t>Maine</t>
  </si>
  <si>
    <t>Montana</t>
  </si>
  <si>
    <t>North Dakota</t>
  </si>
  <si>
    <t>Oklahoma</t>
  </si>
  <si>
    <t>City</t>
  </si>
  <si>
    <t>Denomerator</t>
  </si>
  <si>
    <t>Year 1</t>
  </si>
  <si>
    <t>Year 2</t>
  </si>
  <si>
    <t>Year 3</t>
  </si>
  <si>
    <t>Textile</t>
  </si>
  <si>
    <t>Comuniation</t>
  </si>
  <si>
    <t>Chemial</t>
  </si>
  <si>
    <t>Machinery</t>
  </si>
  <si>
    <t>Services</t>
  </si>
  <si>
    <t>Metals</t>
  </si>
  <si>
    <t>Food</t>
  </si>
  <si>
    <t>Government</t>
  </si>
  <si>
    <t>Correlation between year 1 &amp; 2</t>
  </si>
  <si>
    <t>Correlation between year 1 &amp; 3</t>
  </si>
  <si>
    <t>Correlation between year 2 &amp; 3</t>
  </si>
  <si>
    <t>Here year 2 &amp; 3 are the most Correlated Years</t>
  </si>
  <si>
    <t>Solving correlation using the Exel Formulas</t>
  </si>
  <si>
    <t>Equation of regression Line</t>
  </si>
  <si>
    <t>Question 12.6</t>
  </si>
  <si>
    <t>Sxx=</t>
  </si>
  <si>
    <t>sxy=</t>
  </si>
  <si>
    <t>b1=</t>
  </si>
  <si>
    <t>average</t>
  </si>
  <si>
    <t>b0=</t>
  </si>
  <si>
    <t xml:space="preserve">Equation will be = </t>
  </si>
  <si>
    <t>y=57.977-2.16725x</t>
  </si>
  <si>
    <t>Question 12.7</t>
  </si>
  <si>
    <t>Average</t>
  </si>
  <si>
    <t>b1</t>
  </si>
  <si>
    <t>Sxy=</t>
  </si>
  <si>
    <t>sxx=</t>
  </si>
  <si>
    <t>y=144.41-0.8982x</t>
  </si>
  <si>
    <t>Question 12.8</t>
  </si>
  <si>
    <t>Advertising</t>
  </si>
  <si>
    <t>Sales</t>
  </si>
  <si>
    <t>y=--46.2918+15.2397x</t>
  </si>
  <si>
    <t>Question 12.9</t>
  </si>
  <si>
    <t>PLR x</t>
  </si>
  <si>
    <t xml:space="preserve">Bond rate y </t>
  </si>
  <si>
    <t>b0</t>
  </si>
  <si>
    <t>average y</t>
  </si>
  <si>
    <t>average x</t>
  </si>
  <si>
    <t>y=15.45991-0.715x</t>
  </si>
  <si>
    <t>Question 12.10</t>
  </si>
  <si>
    <t>Births x</t>
  </si>
  <si>
    <t>Bankrupty y</t>
  </si>
  <si>
    <t>Sxy</t>
  </si>
  <si>
    <t>Sxx</t>
  </si>
  <si>
    <t>y=</t>
  </si>
  <si>
    <t>y= 36.839 +.000772x</t>
  </si>
  <si>
    <t>Question 12.11</t>
  </si>
  <si>
    <t>No of farms x</t>
  </si>
  <si>
    <t>Average size y</t>
  </si>
  <si>
    <t>y=600.19-72.3281x</t>
  </si>
  <si>
    <t>Question 12.12</t>
  </si>
  <si>
    <t>New orders y</t>
  </si>
  <si>
    <t>Raw steel x</t>
  </si>
  <si>
    <t>y= -2.328 +0.0557x</t>
  </si>
  <si>
    <t>predicted yhat</t>
  </si>
  <si>
    <t>y-yhat</t>
  </si>
  <si>
    <t>y=13.625+2.302x</t>
  </si>
  <si>
    <t>Question 12.13</t>
  </si>
  <si>
    <t>y=b0+b1x</t>
  </si>
  <si>
    <t>Question 12.14</t>
  </si>
  <si>
    <t>y=16.50965 + 0.162379x</t>
  </si>
  <si>
    <t>Predicted</t>
  </si>
  <si>
    <t>Question 12.15</t>
  </si>
  <si>
    <t>Question 12.16</t>
  </si>
  <si>
    <t>Question 12.17</t>
  </si>
  <si>
    <t>Question 12.18</t>
  </si>
  <si>
    <t>predicted</t>
  </si>
  <si>
    <t>Question 12.19</t>
  </si>
  <si>
    <t>y=50.506-1.646x</t>
  </si>
  <si>
    <t>given</t>
  </si>
  <si>
    <t>In this case No voilation by regression line</t>
  </si>
  <si>
    <t>Question 12.20</t>
  </si>
  <si>
    <t>sum</t>
  </si>
  <si>
    <t>yx</t>
  </si>
  <si>
    <t>y=2.25706+.00025x</t>
  </si>
  <si>
    <t>question 12.21</t>
  </si>
  <si>
    <t xml:space="preserve">Residuals vs fitted Values shows us for low &amp; high x low residuals </t>
  </si>
  <si>
    <t>middle x- &gt; high residuals -&gt; error</t>
  </si>
  <si>
    <t>non linear relationship but paraboli relationship</t>
  </si>
  <si>
    <t>Question 12.22</t>
  </si>
  <si>
    <t>the assumption that error is normally distributed is not true</t>
  </si>
  <si>
    <t>Question 12.23</t>
  </si>
  <si>
    <t>Question 12.24</t>
  </si>
  <si>
    <t>(y-yhat)^2</t>
  </si>
  <si>
    <t>Standard Error of Estimate=</t>
  </si>
  <si>
    <t>The no of residuals that lies in +-1.Se are</t>
  </si>
  <si>
    <t xml:space="preserve">Equal to </t>
  </si>
  <si>
    <t>This pattern is an indication of hetrooscedasticity</t>
  </si>
  <si>
    <t>Hence the assumption for constant Variane for error terms does not holds as the residuals  flares as x increases</t>
  </si>
  <si>
    <t>Also Error terms appears to be non-independent</t>
  </si>
  <si>
    <t xml:space="preserve">1 se= </t>
  </si>
  <si>
    <t>2 se=</t>
  </si>
  <si>
    <t>6 out of 7 are wiin 1 Se range</t>
  </si>
  <si>
    <t>7 out of 7 are within 2 Se range</t>
  </si>
  <si>
    <t>Question 12.25</t>
  </si>
  <si>
    <t>Question 12.26</t>
  </si>
  <si>
    <t>Standard error of Estimate=</t>
  </si>
  <si>
    <t xml:space="preserve">1 se </t>
  </si>
  <si>
    <t>2 se</t>
  </si>
  <si>
    <t xml:space="preserve">6 out of 8 </t>
  </si>
  <si>
    <t xml:space="preserve">8 out of 8 </t>
  </si>
  <si>
    <t>Value of Se is 2.575 which is the standard deviation of the error and 4 out of 5 are 1se in the range</t>
  </si>
  <si>
    <t>Question 12.27</t>
  </si>
  <si>
    <t>Standard Error of Estimate =</t>
  </si>
  <si>
    <t>1 se</t>
  </si>
  <si>
    <t>6 out of 6 are+- 2se from error mean</t>
  </si>
  <si>
    <t xml:space="preserve"> 4 residuals of 6 are 1 se away from error mean</t>
  </si>
  <si>
    <t>Question 12.28</t>
  </si>
  <si>
    <t>standard estimate of error=</t>
  </si>
  <si>
    <t>Question 12.29</t>
  </si>
  <si>
    <t xml:space="preserve">Standard error of Estimate= </t>
  </si>
  <si>
    <t>Question 12.30</t>
  </si>
  <si>
    <t>Question 12.31</t>
  </si>
  <si>
    <t>ann Vol</t>
  </si>
  <si>
    <t>Ann sales</t>
  </si>
  <si>
    <t>predited</t>
  </si>
  <si>
    <t>y=118.257-0.1504x</t>
  </si>
  <si>
    <t>se=</t>
  </si>
  <si>
    <t>Question 12.32</t>
  </si>
  <si>
    <t>coeffiient of determination=</t>
  </si>
  <si>
    <t>SSR=</t>
  </si>
  <si>
    <t>r^2=</t>
  </si>
  <si>
    <t>SSyy=</t>
  </si>
  <si>
    <t>SSR= (b1^2)Sxx</t>
  </si>
  <si>
    <t>Hence 12.33% of variability in y can be explained by x</t>
  </si>
  <si>
    <t>(1 - SSE/Syy)</t>
  </si>
  <si>
    <t>Syy=</t>
  </si>
  <si>
    <t>ssr/syy</t>
  </si>
  <si>
    <t>1-sse/syy</t>
  </si>
  <si>
    <t>97.20 % of the variance in y can be</t>
  </si>
  <si>
    <t xml:space="preserve"> explained by the regression moden</t>
  </si>
  <si>
    <t>syy=</t>
  </si>
  <si>
    <t>89.80 % of the variance in y can be</t>
  </si>
  <si>
    <t>Hencce 68.52 % variability is  explained by x in y</t>
  </si>
  <si>
    <t>Question 12.33</t>
  </si>
  <si>
    <t>Question 12.34</t>
  </si>
  <si>
    <t>Question 12.35</t>
  </si>
  <si>
    <t>SSr=</t>
  </si>
  <si>
    <t>Question 12.36</t>
  </si>
  <si>
    <t>less than 15 variability is explained by x in y</t>
  </si>
  <si>
    <t>Question 12.37</t>
  </si>
  <si>
    <t xml:space="preserve"> y</t>
  </si>
  <si>
    <t>Standard Estimate of error=</t>
  </si>
  <si>
    <t>Time series trend line Model/Foreasting model</t>
  </si>
  <si>
    <t>Estimation: Confidene Interval &amp; Predition Intervals</t>
  </si>
  <si>
    <t>Hypothesis testing: Testing slope &amp; Model Finding t-value &amp; f-value</t>
  </si>
  <si>
    <t>Co-efficient of Determination : r^2</t>
  </si>
  <si>
    <t>Standard Error of Estimate : se</t>
  </si>
  <si>
    <t xml:space="preserve">Residual  Analysis : finding predicted &amp; residuals </t>
  </si>
  <si>
    <t>Exercise Questions</t>
  </si>
  <si>
    <t>SSreg=  SSR</t>
  </si>
  <si>
    <t>Sserr= SSE</t>
  </si>
  <si>
    <t>Coeffiient od Determnation :r^2</t>
  </si>
  <si>
    <t>y=32628.21-86.2143x</t>
  </si>
  <si>
    <t xml:space="preserve">Now predicting for october month means x=10 </t>
  </si>
  <si>
    <t>hence prediction for  x=10</t>
  </si>
  <si>
    <t>Example 12.7</t>
  </si>
  <si>
    <t>Answer:</t>
  </si>
  <si>
    <t>Question 12.48</t>
  </si>
  <si>
    <t>x1</t>
  </si>
  <si>
    <t>Sum=</t>
  </si>
  <si>
    <t>Average=</t>
  </si>
  <si>
    <t>For 2011, x= 7</t>
  </si>
  <si>
    <t xml:space="preserve">Hence forecast is </t>
  </si>
  <si>
    <t>y=-10.29+3.21x</t>
  </si>
  <si>
    <t>Question 12.49</t>
  </si>
  <si>
    <t>average =</t>
  </si>
  <si>
    <t>sum=</t>
  </si>
  <si>
    <t>y=7853.714-678.964x</t>
  </si>
  <si>
    <t>For year 2010,x=9</t>
  </si>
  <si>
    <t>hence prediction =</t>
  </si>
  <si>
    <t>Answer= 1743.036</t>
  </si>
  <si>
    <t>year</t>
  </si>
  <si>
    <t>Quarter</t>
  </si>
  <si>
    <t>Sales (y)</t>
  </si>
  <si>
    <t>recoded x</t>
  </si>
  <si>
    <t>for 3rd quarte of 2010 we have x= 19</t>
  </si>
  <si>
    <t>y=10.61045+1.033007x</t>
  </si>
  <si>
    <t>Hene answer is</t>
  </si>
  <si>
    <t xml:space="preserve">Answer </t>
  </si>
  <si>
    <t>Question 12.38</t>
  </si>
  <si>
    <t xml:space="preserve">We know Sb= Se/(sxx^0.5) </t>
  </si>
  <si>
    <t>Sb=</t>
  </si>
  <si>
    <t>Observed t value=</t>
  </si>
  <si>
    <t>table t value(alpha/2,5-2)</t>
  </si>
  <si>
    <t>alpha=0.05</t>
  </si>
  <si>
    <t>alpha/2=0.25</t>
  </si>
  <si>
    <t>Here observed t value lies inside the t statistics value range</t>
  </si>
  <si>
    <t>we can say that H0 is acepted hence Regression Line has slope almost=0</t>
  </si>
  <si>
    <t>Question 12.39</t>
  </si>
  <si>
    <t>alpha/2=</t>
  </si>
  <si>
    <t xml:space="preserve">alpha= </t>
  </si>
  <si>
    <t>table t-value(.005,5)</t>
  </si>
  <si>
    <t>sb=</t>
  </si>
  <si>
    <t>observed t value=</t>
  </si>
  <si>
    <t>Here the Observed t value is outside the acceptance zone of +- 4.032</t>
  </si>
  <si>
    <t>Hence the h0 is rejected and ha I apted that slope is not equal to zero</t>
  </si>
  <si>
    <t>alpha=</t>
  </si>
  <si>
    <t>alpha/2</t>
  </si>
  <si>
    <t>table t-vaue(0.05,6)</t>
  </si>
  <si>
    <t>Observed t-value=</t>
  </si>
  <si>
    <t>Here the Observed t value is outside the acceptance zone of +- 1.943</t>
  </si>
  <si>
    <r>
      <t xml:space="preserve">Hence the </t>
    </r>
    <r>
      <rPr>
        <b/>
        <sz val="11"/>
        <color theme="1"/>
        <rFont val="Calibri"/>
        <family val="2"/>
        <scheme val="minor"/>
      </rPr>
      <t>H0 is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Ha Is accepted</t>
    </r>
    <r>
      <rPr>
        <sz val="11"/>
        <color theme="1"/>
        <rFont val="Calibri"/>
        <family val="2"/>
        <scheme val="minor"/>
      </rPr>
      <t xml:space="preserve"> that slope is not equal to zero</t>
    </r>
  </si>
  <si>
    <t>Question 12.40</t>
  </si>
  <si>
    <t>Question 12.41</t>
  </si>
  <si>
    <t>n=</t>
  </si>
  <si>
    <t>df=n-2</t>
  </si>
  <si>
    <t>table t-val(0.025,3)=</t>
  </si>
  <si>
    <t>Hence, fail to reject as t-value observed lies inside the acceptane zone +-3.182</t>
  </si>
  <si>
    <t xml:space="preserve">So,we an say that H0 is accepted and slope of populationn is significantly =0 </t>
  </si>
  <si>
    <t>and prediting due to the regression model is not adding any value for population</t>
  </si>
  <si>
    <t>table t-val(.025,4)=</t>
  </si>
  <si>
    <t>observed t-value=</t>
  </si>
  <si>
    <r>
      <t xml:space="preserve">Hence, </t>
    </r>
    <r>
      <rPr>
        <b/>
        <i/>
        <sz val="11"/>
        <color theme="1"/>
        <rFont val="Calibri"/>
        <family val="2"/>
        <scheme val="minor"/>
      </rPr>
      <t>fail to reject</t>
    </r>
    <r>
      <rPr>
        <i/>
        <sz val="11"/>
        <color theme="1"/>
        <rFont val="Calibri"/>
        <family val="2"/>
        <scheme val="minor"/>
      </rPr>
      <t xml:space="preserve"> H0 as t-value observed lies inside the acceptane zone +- 2.776</t>
    </r>
  </si>
  <si>
    <t>Question 12.42</t>
  </si>
  <si>
    <t>Question 12.50</t>
  </si>
  <si>
    <t>Question 12.43</t>
  </si>
  <si>
    <t>Here f-value = 8.26,n=9,df=7</t>
  </si>
  <si>
    <t>f-val=</t>
  </si>
  <si>
    <t>observed t-val=</t>
  </si>
  <si>
    <t>table t-val(alpha/2,7)=</t>
  </si>
  <si>
    <t xml:space="preserve"> Hence we an say that f value for simple regression is signifiant at alpha=0.05</t>
  </si>
  <si>
    <t>We will reject the H0 as observed t value lies outside acepane zone of + - 2.365</t>
  </si>
  <si>
    <t xml:space="preserve">table f-value(alpha,1,n-2)= </t>
  </si>
  <si>
    <t>Hence we can say that r.line is adding value to the model for predicting outcomes</t>
  </si>
  <si>
    <t>Question 12.44</t>
  </si>
  <si>
    <t>At x=25 we get  yhat=</t>
  </si>
  <si>
    <t>Now this y hat will help us finding the confidene interval and prediction interval</t>
  </si>
  <si>
    <t xml:space="preserve">Confidence Interval will be </t>
  </si>
  <si>
    <t>xbar=</t>
  </si>
  <si>
    <t>table tvalue(0.025,3)</t>
  </si>
  <si>
    <t>confidene interval=</t>
  </si>
  <si>
    <t>y hat</t>
  </si>
  <si>
    <t>t value</t>
  </si>
  <si>
    <t>se</t>
  </si>
  <si>
    <t>1/n</t>
  </si>
  <si>
    <t>x0-xbar</t>
  </si>
  <si>
    <t>(x0-xbar)^2</t>
  </si>
  <si>
    <t>div by sxx</t>
  </si>
  <si>
    <t>Root term in CI</t>
  </si>
  <si>
    <t>t*se</t>
  </si>
  <si>
    <t>added/sub to yhat thing</t>
  </si>
  <si>
    <t>U L of CI=</t>
  </si>
  <si>
    <t xml:space="preserve">L  L of CI= </t>
  </si>
  <si>
    <t>L L in PI=</t>
  </si>
  <si>
    <t>UL in PI =</t>
  </si>
  <si>
    <t>Root Term in PI=</t>
  </si>
  <si>
    <t>x0=</t>
  </si>
  <si>
    <t>Question 12.45</t>
  </si>
  <si>
    <t>df=</t>
  </si>
  <si>
    <t>tvalue table(0.05,5)=</t>
  </si>
  <si>
    <t>yhat=</t>
  </si>
  <si>
    <t>For x0=100</t>
  </si>
  <si>
    <t>For x0=130</t>
  </si>
  <si>
    <t>y haT=</t>
  </si>
  <si>
    <t>Question 12.46</t>
  </si>
  <si>
    <t>tvalue table(0.01,6)=</t>
  </si>
  <si>
    <t>YHAT=</t>
  </si>
  <si>
    <t>Question 12.47</t>
  </si>
  <si>
    <t>YHAT(10)=</t>
  </si>
  <si>
    <t>tvalue table(0.005,3)=</t>
  </si>
  <si>
    <t>Root Term in cI=</t>
  </si>
  <si>
    <t>UL in cI =</t>
  </si>
  <si>
    <t>L L in cI=</t>
  </si>
  <si>
    <t>SE=</t>
  </si>
  <si>
    <t>Question 12.1</t>
  </si>
  <si>
    <t>Question 12.2</t>
  </si>
  <si>
    <t>Question 12.3</t>
  </si>
  <si>
    <t>Question 12.4</t>
  </si>
  <si>
    <t>Question 12.5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</si>
</sst>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9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13" borderId="0" xfId="0" applyFont="1" applyFill="1"/>
    <xf numFmtId="0" fontId="0" fillId="23" borderId="0" xfId="0" applyFill="1"/>
    <xf numFmtId="0" fontId="0" fillId="26" borderId="0" xfId="0" applyFill="1"/>
    <xf numFmtId="0" fontId="0" fillId="24" borderId="0" xfId="0" applyFill="1"/>
    <xf numFmtId="0" fontId="0" fillId="25" borderId="0" xfId="0" applyFill="1"/>
    <xf numFmtId="0" fontId="3" fillId="24" borderId="0" xfId="0" applyFont="1" applyFill="1" applyAlignment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7" fillId="24" borderId="0" xfId="0" applyFont="1" applyFill="1" applyAlignment="1"/>
    <xf numFmtId="16" fontId="0" fillId="20" borderId="0" xfId="0" applyNumberFormat="1" applyFill="1"/>
    <xf numFmtId="0" fontId="1" fillId="20" borderId="0" xfId="0" applyFont="1" applyFill="1" applyAlignment="1">
      <alignment horizontal="center"/>
    </xf>
    <xf numFmtId="0" fontId="14" fillId="20" borderId="0" xfId="0" applyFont="1" applyFill="1" applyAlignment="1"/>
    <xf numFmtId="0" fontId="2" fillId="17" borderId="0" xfId="0" applyFont="1" applyFill="1"/>
    <xf numFmtId="0" fontId="2" fillId="4" borderId="0" xfId="0" applyFont="1" applyFill="1"/>
    <xf numFmtId="0" fontId="0" fillId="32" borderId="0" xfId="0" applyFill="1"/>
    <xf numFmtId="0" fontId="1" fillId="18" borderId="0" xfId="0" applyFont="1" applyFill="1"/>
    <xf numFmtId="0" fontId="1" fillId="30" borderId="0" xfId="0" applyFont="1" applyFill="1"/>
    <xf numFmtId="0" fontId="6" fillId="22" borderId="0" xfId="0" applyFont="1" applyFill="1" applyAlignment="1"/>
    <xf numFmtId="0" fontId="0" fillId="9" borderId="0" xfId="0" applyFill="1" applyAlignment="1"/>
    <xf numFmtId="0" fontId="1" fillId="27" borderId="0" xfId="0" applyFont="1" applyFill="1"/>
    <xf numFmtId="0" fontId="1" fillId="9" borderId="0" xfId="0" applyFont="1" applyFill="1"/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7" fillId="32" borderId="0" xfId="0" applyFont="1" applyFill="1"/>
    <xf numFmtId="0" fontId="18" fillId="28" borderId="0" xfId="0" applyFont="1" applyFill="1" applyAlignment="1"/>
    <xf numFmtId="0" fontId="18" fillId="28" borderId="0" xfId="0" applyFont="1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4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8" fillId="22" borderId="0" xfId="0" applyFont="1" applyFill="1" applyAlignment="1">
      <alignment horizontal="center"/>
    </xf>
    <xf numFmtId="0" fontId="11" fillId="22" borderId="0" xfId="0" applyFont="1" applyFill="1" applyAlignment="1">
      <alignment horizontal="center"/>
    </xf>
    <xf numFmtId="0" fontId="12" fillId="24" borderId="0" xfId="0" applyFont="1" applyFill="1" applyAlignment="1">
      <alignment horizontal="center"/>
    </xf>
    <xf numFmtId="0" fontId="13" fillId="22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6" fillId="22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7" fillId="32" borderId="0" xfId="0" applyFont="1" applyFill="1" applyAlignment="1">
      <alignment horizontal="center"/>
    </xf>
    <xf numFmtId="0" fontId="0" fillId="3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8" fillId="2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7" fillId="3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22" borderId="0" xfId="0" applyFont="1" applyFill="1" applyAlignment="1">
      <alignment horizontal="center"/>
    </xf>
    <xf numFmtId="0" fontId="15" fillId="22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27" borderId="0" xfId="0" applyFont="1" applyFill="1" applyAlignment="1">
      <alignment horizontal="center"/>
    </xf>
    <xf numFmtId="0" fontId="19" fillId="22" borderId="0" xfId="0" applyFont="1" applyFill="1" applyAlignment="1">
      <alignment horizontal="center"/>
    </xf>
    <xf numFmtId="0" fontId="20" fillId="22" borderId="0" xfId="0" applyFont="1" applyFill="1" applyAlignment="1">
      <alignment horizontal="center"/>
    </xf>
    <xf numFmtId="0" fontId="13" fillId="22" borderId="0" xfId="0" applyFont="1" applyFill="1" applyAlignment="1"/>
    <xf numFmtId="0" fontId="16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effectLst>
                <a:outerShdw blurRad="50800" dist="50800" dir="5400000" algn="ctr" rotWithShape="0">
                  <a:schemeClr val="tx1"/>
                </a:outerShdw>
              </a:effectLst>
            </c:spPr>
            <c:trendlineType val="linear"/>
          </c:trendline>
          <c:xVal>
            <c:numRef>
              <c:f>'12.6-12.12'!$O$27:$O$38</c:f>
              <c:numCache>
                <c:formatCode>General</c:formatCode>
                <c:ptCount val="12"/>
                <c:pt idx="0">
                  <c:v>5.65</c:v>
                </c:pt>
                <c:pt idx="1">
                  <c:v>4.6500000000000004</c:v>
                </c:pt>
                <c:pt idx="2">
                  <c:v>3.96</c:v>
                </c:pt>
                <c:pt idx="3">
                  <c:v>3.36</c:v>
                </c:pt>
                <c:pt idx="4">
                  <c:v>2.52</c:v>
                </c:pt>
                <c:pt idx="5">
                  <c:v>2.44</c:v>
                </c:pt>
                <c:pt idx="6">
                  <c:v>2.29</c:v>
                </c:pt>
                <c:pt idx="7">
                  <c:v>2.15</c:v>
                </c:pt>
                <c:pt idx="8">
                  <c:v>2.0699999999999998</c:v>
                </c:pt>
                <c:pt idx="9">
                  <c:v>2.17</c:v>
                </c:pt>
                <c:pt idx="10">
                  <c:v>2.1</c:v>
                </c:pt>
                <c:pt idx="11">
                  <c:v>2.95</c:v>
                </c:pt>
              </c:numCache>
            </c:numRef>
          </c:xVal>
          <c:yVal>
            <c:numRef>
              <c:f>'12.6-12.12'!$P$27:$P$38</c:f>
              <c:numCache>
                <c:formatCode>General</c:formatCode>
                <c:ptCount val="12"/>
                <c:pt idx="0">
                  <c:v>213</c:v>
                </c:pt>
                <c:pt idx="1">
                  <c:v>258</c:v>
                </c:pt>
                <c:pt idx="2">
                  <c:v>297</c:v>
                </c:pt>
                <c:pt idx="3">
                  <c:v>340</c:v>
                </c:pt>
                <c:pt idx="4">
                  <c:v>420</c:v>
                </c:pt>
                <c:pt idx="5">
                  <c:v>426</c:v>
                </c:pt>
                <c:pt idx="6">
                  <c:v>441</c:v>
                </c:pt>
                <c:pt idx="7">
                  <c:v>460</c:v>
                </c:pt>
                <c:pt idx="8">
                  <c:v>469</c:v>
                </c:pt>
                <c:pt idx="9">
                  <c:v>434</c:v>
                </c:pt>
                <c:pt idx="10">
                  <c:v>444</c:v>
                </c:pt>
                <c:pt idx="11">
                  <c:v>374</c:v>
                </c:pt>
              </c:numCache>
            </c:numRef>
          </c:yVal>
        </c:ser>
        <c:axId val="36835712"/>
        <c:axId val="36837248"/>
      </c:scatterChart>
      <c:valAx>
        <c:axId val="36835712"/>
        <c:scaling>
          <c:orientation val="minMax"/>
        </c:scaling>
        <c:axPos val="b"/>
        <c:numFmt formatCode="General" sourceLinked="1"/>
        <c:tickLblPos val="nextTo"/>
        <c:crossAx val="36837248"/>
        <c:crosses val="autoZero"/>
        <c:crossBetween val="midCat"/>
      </c:valAx>
      <c:valAx>
        <c:axId val="36837248"/>
        <c:scaling>
          <c:orientation val="minMax"/>
        </c:scaling>
        <c:axPos val="l"/>
        <c:majorGridlines/>
        <c:numFmt formatCode="General" sourceLinked="1"/>
        <c:tickLblPos val="nextTo"/>
        <c:crossAx val="36835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12.12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'12.6-12.12'!$W$26</c:f>
              <c:strCache>
                <c:ptCount val="1"/>
                <c:pt idx="0">
                  <c:v>New orders 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'12.6-12.12'!$V$27:$V$36</c:f>
              <c:numCache>
                <c:formatCode>General</c:formatCode>
                <c:ptCount val="10"/>
                <c:pt idx="0">
                  <c:v>99.9</c:v>
                </c:pt>
                <c:pt idx="1">
                  <c:v>97.9</c:v>
                </c:pt>
                <c:pt idx="2">
                  <c:v>98.9</c:v>
                </c:pt>
                <c:pt idx="3">
                  <c:v>87.9</c:v>
                </c:pt>
                <c:pt idx="4">
                  <c:v>92.9</c:v>
                </c:pt>
                <c:pt idx="5">
                  <c:v>97.9</c:v>
                </c:pt>
                <c:pt idx="6">
                  <c:v>100.6</c:v>
                </c:pt>
                <c:pt idx="7">
                  <c:v>104.6</c:v>
                </c:pt>
                <c:pt idx="8">
                  <c:v>105.3</c:v>
                </c:pt>
                <c:pt idx="9">
                  <c:v>108.6</c:v>
                </c:pt>
              </c:numCache>
            </c:numRef>
          </c:xVal>
          <c:yVal>
            <c:numRef>
              <c:f>'12.6-12.12'!$W$27:$W$36</c:f>
              <c:numCache>
                <c:formatCode>General</c:formatCode>
                <c:ptCount val="10"/>
                <c:pt idx="0">
                  <c:v>2.74</c:v>
                </c:pt>
                <c:pt idx="1">
                  <c:v>2.87</c:v>
                </c:pt>
                <c:pt idx="2">
                  <c:v>2.93</c:v>
                </c:pt>
                <c:pt idx="3">
                  <c:v>2.87</c:v>
                </c:pt>
                <c:pt idx="4">
                  <c:v>2.98</c:v>
                </c:pt>
                <c:pt idx="5">
                  <c:v>3.09</c:v>
                </c:pt>
                <c:pt idx="6">
                  <c:v>3.36</c:v>
                </c:pt>
                <c:pt idx="7">
                  <c:v>3.61</c:v>
                </c:pt>
                <c:pt idx="8">
                  <c:v>3.75</c:v>
                </c:pt>
                <c:pt idx="9">
                  <c:v>3.95</c:v>
                </c:pt>
              </c:numCache>
            </c:numRef>
          </c:yVal>
        </c:ser>
        <c:axId val="36853632"/>
        <c:axId val="36855168"/>
      </c:scatterChart>
      <c:valAx>
        <c:axId val="36853632"/>
        <c:scaling>
          <c:orientation val="minMax"/>
        </c:scaling>
        <c:axPos val="b"/>
        <c:numFmt formatCode="General" sourceLinked="1"/>
        <c:tickLblPos val="nextTo"/>
        <c:crossAx val="36855168"/>
        <c:crosses val="autoZero"/>
        <c:crossBetween val="midCat"/>
      </c:valAx>
      <c:valAx>
        <c:axId val="36855168"/>
        <c:scaling>
          <c:orientation val="minMax"/>
        </c:scaling>
        <c:axPos val="l"/>
        <c:majorGridlines/>
        <c:numFmt formatCode="General" sourceLinked="1"/>
        <c:tickLblPos val="nextTo"/>
        <c:crossAx val="3685363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1573600174978125"/>
          <c:y val="0.48798410615339755"/>
          <c:w val="0.26759733158355203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24</xdr:row>
      <xdr:rowOff>123824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43575" cy="469582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</xdr:row>
      <xdr:rowOff>85725</xdr:rowOff>
    </xdr:from>
    <xdr:to>
      <xdr:col>3</xdr:col>
      <xdr:colOff>466724</xdr:colOff>
      <xdr:row>14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181225"/>
          <a:ext cx="2171699" cy="666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148167</xdr:colOff>
      <xdr:row>17</xdr:row>
      <xdr:rowOff>169334</xdr:rowOff>
    </xdr:from>
    <xdr:to>
      <xdr:col>4</xdr:col>
      <xdr:colOff>300567</xdr:colOff>
      <xdr:row>25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167" y="3630084"/>
          <a:ext cx="2607733" cy="159808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44</xdr:row>
      <xdr:rowOff>47625</xdr:rowOff>
    </xdr:from>
    <xdr:to>
      <xdr:col>18</xdr:col>
      <xdr:colOff>295275</xdr:colOff>
      <xdr:row>58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66675</xdr:rowOff>
    </xdr:from>
    <xdr:to>
      <xdr:col>31</xdr:col>
      <xdr:colOff>342900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514133</xdr:colOff>
      <xdr:row>0</xdr:row>
      <xdr:rowOff>216478</xdr:rowOff>
    </xdr:from>
    <xdr:to>
      <xdr:col>23</xdr:col>
      <xdr:colOff>557429</xdr:colOff>
      <xdr:row>17</xdr:row>
      <xdr:rowOff>181842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10946" y="216478"/>
          <a:ext cx="3055577" cy="347770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47626</xdr:colOff>
      <xdr:row>30</xdr:row>
      <xdr:rowOff>19050</xdr:rowOff>
    </xdr:from>
    <xdr:to>
      <xdr:col>39</xdr:col>
      <xdr:colOff>447676</xdr:colOff>
      <xdr:row>38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83701" y="6134100"/>
          <a:ext cx="34480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36</xdr:col>
      <xdr:colOff>34406</xdr:colOff>
      <xdr:row>22</xdr:row>
      <xdr:rowOff>1</xdr:rowOff>
    </xdr:from>
    <xdr:to>
      <xdr:col>41</xdr:col>
      <xdr:colOff>535781</xdr:colOff>
      <xdr:row>29</xdr:row>
      <xdr:rowOff>119064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096812" y="4488657"/>
          <a:ext cx="3537469" cy="150018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297651</xdr:colOff>
      <xdr:row>35</xdr:row>
      <xdr:rowOff>142887</xdr:rowOff>
    </xdr:from>
    <xdr:to>
      <xdr:col>23</xdr:col>
      <xdr:colOff>477946</xdr:colOff>
      <xdr:row>45</xdr:row>
      <xdr:rowOff>182183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56276" y="7584293"/>
          <a:ext cx="3359264" cy="208717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405195</xdr:colOff>
      <xdr:row>36</xdr:row>
      <xdr:rowOff>122464</xdr:rowOff>
    </xdr:from>
    <xdr:to>
      <xdr:col>16</xdr:col>
      <xdr:colOff>501957</xdr:colOff>
      <xdr:row>45</xdr:row>
      <xdr:rowOff>180958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474862" y="7594297"/>
          <a:ext cx="3165928" cy="182591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174625</xdr:colOff>
      <xdr:row>36</xdr:row>
      <xdr:rowOff>47625</xdr:rowOff>
    </xdr:from>
    <xdr:to>
      <xdr:col>7</xdr:col>
      <xdr:colOff>428625</xdr:colOff>
      <xdr:row>45</xdr:row>
      <xdr:rowOff>127000</xdr:rowOff>
    </xdr:to>
    <xdr:pic>
      <xdr:nvPicPr>
        <xdr:cNvPr id="308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84375" y="7572375"/>
          <a:ext cx="3000375" cy="1841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9</xdr:row>
      <xdr:rowOff>85725</xdr:rowOff>
    </xdr:from>
    <xdr:to>
      <xdr:col>10</xdr:col>
      <xdr:colOff>466725</xdr:colOff>
      <xdr:row>13</xdr:row>
      <xdr:rowOff>47625</xdr:rowOff>
    </xdr:to>
    <xdr:cxnSp macro="">
      <xdr:nvCxnSpPr>
        <xdr:cNvPr id="3" name="Straight Arrow Connector 2"/>
        <xdr:cNvCxnSpPr/>
      </xdr:nvCxnSpPr>
      <xdr:spPr>
        <a:xfrm flipH="1" flipV="1">
          <a:off x="6134101" y="1847850"/>
          <a:ext cx="428624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123825</xdr:rowOff>
    </xdr:from>
    <xdr:to>
      <xdr:col>11</xdr:col>
      <xdr:colOff>495300</xdr:colOff>
      <xdr:row>15</xdr:row>
      <xdr:rowOff>142875</xdr:rowOff>
    </xdr:to>
    <xdr:sp macro="" textlink="">
      <xdr:nvSpPr>
        <xdr:cNvPr id="5" name="TextBox 4"/>
        <xdr:cNvSpPr txBox="1"/>
      </xdr:nvSpPr>
      <xdr:spPr>
        <a:xfrm>
          <a:off x="6438900" y="2647950"/>
          <a:ext cx="7620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>
    <xdr:from>
      <xdr:col>5</xdr:col>
      <xdr:colOff>400051</xdr:colOff>
      <xdr:row>19</xdr:row>
      <xdr:rowOff>9525</xdr:rowOff>
    </xdr:from>
    <xdr:to>
      <xdr:col>6</xdr:col>
      <xdr:colOff>247650</xdr:colOff>
      <xdr:row>20</xdr:row>
      <xdr:rowOff>171450</xdr:rowOff>
    </xdr:to>
    <xdr:cxnSp macro="">
      <xdr:nvCxnSpPr>
        <xdr:cNvPr id="7" name="Straight Arrow Connector 6"/>
        <xdr:cNvCxnSpPr/>
      </xdr:nvCxnSpPr>
      <xdr:spPr>
        <a:xfrm flipH="1">
          <a:off x="3448051" y="3752850"/>
          <a:ext cx="457199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20</xdr:row>
      <xdr:rowOff>85725</xdr:rowOff>
    </xdr:from>
    <xdr:to>
      <xdr:col>6</xdr:col>
      <xdr:colOff>304800</xdr:colOff>
      <xdr:row>23</xdr:row>
      <xdr:rowOff>47625</xdr:rowOff>
    </xdr:to>
    <xdr:sp macro="" textlink="">
      <xdr:nvSpPr>
        <xdr:cNvPr id="9" name="TextBox 8"/>
        <xdr:cNvSpPr txBox="1"/>
      </xdr:nvSpPr>
      <xdr:spPr>
        <a:xfrm>
          <a:off x="2657475" y="4019550"/>
          <a:ext cx="130492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 b="1"/>
            <a:t>Se= standard</a:t>
          </a:r>
          <a:r>
            <a:rPr lang="en-US" sz="1100" b="1" baseline="0"/>
            <a:t> deviation of Error</a:t>
          </a:r>
          <a:endParaRPr lang="en-US" sz="1100" b="1"/>
        </a:p>
      </xdr:txBody>
    </xdr:sp>
    <xdr:clientData/>
  </xdr:twoCellAnchor>
  <xdr:twoCellAnchor>
    <xdr:from>
      <xdr:col>20</xdr:col>
      <xdr:colOff>209550</xdr:colOff>
      <xdr:row>11</xdr:row>
      <xdr:rowOff>28575</xdr:rowOff>
    </xdr:from>
    <xdr:to>
      <xdr:col>20</xdr:col>
      <xdr:colOff>304800</xdr:colOff>
      <xdr:row>14</xdr:row>
      <xdr:rowOff>104776</xdr:rowOff>
    </xdr:to>
    <xdr:cxnSp macro="">
      <xdr:nvCxnSpPr>
        <xdr:cNvPr id="11" name="Straight Arrow Connector 10"/>
        <xdr:cNvCxnSpPr/>
      </xdr:nvCxnSpPr>
      <xdr:spPr>
        <a:xfrm flipH="1" flipV="1">
          <a:off x="12401550" y="2200275"/>
          <a:ext cx="95250" cy="6477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161925</xdr:rowOff>
    </xdr:from>
    <xdr:to>
      <xdr:col>21</xdr:col>
      <xdr:colOff>152400</xdr:colOff>
      <xdr:row>15</xdr:row>
      <xdr:rowOff>180975</xdr:rowOff>
    </xdr:to>
    <xdr:sp macro="" textlink="">
      <xdr:nvSpPr>
        <xdr:cNvPr id="14" name="TextBox 13"/>
        <xdr:cNvSpPr txBox="1"/>
      </xdr:nvSpPr>
      <xdr:spPr>
        <a:xfrm>
          <a:off x="12192000" y="2714625"/>
          <a:ext cx="7620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>
    <xdr:from>
      <xdr:col>19</xdr:col>
      <xdr:colOff>247650</xdr:colOff>
      <xdr:row>10</xdr:row>
      <xdr:rowOff>180975</xdr:rowOff>
    </xdr:from>
    <xdr:to>
      <xdr:col>19</xdr:col>
      <xdr:colOff>333375</xdr:colOff>
      <xdr:row>15</xdr:row>
      <xdr:rowOff>38100</xdr:rowOff>
    </xdr:to>
    <xdr:cxnSp macro="">
      <xdr:nvCxnSpPr>
        <xdr:cNvPr id="16" name="Straight Arrow Connector 15"/>
        <xdr:cNvCxnSpPr/>
      </xdr:nvCxnSpPr>
      <xdr:spPr>
        <a:xfrm>
          <a:off x="11830050" y="2162175"/>
          <a:ext cx="85725" cy="8096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15</xdr:row>
      <xdr:rowOff>190501</xdr:rowOff>
    </xdr:from>
    <xdr:to>
      <xdr:col>20</xdr:col>
      <xdr:colOff>314325</xdr:colOff>
      <xdr:row>18</xdr:row>
      <xdr:rowOff>95251</xdr:rowOff>
    </xdr:to>
    <xdr:sp macro="" textlink="">
      <xdr:nvSpPr>
        <xdr:cNvPr id="17" name="TextBox 16"/>
        <xdr:cNvSpPr txBox="1"/>
      </xdr:nvSpPr>
      <xdr:spPr>
        <a:xfrm>
          <a:off x="11725275" y="3124201"/>
          <a:ext cx="78105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Almost</a:t>
          </a:r>
        </a:p>
        <a:p>
          <a:r>
            <a:rPr lang="en-US" sz="1100" b="1"/>
            <a:t>close to zero</a:t>
          </a:r>
        </a:p>
      </xdr:txBody>
    </xdr:sp>
    <xdr:clientData/>
  </xdr:twoCellAnchor>
  <xdr:twoCellAnchor>
    <xdr:from>
      <xdr:col>31</xdr:col>
      <xdr:colOff>304800</xdr:colOff>
      <xdr:row>12</xdr:row>
      <xdr:rowOff>180975</xdr:rowOff>
    </xdr:from>
    <xdr:to>
      <xdr:col>31</xdr:col>
      <xdr:colOff>400050</xdr:colOff>
      <xdr:row>15</xdr:row>
      <xdr:rowOff>257176</xdr:rowOff>
    </xdr:to>
    <xdr:cxnSp macro="">
      <xdr:nvCxnSpPr>
        <xdr:cNvPr id="18" name="Straight Arrow Connector 17"/>
        <xdr:cNvCxnSpPr/>
      </xdr:nvCxnSpPr>
      <xdr:spPr>
        <a:xfrm flipH="1" flipV="1">
          <a:off x="19335750" y="2590800"/>
          <a:ext cx="95250" cy="7239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16</xdr:row>
      <xdr:rowOff>0</xdr:rowOff>
    </xdr:from>
    <xdr:to>
      <xdr:col>32</xdr:col>
      <xdr:colOff>152400</xdr:colOff>
      <xdr:row>17</xdr:row>
      <xdr:rowOff>209550</xdr:rowOff>
    </xdr:to>
    <xdr:sp macro="" textlink="">
      <xdr:nvSpPr>
        <xdr:cNvPr id="19" name="TextBox 18"/>
        <xdr:cNvSpPr txBox="1"/>
      </xdr:nvSpPr>
      <xdr:spPr>
        <a:xfrm>
          <a:off x="18897600" y="3200400"/>
          <a:ext cx="7620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>
    <xdr:from>
      <xdr:col>30</xdr:col>
      <xdr:colOff>104775</xdr:colOff>
      <xdr:row>13</xdr:row>
      <xdr:rowOff>0</xdr:rowOff>
    </xdr:from>
    <xdr:to>
      <xdr:col>30</xdr:col>
      <xdr:colOff>190500</xdr:colOff>
      <xdr:row>16</xdr:row>
      <xdr:rowOff>161925</xdr:rowOff>
    </xdr:to>
    <xdr:cxnSp macro="">
      <xdr:nvCxnSpPr>
        <xdr:cNvPr id="20" name="Straight Arrow Connector 19"/>
        <xdr:cNvCxnSpPr/>
      </xdr:nvCxnSpPr>
      <xdr:spPr>
        <a:xfrm>
          <a:off x="18392775" y="2552700"/>
          <a:ext cx="85725" cy="8096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314325</xdr:colOff>
      <xdr:row>17</xdr:row>
      <xdr:rowOff>0</xdr:rowOff>
    </xdr:from>
    <xdr:to>
      <xdr:col>30</xdr:col>
      <xdr:colOff>485775</xdr:colOff>
      <xdr:row>18</xdr:row>
      <xdr:rowOff>133350</xdr:rowOff>
    </xdr:to>
    <xdr:sp macro="" textlink="">
      <xdr:nvSpPr>
        <xdr:cNvPr id="21" name="TextBox 20"/>
        <xdr:cNvSpPr txBox="1"/>
      </xdr:nvSpPr>
      <xdr:spPr>
        <a:xfrm>
          <a:off x="17992725" y="3390900"/>
          <a:ext cx="7810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 zero</a:t>
          </a:r>
        </a:p>
      </xdr:txBody>
    </xdr:sp>
    <xdr:clientData/>
  </xdr:twoCellAnchor>
  <xdr:twoCellAnchor>
    <xdr:from>
      <xdr:col>42</xdr:col>
      <xdr:colOff>0</xdr:colOff>
      <xdr:row>12</xdr:row>
      <xdr:rowOff>0</xdr:rowOff>
    </xdr:from>
    <xdr:to>
      <xdr:col>43</xdr:col>
      <xdr:colOff>152400</xdr:colOff>
      <xdr:row>13</xdr:row>
      <xdr:rowOff>209550</xdr:rowOff>
    </xdr:to>
    <xdr:sp macro="" textlink="">
      <xdr:nvSpPr>
        <xdr:cNvPr id="22" name="TextBox 21"/>
        <xdr:cNvSpPr txBox="1"/>
      </xdr:nvSpPr>
      <xdr:spPr>
        <a:xfrm>
          <a:off x="25736550" y="2409825"/>
          <a:ext cx="762000" cy="4000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>
    <xdr:from>
      <xdr:col>42</xdr:col>
      <xdr:colOff>266700</xdr:colOff>
      <xdr:row>8</xdr:row>
      <xdr:rowOff>180975</xdr:rowOff>
    </xdr:from>
    <xdr:to>
      <xdr:col>42</xdr:col>
      <xdr:colOff>371475</xdr:colOff>
      <xdr:row>11</xdr:row>
      <xdr:rowOff>171451</xdr:rowOff>
    </xdr:to>
    <xdr:cxnSp macro="">
      <xdr:nvCxnSpPr>
        <xdr:cNvPr id="23" name="Straight Arrow Connector 22"/>
        <xdr:cNvCxnSpPr/>
      </xdr:nvCxnSpPr>
      <xdr:spPr>
        <a:xfrm flipH="1" flipV="1">
          <a:off x="26003250" y="1828800"/>
          <a:ext cx="104775" cy="5619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133350</xdr:colOff>
      <xdr:row>35</xdr:row>
      <xdr:rowOff>171450</xdr:rowOff>
    </xdr:from>
    <xdr:to>
      <xdr:col>28</xdr:col>
      <xdr:colOff>228600</xdr:colOff>
      <xdr:row>39</xdr:row>
      <xdr:rowOff>133351</xdr:rowOff>
    </xdr:to>
    <xdr:cxnSp macro="">
      <xdr:nvCxnSpPr>
        <xdr:cNvPr id="27" name="Straight Arrow Connector 26"/>
        <xdr:cNvCxnSpPr/>
      </xdr:nvCxnSpPr>
      <xdr:spPr>
        <a:xfrm flipH="1" flipV="1">
          <a:off x="17335500" y="7315200"/>
          <a:ext cx="95250" cy="7239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31</xdr:row>
      <xdr:rowOff>76200</xdr:rowOff>
    </xdr:from>
    <xdr:to>
      <xdr:col>18</xdr:col>
      <xdr:colOff>133350</xdr:colOff>
      <xdr:row>33</xdr:row>
      <xdr:rowOff>76201</xdr:rowOff>
    </xdr:to>
    <xdr:cxnSp macro="">
      <xdr:nvCxnSpPr>
        <xdr:cNvPr id="28" name="Straight Arrow Connector 27"/>
        <xdr:cNvCxnSpPr/>
      </xdr:nvCxnSpPr>
      <xdr:spPr>
        <a:xfrm flipH="1">
          <a:off x="10410825" y="6410325"/>
          <a:ext cx="695325" cy="381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0</xdr:rowOff>
    </xdr:from>
    <xdr:to>
      <xdr:col>19</xdr:col>
      <xdr:colOff>152400</xdr:colOff>
      <xdr:row>33</xdr:row>
      <xdr:rowOff>19050</xdr:rowOff>
    </xdr:to>
    <xdr:sp macro="" textlink="">
      <xdr:nvSpPr>
        <xdr:cNvPr id="30" name="TextBox 29"/>
        <xdr:cNvSpPr txBox="1"/>
      </xdr:nvSpPr>
      <xdr:spPr>
        <a:xfrm>
          <a:off x="10972800" y="6334125"/>
          <a:ext cx="762000" cy="4000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>
    <xdr:from>
      <xdr:col>28</xdr:col>
      <xdr:colOff>0</xdr:colOff>
      <xdr:row>39</xdr:row>
      <xdr:rowOff>0</xdr:rowOff>
    </xdr:from>
    <xdr:to>
      <xdr:col>29</xdr:col>
      <xdr:colOff>152400</xdr:colOff>
      <xdr:row>40</xdr:row>
      <xdr:rowOff>133350</xdr:rowOff>
    </xdr:to>
    <xdr:sp macro="" textlink="">
      <xdr:nvSpPr>
        <xdr:cNvPr id="31" name="TextBox 30"/>
        <xdr:cNvSpPr txBox="1"/>
      </xdr:nvSpPr>
      <xdr:spPr>
        <a:xfrm>
          <a:off x="17202150" y="7905750"/>
          <a:ext cx="762000" cy="4000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SSE</a:t>
          </a:r>
        </a:p>
      </xdr:txBody>
    </xdr:sp>
    <xdr:clientData/>
  </xdr:twoCellAnchor>
  <xdr:twoCellAnchor editAs="oneCell">
    <xdr:from>
      <xdr:col>12</xdr:col>
      <xdr:colOff>214313</xdr:colOff>
      <xdr:row>40</xdr:row>
      <xdr:rowOff>95249</xdr:rowOff>
    </xdr:from>
    <xdr:to>
      <xdr:col>18</xdr:col>
      <xdr:colOff>261938</xdr:colOff>
      <xdr:row>50</xdr:row>
      <xdr:rowOff>95249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43813" y="8405812"/>
          <a:ext cx="3762375" cy="19526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4</xdr:col>
      <xdr:colOff>542926</xdr:colOff>
      <xdr:row>4</xdr:row>
      <xdr:rowOff>47625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8575"/>
          <a:ext cx="2952750" cy="885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5</xdr:row>
      <xdr:rowOff>114300</xdr:rowOff>
    </xdr:from>
    <xdr:to>
      <xdr:col>2</xdr:col>
      <xdr:colOff>85725</xdr:colOff>
      <xdr:row>8</xdr:row>
      <xdr:rowOff>147637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1066800"/>
          <a:ext cx="1285875" cy="6762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333376</xdr:colOff>
      <xdr:row>5</xdr:row>
      <xdr:rowOff>123825</xdr:rowOff>
    </xdr:from>
    <xdr:to>
      <xdr:col>4</xdr:col>
      <xdr:colOff>542926</xdr:colOff>
      <xdr:row>8</xdr:row>
      <xdr:rowOff>42862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52576" y="1076325"/>
          <a:ext cx="1428750" cy="5619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152400</xdr:colOff>
      <xdr:row>11</xdr:row>
      <xdr:rowOff>152401</xdr:rowOff>
    </xdr:from>
    <xdr:to>
      <xdr:col>4</xdr:col>
      <xdr:colOff>219075</xdr:colOff>
      <xdr:row>13</xdr:row>
      <xdr:rowOff>38101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0" y="2400301"/>
          <a:ext cx="1285875" cy="32385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</xdr:colOff>
      <xdr:row>32</xdr:row>
      <xdr:rowOff>171450</xdr:rowOff>
    </xdr:from>
    <xdr:to>
      <xdr:col>10</xdr:col>
      <xdr:colOff>590550</xdr:colOff>
      <xdr:row>36</xdr:row>
      <xdr:rowOff>38100</xdr:rowOff>
    </xdr:to>
    <xdr:cxnSp macro="">
      <xdr:nvCxnSpPr>
        <xdr:cNvPr id="7" name="Straight Arrow Connector 6"/>
        <xdr:cNvCxnSpPr/>
      </xdr:nvCxnSpPr>
      <xdr:spPr>
        <a:xfrm flipV="1">
          <a:off x="6115050" y="6781800"/>
          <a:ext cx="571500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32</xdr:row>
      <xdr:rowOff>38100</xdr:rowOff>
    </xdr:from>
    <xdr:to>
      <xdr:col>12</xdr:col>
      <xdr:colOff>19050</xdr:colOff>
      <xdr:row>34</xdr:row>
      <xdr:rowOff>47625</xdr:rowOff>
    </xdr:to>
    <xdr:sp macro="" textlink="">
      <xdr:nvSpPr>
        <xdr:cNvPr id="8" name="TextBox 7"/>
        <xdr:cNvSpPr txBox="1"/>
      </xdr:nvSpPr>
      <xdr:spPr>
        <a:xfrm>
          <a:off x="6696075" y="6648450"/>
          <a:ext cx="638175" cy="39052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/>
            <a:t>SSE</a:t>
          </a:r>
        </a:p>
      </xdr:txBody>
    </xdr:sp>
    <xdr:clientData/>
  </xdr:twoCellAnchor>
  <xdr:twoCellAnchor editAs="oneCell">
    <xdr:from>
      <xdr:col>0</xdr:col>
      <xdr:colOff>142876</xdr:colOff>
      <xdr:row>13</xdr:row>
      <xdr:rowOff>130969</xdr:rowOff>
    </xdr:from>
    <xdr:to>
      <xdr:col>5</xdr:col>
      <xdr:colOff>0</xdr:colOff>
      <xdr:row>22</xdr:row>
      <xdr:rowOff>45243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2876" y="2893219"/>
          <a:ext cx="2893218" cy="175974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142875</xdr:rowOff>
    </xdr:from>
    <xdr:to>
      <xdr:col>3</xdr:col>
      <xdr:colOff>342899</xdr:colOff>
      <xdr:row>6</xdr:row>
      <xdr:rowOff>19050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4" y="142875"/>
          <a:ext cx="2124075" cy="1238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123827</xdr:colOff>
      <xdr:row>8</xdr:row>
      <xdr:rowOff>123825</xdr:rowOff>
    </xdr:from>
    <xdr:to>
      <xdr:col>1</xdr:col>
      <xdr:colOff>133350</xdr:colOff>
      <xdr:row>10</xdr:row>
      <xdr:rowOff>114301</xdr:rowOff>
    </xdr:to>
    <xdr:pic>
      <xdr:nvPicPr>
        <xdr:cNvPr id="71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7" y="1724025"/>
          <a:ext cx="619123" cy="3714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123825</xdr:colOff>
      <xdr:row>11</xdr:row>
      <xdr:rowOff>76200</xdr:rowOff>
    </xdr:from>
    <xdr:to>
      <xdr:col>2</xdr:col>
      <xdr:colOff>114300</xdr:colOff>
      <xdr:row>15</xdr:row>
      <xdr:rowOff>85725</xdr:rowOff>
    </xdr:to>
    <xdr:pic>
      <xdr:nvPicPr>
        <xdr:cNvPr id="71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" y="2247900"/>
          <a:ext cx="1209675" cy="771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76200</xdr:colOff>
      <xdr:row>15</xdr:row>
      <xdr:rowOff>104775</xdr:rowOff>
    </xdr:from>
    <xdr:to>
      <xdr:col>3</xdr:col>
      <xdr:colOff>295275</xdr:colOff>
      <xdr:row>17</xdr:row>
      <xdr:rowOff>123825</xdr:rowOff>
    </xdr:to>
    <xdr:pic>
      <xdr:nvPicPr>
        <xdr:cNvPr id="718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" y="3038475"/>
          <a:ext cx="2047875" cy="476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361950</xdr:colOff>
      <xdr:row>8</xdr:row>
      <xdr:rowOff>66675</xdr:rowOff>
    </xdr:from>
    <xdr:to>
      <xdr:col>2</xdr:col>
      <xdr:colOff>561975</xdr:colOff>
      <xdr:row>10</xdr:row>
      <xdr:rowOff>171450</xdr:rowOff>
    </xdr:to>
    <xdr:pic>
      <xdr:nvPicPr>
        <xdr:cNvPr id="718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1550" y="1666875"/>
          <a:ext cx="809625" cy="4857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9526</xdr:rowOff>
    </xdr:from>
    <xdr:to>
      <xdr:col>10</xdr:col>
      <xdr:colOff>200025</xdr:colOff>
      <xdr:row>2</xdr:row>
      <xdr:rowOff>133351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86400" y="276226"/>
          <a:ext cx="809625" cy="36195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428625</xdr:colOff>
      <xdr:row>11</xdr:row>
      <xdr:rowOff>0</xdr:rowOff>
    </xdr:from>
    <xdr:to>
      <xdr:col>15</xdr:col>
      <xdr:colOff>514350</xdr:colOff>
      <xdr:row>13</xdr:row>
      <xdr:rowOff>104775</xdr:rowOff>
    </xdr:to>
    <xdr:cxnSp macro="">
      <xdr:nvCxnSpPr>
        <xdr:cNvPr id="11" name="Straight Arrow Connector 10"/>
        <xdr:cNvCxnSpPr/>
      </xdr:nvCxnSpPr>
      <xdr:spPr>
        <a:xfrm>
          <a:off x="9572625" y="2266950"/>
          <a:ext cx="85725" cy="4857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14</xdr:row>
      <xdr:rowOff>66675</xdr:rowOff>
    </xdr:from>
    <xdr:to>
      <xdr:col>16</xdr:col>
      <xdr:colOff>352425</xdr:colOff>
      <xdr:row>16</xdr:row>
      <xdr:rowOff>76200</xdr:rowOff>
    </xdr:to>
    <xdr:sp macro="" textlink="">
      <xdr:nvSpPr>
        <xdr:cNvPr id="12" name="TextBox 11"/>
        <xdr:cNvSpPr txBox="1"/>
      </xdr:nvSpPr>
      <xdr:spPr>
        <a:xfrm>
          <a:off x="9401175" y="2905125"/>
          <a:ext cx="704850" cy="39052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SSE</a:t>
          </a:r>
        </a:p>
      </xdr:txBody>
    </xdr:sp>
    <xdr:clientData/>
  </xdr:twoCellAnchor>
  <xdr:twoCellAnchor>
    <xdr:from>
      <xdr:col>13</xdr:col>
      <xdr:colOff>428625</xdr:colOff>
      <xdr:row>18</xdr:row>
      <xdr:rowOff>66675</xdr:rowOff>
    </xdr:from>
    <xdr:to>
      <xdr:col>16</xdr:col>
      <xdr:colOff>76200</xdr:colOff>
      <xdr:row>23</xdr:row>
      <xdr:rowOff>28575</xdr:rowOff>
    </xdr:to>
    <xdr:sp macro="" textlink="">
      <xdr:nvSpPr>
        <xdr:cNvPr id="13" name="TextBox 12"/>
        <xdr:cNvSpPr txBox="1"/>
      </xdr:nvSpPr>
      <xdr:spPr>
        <a:xfrm>
          <a:off x="8353425" y="3743325"/>
          <a:ext cx="1476375" cy="914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 b="1"/>
            <a:t>For testing the hypothesis</a:t>
          </a:r>
          <a:r>
            <a:rPr lang="en-US" sz="1100" b="1" baseline="0"/>
            <a:t>  we need to find t-value at  alpha = 0.05.</a:t>
          </a:r>
        </a:p>
        <a:p>
          <a:pPr algn="ctr"/>
          <a:r>
            <a:rPr lang="en-US" sz="1100" b="1" baseline="0"/>
            <a:t>Doing two tailed test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190500</xdr:rowOff>
    </xdr:from>
    <xdr:to>
      <xdr:col>4</xdr:col>
      <xdr:colOff>495300</xdr:colOff>
      <xdr:row>6</xdr:row>
      <xdr:rowOff>174171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90500"/>
          <a:ext cx="2714625" cy="14001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4</xdr:row>
      <xdr:rowOff>85725</xdr:rowOff>
    </xdr:from>
    <xdr:to>
      <xdr:col>14</xdr:col>
      <xdr:colOff>304800</xdr:colOff>
      <xdr:row>7</xdr:row>
      <xdr:rowOff>142875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67125" y="971550"/>
          <a:ext cx="5172075" cy="6286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57150</xdr:colOff>
      <xdr:row>26</xdr:row>
      <xdr:rowOff>76200</xdr:rowOff>
    </xdr:from>
    <xdr:to>
      <xdr:col>8</xdr:col>
      <xdr:colOff>514350</xdr:colOff>
      <xdr:row>30</xdr:row>
      <xdr:rowOff>0</xdr:rowOff>
    </xdr:to>
    <xdr:sp macro="" textlink="">
      <xdr:nvSpPr>
        <xdr:cNvPr id="5" name="TextBox 4"/>
        <xdr:cNvSpPr txBox="1"/>
      </xdr:nvSpPr>
      <xdr:spPr>
        <a:xfrm>
          <a:off x="4324350" y="5229225"/>
          <a:ext cx="106680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Confidene Interval  is</a:t>
          </a:r>
        </a:p>
      </xdr:txBody>
    </xdr:sp>
    <xdr:clientData/>
  </xdr:twoCellAnchor>
  <xdr:twoCellAnchor>
    <xdr:from>
      <xdr:col>7</xdr:col>
      <xdr:colOff>466725</xdr:colOff>
      <xdr:row>27</xdr:row>
      <xdr:rowOff>180975</xdr:rowOff>
    </xdr:from>
    <xdr:to>
      <xdr:col>9</xdr:col>
      <xdr:colOff>47625</xdr:colOff>
      <xdr:row>29</xdr:row>
      <xdr:rowOff>152400</xdr:rowOff>
    </xdr:to>
    <xdr:cxnSp macro="">
      <xdr:nvCxnSpPr>
        <xdr:cNvPr id="7" name="Straight Arrow Connector 6"/>
        <xdr:cNvCxnSpPr/>
      </xdr:nvCxnSpPr>
      <xdr:spPr>
        <a:xfrm flipV="1">
          <a:off x="4733925" y="5524500"/>
          <a:ext cx="80010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29</xdr:row>
      <xdr:rowOff>38100</xdr:rowOff>
    </xdr:from>
    <xdr:to>
      <xdr:col>13</xdr:col>
      <xdr:colOff>323850</xdr:colOff>
      <xdr:row>32</xdr:row>
      <xdr:rowOff>95250</xdr:rowOff>
    </xdr:to>
    <xdr:sp macro="" textlink="">
      <xdr:nvSpPr>
        <xdr:cNvPr id="8" name="TextBox 7"/>
        <xdr:cNvSpPr txBox="1"/>
      </xdr:nvSpPr>
      <xdr:spPr>
        <a:xfrm>
          <a:off x="7038975" y="5762625"/>
          <a:ext cx="12096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Prediction </a:t>
          </a:r>
        </a:p>
        <a:p>
          <a:r>
            <a:rPr lang="en-US" sz="1100"/>
            <a:t>Interval is</a:t>
          </a:r>
        </a:p>
      </xdr:txBody>
    </xdr:sp>
    <xdr:clientData/>
  </xdr:twoCellAnchor>
  <xdr:twoCellAnchor editAs="oneCell">
    <xdr:from>
      <xdr:col>18</xdr:col>
      <xdr:colOff>581025</xdr:colOff>
      <xdr:row>4</xdr:row>
      <xdr:rowOff>9525</xdr:rowOff>
    </xdr:from>
    <xdr:to>
      <xdr:col>27</xdr:col>
      <xdr:colOff>352425</xdr:colOff>
      <xdr:row>8</xdr:row>
      <xdr:rowOff>0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677650" y="895350"/>
          <a:ext cx="5257800" cy="752475"/>
        </a:xfrm>
        <a:prstGeom prst="rect">
          <a:avLst/>
        </a:prstGeom>
        <a:noFill/>
      </xdr:spPr>
    </xdr:pic>
    <xdr:clientData/>
  </xdr:twoCellAnchor>
  <xdr:twoCellAnchor>
    <xdr:from>
      <xdr:col>18</xdr:col>
      <xdr:colOff>0</xdr:colOff>
      <xdr:row>28</xdr:row>
      <xdr:rowOff>0</xdr:rowOff>
    </xdr:from>
    <xdr:to>
      <xdr:col>19</xdr:col>
      <xdr:colOff>457200</xdr:colOff>
      <xdr:row>31</xdr:row>
      <xdr:rowOff>114300</xdr:rowOff>
    </xdr:to>
    <xdr:sp macro="" textlink="">
      <xdr:nvSpPr>
        <xdr:cNvPr id="10" name="TextBox 9"/>
        <xdr:cNvSpPr txBox="1"/>
      </xdr:nvSpPr>
      <xdr:spPr>
        <a:xfrm>
          <a:off x="11096625" y="5591175"/>
          <a:ext cx="1066800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Confidene Interval  is for x0=100</a:t>
          </a:r>
        </a:p>
        <a:p>
          <a:endParaRPr lang="en-US" sz="1100"/>
        </a:p>
      </xdr:txBody>
    </xdr:sp>
    <xdr:clientData/>
  </xdr:twoCellAnchor>
  <xdr:twoCellAnchor>
    <xdr:from>
      <xdr:col>18</xdr:col>
      <xdr:colOff>123825</xdr:colOff>
      <xdr:row>26</xdr:row>
      <xdr:rowOff>142875</xdr:rowOff>
    </xdr:from>
    <xdr:to>
      <xdr:col>19</xdr:col>
      <xdr:colOff>314325</xdr:colOff>
      <xdr:row>28</xdr:row>
      <xdr:rowOff>114300</xdr:rowOff>
    </xdr:to>
    <xdr:cxnSp macro="">
      <xdr:nvCxnSpPr>
        <xdr:cNvPr id="11" name="Straight Arrow Connector 10"/>
        <xdr:cNvCxnSpPr/>
      </xdr:nvCxnSpPr>
      <xdr:spPr>
        <a:xfrm flipV="1">
          <a:off x="11220450" y="5353050"/>
          <a:ext cx="80010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447675</xdr:colOff>
      <xdr:row>18</xdr:row>
      <xdr:rowOff>95250</xdr:rowOff>
    </xdr:from>
    <xdr:to>
      <xdr:col>28</xdr:col>
      <xdr:colOff>438150</xdr:colOff>
      <xdr:row>21</xdr:row>
      <xdr:rowOff>152400</xdr:rowOff>
    </xdr:to>
    <xdr:sp macro="" textlink="">
      <xdr:nvSpPr>
        <xdr:cNvPr id="12" name="TextBox 11"/>
        <xdr:cNvSpPr txBox="1"/>
      </xdr:nvSpPr>
      <xdr:spPr>
        <a:xfrm>
          <a:off x="16421100" y="3781425"/>
          <a:ext cx="1209675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Prediction </a:t>
          </a:r>
        </a:p>
        <a:p>
          <a:r>
            <a:rPr lang="en-US" sz="1100"/>
            <a:t>Interval is for x0=100</a:t>
          </a:r>
        </a:p>
      </xdr:txBody>
    </xdr:sp>
    <xdr:clientData/>
  </xdr:twoCellAnchor>
  <xdr:twoCellAnchor>
    <xdr:from>
      <xdr:col>27</xdr:col>
      <xdr:colOff>571500</xdr:colOff>
      <xdr:row>17</xdr:row>
      <xdr:rowOff>28575</xdr:rowOff>
    </xdr:from>
    <xdr:to>
      <xdr:col>28</xdr:col>
      <xdr:colOff>266700</xdr:colOff>
      <xdr:row>18</xdr:row>
      <xdr:rowOff>85725</xdr:rowOff>
    </xdr:to>
    <xdr:cxnSp macro="">
      <xdr:nvCxnSpPr>
        <xdr:cNvPr id="14" name="Straight Arrow Connector 13"/>
        <xdr:cNvCxnSpPr/>
      </xdr:nvCxnSpPr>
      <xdr:spPr>
        <a:xfrm flipH="1" flipV="1">
          <a:off x="17154525" y="3524250"/>
          <a:ext cx="304800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585107</xdr:colOff>
      <xdr:row>29</xdr:row>
      <xdr:rowOff>136071</xdr:rowOff>
    </xdr:from>
    <xdr:to>
      <xdr:col>33</xdr:col>
      <xdr:colOff>575583</xdr:colOff>
      <xdr:row>33</xdr:row>
      <xdr:rowOff>2721</xdr:rowOff>
    </xdr:to>
    <xdr:sp macro="" textlink="">
      <xdr:nvSpPr>
        <xdr:cNvPr id="15" name="TextBox 14"/>
        <xdr:cNvSpPr txBox="1"/>
      </xdr:nvSpPr>
      <xdr:spPr>
        <a:xfrm>
          <a:off x="19689536" y="6000750"/>
          <a:ext cx="1215118" cy="628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Prediction </a:t>
          </a:r>
        </a:p>
        <a:p>
          <a:r>
            <a:rPr lang="en-US" sz="1100"/>
            <a:t>Interval is for x0=130</a:t>
          </a:r>
        </a:p>
      </xdr:txBody>
    </xdr:sp>
    <xdr:clientData/>
  </xdr:twoCellAnchor>
  <xdr:twoCellAnchor>
    <xdr:from>
      <xdr:col>32</xdr:col>
      <xdr:colOff>580345</xdr:colOff>
      <xdr:row>27</xdr:row>
      <xdr:rowOff>0</xdr:rowOff>
    </xdr:from>
    <xdr:to>
      <xdr:col>33</xdr:col>
      <xdr:colOff>1</xdr:colOff>
      <xdr:row>29</xdr:row>
      <xdr:rowOff>136071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0297095" y="5483679"/>
          <a:ext cx="31977" cy="51707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13607</xdr:colOff>
      <xdr:row>15</xdr:row>
      <xdr:rowOff>149678</xdr:rowOff>
    </xdr:from>
    <xdr:to>
      <xdr:col>31</xdr:col>
      <xdr:colOff>544285</xdr:colOff>
      <xdr:row>26</xdr:row>
      <xdr:rowOff>27214</xdr:rowOff>
    </xdr:to>
    <xdr:cxnSp macro="">
      <xdr:nvCxnSpPr>
        <xdr:cNvPr id="22" name="Elbow Connector 21"/>
        <xdr:cNvCxnSpPr/>
      </xdr:nvCxnSpPr>
      <xdr:spPr>
        <a:xfrm>
          <a:off x="17281071" y="3347357"/>
          <a:ext cx="2367643" cy="1973036"/>
        </a:xfrm>
        <a:prstGeom prst="bentConnector3">
          <a:avLst>
            <a:gd name="adj1" fmla="val 4137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517071</xdr:colOff>
      <xdr:row>26</xdr:row>
      <xdr:rowOff>68035</xdr:rowOff>
    </xdr:from>
    <xdr:to>
      <xdr:col>31</xdr:col>
      <xdr:colOff>0</xdr:colOff>
      <xdr:row>31</xdr:row>
      <xdr:rowOff>136071</xdr:rowOff>
    </xdr:to>
    <xdr:sp macro="" textlink="">
      <xdr:nvSpPr>
        <xdr:cNvPr id="28" name="TextBox 27"/>
        <xdr:cNvSpPr txBox="1"/>
      </xdr:nvSpPr>
      <xdr:spPr>
        <a:xfrm>
          <a:off x="17172214" y="5361214"/>
          <a:ext cx="1932215" cy="10205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 i="1"/>
            <a:t>      (PI</a:t>
          </a:r>
          <a:r>
            <a:rPr lang="en-US" sz="1600" b="1" i="1" baseline="0"/>
            <a:t> OF X0=100 )</a:t>
          </a:r>
        </a:p>
        <a:p>
          <a:r>
            <a:rPr lang="en-US" sz="1600" b="1" i="1" baseline="0"/>
            <a:t>	 &gt;  </a:t>
          </a:r>
        </a:p>
        <a:p>
          <a:r>
            <a:rPr lang="en-US" sz="1600" b="1" i="1" baseline="0"/>
            <a:t>       (PI OF x0=130)</a:t>
          </a:r>
          <a:endParaRPr lang="en-US" sz="1600" b="1" i="1"/>
        </a:p>
      </xdr:txBody>
    </xdr:sp>
    <xdr:clientData/>
  </xdr:twoCellAnchor>
  <xdr:twoCellAnchor editAs="oneCell">
    <xdr:from>
      <xdr:col>0</xdr:col>
      <xdr:colOff>171450</xdr:colOff>
      <xdr:row>41</xdr:row>
      <xdr:rowOff>114300</xdr:rowOff>
    </xdr:from>
    <xdr:to>
      <xdr:col>8</xdr:col>
      <xdr:colOff>533400</xdr:colOff>
      <xdr:row>44</xdr:row>
      <xdr:rowOff>85725</xdr:rowOff>
    </xdr:to>
    <xdr:pic>
      <xdr:nvPicPr>
        <xdr:cNvPr id="82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450" y="8477250"/>
          <a:ext cx="5238750" cy="5429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38100</xdr:colOff>
      <xdr:row>41</xdr:row>
      <xdr:rowOff>38100</xdr:rowOff>
    </xdr:from>
    <xdr:to>
      <xdr:col>21</xdr:col>
      <xdr:colOff>485775</xdr:colOff>
      <xdr:row>43</xdr:row>
      <xdr:rowOff>47625</xdr:rowOff>
    </xdr:to>
    <xdr:pic>
      <xdr:nvPicPr>
        <xdr:cNvPr id="82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962900" y="8401050"/>
          <a:ext cx="5457825" cy="39052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21167</xdr:colOff>
      <xdr:row>61</xdr:row>
      <xdr:rowOff>127000</xdr:rowOff>
    </xdr:from>
    <xdr:to>
      <xdr:col>18</xdr:col>
      <xdr:colOff>402166</xdr:colOff>
      <xdr:row>69</xdr:row>
      <xdr:rowOff>116416</xdr:rowOff>
    </xdr:to>
    <xdr:sp macro="" textlink="">
      <xdr:nvSpPr>
        <xdr:cNvPr id="31" name="TextBox 30"/>
        <xdr:cNvSpPr txBox="1"/>
      </xdr:nvSpPr>
      <xdr:spPr>
        <a:xfrm>
          <a:off x="9958917" y="12403667"/>
          <a:ext cx="1608666" cy="15134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/>
            <a:t>CONFIDENCE</a:t>
          </a:r>
          <a:r>
            <a:rPr lang="en-US" sz="1100" baseline="0"/>
            <a:t> INTERVAL FOR </a:t>
          </a:r>
          <a:r>
            <a:rPr lang="en-US" sz="1100" b="1" baseline="0"/>
            <a:t>plr=10</a:t>
          </a:r>
          <a:r>
            <a:rPr lang="en-US" sz="1100" baseline="0"/>
            <a:t>%</a:t>
          </a:r>
        </a:p>
        <a:p>
          <a:pPr algn="ctr"/>
          <a:r>
            <a:rPr lang="en-US" sz="1100" baseline="0"/>
            <a:t>THIS CI IS THE RANGE WITH WHICH bOND RATE Can varry with 99% confidene or 1% error</a:t>
          </a:r>
        </a:p>
        <a:p>
          <a:pPr algn="ctr"/>
          <a:r>
            <a:rPr lang="en-US" sz="1100" b="1" i="1" baseline="0"/>
            <a:t>0.968&lt;=E(10)&lt;=15.65</a:t>
          </a:r>
          <a:endParaRPr lang="en-US" sz="1100" b="1" i="1"/>
        </a:p>
      </xdr:txBody>
    </xdr:sp>
    <xdr:clientData/>
  </xdr:twoCellAnchor>
  <xdr:twoCellAnchor>
    <xdr:from>
      <xdr:col>15</xdr:col>
      <xdr:colOff>10583</xdr:colOff>
      <xdr:row>61</xdr:row>
      <xdr:rowOff>0</xdr:rowOff>
    </xdr:from>
    <xdr:to>
      <xdr:col>15</xdr:col>
      <xdr:colOff>603250</xdr:colOff>
      <xdr:row>63</xdr:row>
      <xdr:rowOff>137583</xdr:rowOff>
    </xdr:to>
    <xdr:cxnSp macro="">
      <xdr:nvCxnSpPr>
        <xdr:cNvPr id="33" name="Straight Arrow Connector 32"/>
        <xdr:cNvCxnSpPr/>
      </xdr:nvCxnSpPr>
      <xdr:spPr>
        <a:xfrm flipH="1" flipV="1">
          <a:off x="9334500" y="12276667"/>
          <a:ext cx="592667" cy="51858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355023</xdr:colOff>
      <xdr:row>18</xdr:row>
      <xdr:rowOff>25977</xdr:rowOff>
    </xdr:from>
    <xdr:to>
      <xdr:col>9</xdr:col>
      <xdr:colOff>510887</xdr:colOff>
      <xdr:row>19</xdr:row>
      <xdr:rowOff>155863</xdr:rowOff>
    </xdr:to>
    <xdr:cxnSp macro="">
      <xdr:nvCxnSpPr>
        <xdr:cNvPr id="3" name="Straight Arrow Connector 2"/>
        <xdr:cNvCxnSpPr/>
      </xdr:nvCxnSpPr>
      <xdr:spPr>
        <a:xfrm>
          <a:off x="5810250" y="3532909"/>
          <a:ext cx="155864" cy="3203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277091</xdr:colOff>
      <xdr:row>19</xdr:row>
      <xdr:rowOff>173182</xdr:rowOff>
    </xdr:from>
    <xdr:to>
      <xdr:col>10</xdr:col>
      <xdr:colOff>398318</xdr:colOff>
      <xdr:row>21</xdr:row>
      <xdr:rowOff>86592</xdr:rowOff>
    </xdr:to>
    <xdr:sp macro="" textlink="">
      <xdr:nvSpPr>
        <xdr:cNvPr id="4" name="TextBox 3"/>
        <xdr:cNvSpPr txBox="1"/>
      </xdr:nvSpPr>
      <xdr:spPr>
        <a:xfrm>
          <a:off x="5732318" y="3870614"/>
          <a:ext cx="727364" cy="29441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Answer</a:t>
          </a: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15</xdr:col>
      <xdr:colOff>155864</xdr:colOff>
      <xdr:row>23</xdr:row>
      <xdr:rowOff>129886</xdr:rowOff>
    </xdr:to>
    <xdr:cxnSp macro="">
      <xdr:nvCxnSpPr>
        <xdr:cNvPr id="5" name="Straight Arrow Connector 4"/>
        <xdr:cNvCxnSpPr/>
      </xdr:nvCxnSpPr>
      <xdr:spPr>
        <a:xfrm>
          <a:off x="9092045" y="4346864"/>
          <a:ext cx="155864" cy="3203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481413</xdr:colOff>
      <xdr:row>23</xdr:row>
      <xdr:rowOff>135076</xdr:rowOff>
    </xdr:from>
    <xdr:to>
      <xdr:col>15</xdr:col>
      <xdr:colOff>602641</xdr:colOff>
      <xdr:row>25</xdr:row>
      <xdr:rowOff>48486</xdr:rowOff>
    </xdr:to>
    <xdr:sp macro="" textlink="">
      <xdr:nvSpPr>
        <xdr:cNvPr id="7" name="TextBox 6"/>
        <xdr:cNvSpPr txBox="1"/>
      </xdr:nvSpPr>
      <xdr:spPr>
        <a:xfrm>
          <a:off x="8967322" y="4672440"/>
          <a:ext cx="727364" cy="29441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Answer</a:t>
          </a:r>
        </a:p>
      </xdr:txBody>
    </xdr:sp>
    <xdr:clientData/>
  </xdr:twoCellAnchor>
  <xdr:twoCellAnchor>
    <xdr:from>
      <xdr:col>22</xdr:col>
      <xdr:colOff>225134</xdr:colOff>
      <xdr:row>24</xdr:row>
      <xdr:rowOff>0</xdr:rowOff>
    </xdr:from>
    <xdr:to>
      <xdr:col>22</xdr:col>
      <xdr:colOff>380998</xdr:colOff>
      <xdr:row>25</xdr:row>
      <xdr:rowOff>129886</xdr:rowOff>
    </xdr:to>
    <xdr:cxnSp macro="">
      <xdr:nvCxnSpPr>
        <xdr:cNvPr id="8" name="Straight Arrow Connector 7"/>
        <xdr:cNvCxnSpPr/>
      </xdr:nvCxnSpPr>
      <xdr:spPr>
        <a:xfrm>
          <a:off x="13560134" y="4727864"/>
          <a:ext cx="155864" cy="320386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398318</xdr:colOff>
      <xdr:row>25</xdr:row>
      <xdr:rowOff>34636</xdr:rowOff>
    </xdr:from>
    <xdr:to>
      <xdr:col>23</xdr:col>
      <xdr:colOff>519546</xdr:colOff>
      <xdr:row>26</xdr:row>
      <xdr:rowOff>138546</xdr:rowOff>
    </xdr:to>
    <xdr:sp macro="" textlink="">
      <xdr:nvSpPr>
        <xdr:cNvPr id="9" name="TextBox 8"/>
        <xdr:cNvSpPr txBox="1"/>
      </xdr:nvSpPr>
      <xdr:spPr>
        <a:xfrm>
          <a:off x="13733318" y="4953000"/>
          <a:ext cx="727364" cy="29441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Answer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5" sqref="L15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I1:L1"/>
  <sheetViews>
    <sheetView tabSelected="1" workbookViewId="0">
      <selection activeCell="I1" sqref="I1:L1"/>
    </sheetView>
  </sheetViews>
  <sheetFormatPr defaultRowHeight="15"/>
  <sheetData>
    <row r="1" spans="9:12" ht="21">
      <c r="I1" s="72" t="s">
        <v>180</v>
      </c>
      <c r="J1" s="72"/>
      <c r="K1" s="72"/>
      <c r="L1" s="72"/>
    </row>
  </sheetData>
  <mergeCells count="1"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"/>
  <sheetViews>
    <sheetView topLeftCell="D1" zoomScale="90" zoomScaleNormal="90" workbookViewId="0">
      <selection activeCell="S18" sqref="S18"/>
    </sheetView>
  </sheetViews>
  <sheetFormatPr defaultRowHeight="15"/>
  <cols>
    <col min="9" max="9" width="19.42578125" bestFit="1" customWidth="1"/>
    <col min="13" max="13" width="12" bestFit="1" customWidth="1"/>
    <col min="16" max="16" width="12.42578125" bestFit="1" customWidth="1"/>
    <col min="18" max="18" width="12.85546875" bestFit="1" customWidth="1"/>
  </cols>
  <sheetData>
    <row r="1" spans="1:21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1">
        <f>CORREL(K4:K8,L4:L8)</f>
        <v>0.97483619805518573</v>
      </c>
      <c r="P1" s="20"/>
      <c r="Q1" s="20"/>
      <c r="R1" s="20">
        <f>CORREL(Q3:Q8,R3:R8)</f>
        <v>0.64448998709698124</v>
      </c>
      <c r="S1" s="20"/>
      <c r="T1" s="55" t="s">
        <v>298</v>
      </c>
      <c r="U1" s="55"/>
    </row>
    <row r="2" spans="1:21" ht="21">
      <c r="A2" s="16">
        <v>4</v>
      </c>
      <c r="B2" s="16">
        <v>18</v>
      </c>
      <c r="C2" s="16">
        <f>A2^2</f>
        <v>16</v>
      </c>
      <c r="D2" s="16">
        <f>B2^2</f>
        <v>324</v>
      </c>
      <c r="E2" s="16">
        <f>A2*B2</f>
        <v>72</v>
      </c>
      <c r="K2" s="54" t="s">
        <v>297</v>
      </c>
      <c r="L2" s="54"/>
      <c r="P2" s="20"/>
      <c r="Q2" s="1" t="s">
        <v>13</v>
      </c>
      <c r="R2" s="1" t="s">
        <v>14</v>
      </c>
      <c r="S2" s="1" t="s">
        <v>2</v>
      </c>
      <c r="T2" s="1" t="s">
        <v>3</v>
      </c>
      <c r="U2" s="1" t="s">
        <v>4</v>
      </c>
    </row>
    <row r="3" spans="1:21">
      <c r="A3" s="16">
        <v>6</v>
      </c>
      <c r="B3" s="16">
        <v>12</v>
      </c>
      <c r="C3" s="16">
        <f t="shared" ref="C3:C8" si="0">A3^2</f>
        <v>36</v>
      </c>
      <c r="D3" s="16">
        <f t="shared" ref="D3:D8" si="1">B3^2</f>
        <v>144</v>
      </c>
      <c r="E3" s="16">
        <f t="shared" ref="E3:E8" si="2">A3*B3</f>
        <v>72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20"/>
      <c r="Q3" s="20">
        <v>47.6</v>
      </c>
      <c r="R3" s="20">
        <v>15.1</v>
      </c>
      <c r="S3" s="20">
        <f>Q3^2</f>
        <v>2265.7600000000002</v>
      </c>
      <c r="T3" s="20">
        <f>R3^2</f>
        <v>228.01</v>
      </c>
      <c r="U3" s="20">
        <f>Q3*R3</f>
        <v>718.76</v>
      </c>
    </row>
    <row r="4" spans="1:21" ht="21">
      <c r="A4" s="16">
        <v>7</v>
      </c>
      <c r="B4" s="16">
        <v>13</v>
      </c>
      <c r="C4" s="16">
        <f t="shared" si="0"/>
        <v>49</v>
      </c>
      <c r="D4" s="16">
        <f t="shared" si="1"/>
        <v>169</v>
      </c>
      <c r="E4" s="16">
        <f t="shared" si="2"/>
        <v>91</v>
      </c>
      <c r="F4" s="54" t="s">
        <v>296</v>
      </c>
      <c r="G4" s="54"/>
      <c r="K4" s="5">
        <v>158</v>
      </c>
      <c r="L4" s="5">
        <v>349</v>
      </c>
      <c r="M4" s="5">
        <f>K4^2</f>
        <v>24964</v>
      </c>
      <c r="N4" s="5">
        <f>L4^2</f>
        <v>121801</v>
      </c>
      <c r="O4" s="5">
        <f>K4*L4</f>
        <v>55142</v>
      </c>
      <c r="P4" s="20"/>
      <c r="Q4" s="20">
        <v>46.3</v>
      </c>
      <c r="R4" s="20">
        <v>15.4</v>
      </c>
      <c r="S4" s="20">
        <f t="shared" ref="S4:S8" si="3">Q4^2</f>
        <v>2143.6899999999996</v>
      </c>
      <c r="T4" s="20">
        <f t="shared" ref="T4:T8" si="4">R4^2</f>
        <v>237.16000000000003</v>
      </c>
      <c r="U4" s="20">
        <f t="shared" ref="U4:U8" si="5">Q4*R4</f>
        <v>713.02</v>
      </c>
    </row>
    <row r="5" spans="1:21">
      <c r="A5" s="16">
        <v>11</v>
      </c>
      <c r="B5" s="16">
        <v>8</v>
      </c>
      <c r="C5" s="16">
        <f t="shared" si="0"/>
        <v>121</v>
      </c>
      <c r="D5" s="16">
        <f t="shared" si="1"/>
        <v>64</v>
      </c>
      <c r="E5" s="16">
        <f t="shared" si="2"/>
        <v>88</v>
      </c>
      <c r="K5" s="5">
        <v>296</v>
      </c>
      <c r="L5" s="5">
        <v>510</v>
      </c>
      <c r="M5" s="5">
        <f>K5^2</f>
        <v>87616</v>
      </c>
      <c r="N5" s="5">
        <f t="shared" ref="N5:N8" si="6">L5^2</f>
        <v>260100</v>
      </c>
      <c r="O5" s="5">
        <f>K5*L5</f>
        <v>150960</v>
      </c>
      <c r="P5" s="20"/>
      <c r="Q5" s="20">
        <v>50.6</v>
      </c>
      <c r="R5" s="20">
        <v>15.9</v>
      </c>
      <c r="S5" s="20">
        <f t="shared" si="3"/>
        <v>2560.36</v>
      </c>
      <c r="T5" s="20">
        <f t="shared" si="4"/>
        <v>252.81</v>
      </c>
      <c r="U5" s="20">
        <f t="shared" si="5"/>
        <v>804.54000000000008</v>
      </c>
    </row>
    <row r="6" spans="1:21">
      <c r="A6" s="16">
        <v>14</v>
      </c>
      <c r="B6" s="16">
        <v>7</v>
      </c>
      <c r="C6" s="16">
        <f t="shared" si="0"/>
        <v>196</v>
      </c>
      <c r="D6" s="16">
        <f t="shared" si="1"/>
        <v>49</v>
      </c>
      <c r="E6" s="16">
        <f t="shared" si="2"/>
        <v>98</v>
      </c>
      <c r="K6" s="5">
        <v>87</v>
      </c>
      <c r="L6" s="5">
        <v>301</v>
      </c>
      <c r="M6" s="5">
        <f t="shared" ref="M6:M8" si="7">K6^2</f>
        <v>7569</v>
      </c>
      <c r="N6" s="5">
        <f t="shared" si="6"/>
        <v>90601</v>
      </c>
      <c r="O6" s="5">
        <f t="shared" ref="O6:O8" si="8">K6*L6</f>
        <v>26187</v>
      </c>
      <c r="P6" s="20"/>
      <c r="Q6" s="20">
        <v>52.6</v>
      </c>
      <c r="R6" s="20">
        <v>15.6</v>
      </c>
      <c r="S6" s="20">
        <f t="shared" si="3"/>
        <v>2766.76</v>
      </c>
      <c r="T6" s="20">
        <f t="shared" si="4"/>
        <v>243.35999999999999</v>
      </c>
      <c r="U6" s="20">
        <f t="shared" si="5"/>
        <v>820.56000000000006</v>
      </c>
    </row>
    <row r="7" spans="1:21">
      <c r="A7" s="16">
        <v>17</v>
      </c>
      <c r="B7" s="16">
        <v>7</v>
      </c>
      <c r="C7" s="16">
        <f t="shared" si="0"/>
        <v>289</v>
      </c>
      <c r="D7" s="16">
        <f t="shared" si="1"/>
        <v>49</v>
      </c>
      <c r="E7" s="16">
        <f t="shared" si="2"/>
        <v>119</v>
      </c>
      <c r="K7" s="5">
        <v>110</v>
      </c>
      <c r="L7" s="5">
        <v>322</v>
      </c>
      <c r="M7" s="5">
        <f t="shared" si="7"/>
        <v>12100</v>
      </c>
      <c r="N7" s="5">
        <f t="shared" si="6"/>
        <v>103684</v>
      </c>
      <c r="O7" s="5">
        <f t="shared" si="8"/>
        <v>35420</v>
      </c>
      <c r="P7" s="20"/>
      <c r="Q7" s="20">
        <v>52.4</v>
      </c>
      <c r="R7" s="20">
        <v>16.399999999999999</v>
      </c>
      <c r="S7" s="20">
        <f t="shared" si="3"/>
        <v>2745.7599999999998</v>
      </c>
      <c r="T7" s="20">
        <f t="shared" si="4"/>
        <v>268.95999999999998</v>
      </c>
      <c r="U7" s="20">
        <f t="shared" si="5"/>
        <v>859.3599999999999</v>
      </c>
    </row>
    <row r="8" spans="1:21">
      <c r="A8" s="16">
        <v>21</v>
      </c>
      <c r="B8" s="16">
        <v>4</v>
      </c>
      <c r="C8" s="16">
        <f t="shared" si="0"/>
        <v>441</v>
      </c>
      <c r="D8" s="16">
        <f t="shared" si="1"/>
        <v>16</v>
      </c>
      <c r="E8" s="16">
        <f t="shared" si="2"/>
        <v>84</v>
      </c>
      <c r="K8" s="5">
        <v>436</v>
      </c>
      <c r="L8" s="5">
        <v>550</v>
      </c>
      <c r="M8" s="5">
        <f t="shared" si="7"/>
        <v>190096</v>
      </c>
      <c r="N8" s="5">
        <f t="shared" si="6"/>
        <v>302500</v>
      </c>
      <c r="O8" s="5">
        <f t="shared" si="8"/>
        <v>239800</v>
      </c>
      <c r="P8" s="20"/>
      <c r="Q8" s="20">
        <v>52.7</v>
      </c>
      <c r="R8" s="20">
        <v>18.100000000000001</v>
      </c>
      <c r="S8" s="20">
        <f t="shared" si="3"/>
        <v>2777.2900000000004</v>
      </c>
      <c r="T8" s="20">
        <f t="shared" si="4"/>
        <v>327.61000000000007</v>
      </c>
      <c r="U8" s="20">
        <f t="shared" si="5"/>
        <v>953.87000000000012</v>
      </c>
    </row>
    <row r="9" spans="1:21">
      <c r="A9" s="2">
        <f>SUM(A2:A8)</f>
        <v>80</v>
      </c>
      <c r="B9" s="2">
        <f t="shared" ref="B9:E9" si="9">SUM(B2:B8)</f>
        <v>69</v>
      </c>
      <c r="C9" s="2">
        <f t="shared" si="9"/>
        <v>1148</v>
      </c>
      <c r="D9" s="2">
        <f t="shared" si="9"/>
        <v>815</v>
      </c>
      <c r="E9" s="2">
        <f t="shared" si="9"/>
        <v>624</v>
      </c>
      <c r="F9" t="s">
        <v>5</v>
      </c>
      <c r="J9" t="s">
        <v>5</v>
      </c>
      <c r="K9" s="5">
        <f>SUM(K4:K8)</f>
        <v>1087</v>
      </c>
      <c r="L9" s="5">
        <f t="shared" ref="L9:O9" si="10">SUM(L4:L8)</f>
        <v>2032</v>
      </c>
      <c r="M9" s="5">
        <f t="shared" si="10"/>
        <v>322345</v>
      </c>
      <c r="N9" s="5">
        <f t="shared" si="10"/>
        <v>878686</v>
      </c>
      <c r="O9" s="5">
        <f t="shared" si="10"/>
        <v>507509</v>
      </c>
      <c r="P9" s="1" t="s">
        <v>5</v>
      </c>
      <c r="Q9" s="5">
        <f>SUM(Q3:Q8)</f>
        <v>302.2</v>
      </c>
      <c r="R9" s="5">
        <f t="shared" ref="R9:U9" si="11">SUM(R3:R8)</f>
        <v>96.5</v>
      </c>
      <c r="S9" s="5">
        <f t="shared" si="11"/>
        <v>15259.62</v>
      </c>
      <c r="T9" s="5">
        <f t="shared" si="11"/>
        <v>1557.91</v>
      </c>
      <c r="U9" s="5">
        <f t="shared" si="11"/>
        <v>4870.1099999999997</v>
      </c>
    </row>
    <row r="10" spans="1:21">
      <c r="A10" s="6"/>
      <c r="B10" s="6"/>
      <c r="C10" s="6"/>
      <c r="D10" s="6"/>
      <c r="E10" s="61" t="s">
        <v>6</v>
      </c>
      <c r="F10" s="61"/>
      <c r="G10" s="61"/>
      <c r="K10" s="5"/>
      <c r="L10" s="5"/>
      <c r="M10" s="5"/>
      <c r="N10" s="5"/>
      <c r="O10" s="5"/>
      <c r="Q10" s="2"/>
      <c r="R10" s="2" t="s">
        <v>15</v>
      </c>
      <c r="S10" s="2">
        <f>(U9-((Q9*R9)/6))</f>
        <v>9.7266666666664605</v>
      </c>
      <c r="T10" s="2"/>
      <c r="U10" s="2"/>
    </row>
    <row r="11" spans="1:21">
      <c r="A11" s="6"/>
      <c r="B11" s="6"/>
      <c r="C11" s="6"/>
      <c r="D11" s="6"/>
      <c r="E11" s="5">
        <f>(E9-((A9*B9)/7))</f>
        <v>-164.57142857142856</v>
      </c>
      <c r="F11" s="62" t="s">
        <v>8</v>
      </c>
      <c r="G11" s="62"/>
      <c r="K11" s="5"/>
      <c r="L11" s="5" t="s">
        <v>10</v>
      </c>
      <c r="M11" s="5"/>
      <c r="N11" s="5">
        <f>(O9-(K9*L9)/5)</f>
        <v>65752.200000000012</v>
      </c>
      <c r="O11" s="5"/>
      <c r="Q11" s="2"/>
      <c r="R11" s="2" t="s">
        <v>16</v>
      </c>
      <c r="S11" s="2">
        <f>(S9-((Q9^2)/6))</f>
        <v>38.813333333335322</v>
      </c>
      <c r="T11" s="2"/>
      <c r="U11" s="2"/>
    </row>
    <row r="12" spans="1:21">
      <c r="A12" s="6"/>
      <c r="B12" s="6"/>
      <c r="C12" s="6"/>
      <c r="D12" s="6"/>
      <c r="E12" s="5"/>
      <c r="F12" s="5">
        <f>(C9-((A9^2)/7))</f>
        <v>233.71428571428567</v>
      </c>
      <c r="G12" s="5"/>
      <c r="K12" s="5"/>
      <c r="L12" s="5"/>
      <c r="M12" s="5"/>
      <c r="N12" s="5"/>
      <c r="O12" s="5"/>
      <c r="Q12" s="2"/>
      <c r="R12" s="2"/>
      <c r="S12" s="2">
        <f>(T9-((R9^2)/6))</f>
        <v>5.8683333333333394</v>
      </c>
      <c r="T12" s="2"/>
      <c r="U12" s="2"/>
    </row>
    <row r="13" spans="1:21">
      <c r="A13" s="6"/>
      <c r="B13" s="6"/>
      <c r="C13" s="6"/>
      <c r="D13" s="6"/>
      <c r="E13" s="5"/>
      <c r="F13" s="5">
        <f>(D9-((B9^2)/7))</f>
        <v>134.85714285714289</v>
      </c>
      <c r="G13" s="5"/>
      <c r="K13" s="5"/>
      <c r="L13" s="5"/>
      <c r="M13" s="5">
        <f>(M9-((K9^2)/5))</f>
        <v>86031.200000000012</v>
      </c>
      <c r="N13" s="5">
        <f>(N9-((L9^2)/5))</f>
        <v>52881.199999999953</v>
      </c>
      <c r="O13" s="5"/>
      <c r="Q13" s="2"/>
      <c r="R13" s="2"/>
      <c r="S13" s="2">
        <f>(S11*S12)^0.5</f>
        <v>15.092036899563613</v>
      </c>
      <c r="T13" s="2"/>
      <c r="U13" s="2"/>
    </row>
    <row r="14" spans="1:21">
      <c r="A14" s="6"/>
      <c r="B14" s="6"/>
      <c r="C14" s="6"/>
      <c r="D14" s="6"/>
      <c r="E14" s="5"/>
      <c r="F14" s="5">
        <f>(F12*F13)^0.5</f>
        <v>177.53321046025877</v>
      </c>
      <c r="G14" s="62" t="s">
        <v>9</v>
      </c>
      <c r="H14" s="62"/>
      <c r="I14" s="62"/>
      <c r="K14" s="5" t="s">
        <v>11</v>
      </c>
      <c r="L14" s="5"/>
      <c r="M14" s="5">
        <f>(M13*N13)^0.5</f>
        <v>67449.485494257082</v>
      </c>
      <c r="N14" s="5"/>
      <c r="O14" s="5"/>
      <c r="Q14" s="2"/>
      <c r="R14" s="2"/>
      <c r="S14" s="2"/>
      <c r="T14" s="2"/>
      <c r="U14" s="2"/>
    </row>
    <row r="15" spans="1:21">
      <c r="A15" s="6"/>
      <c r="B15" s="6"/>
      <c r="C15" s="6"/>
      <c r="D15" s="6"/>
      <c r="E15" s="5"/>
      <c r="F15" s="1">
        <f>E11/F14</f>
        <v>-0.92698953702675402</v>
      </c>
      <c r="G15" s="5"/>
      <c r="K15" s="5"/>
      <c r="L15" s="5"/>
      <c r="M15" s="5"/>
      <c r="N15" s="5"/>
      <c r="O15" s="5"/>
      <c r="Q15" s="2"/>
      <c r="R15" s="2" t="s">
        <v>12</v>
      </c>
      <c r="S15" s="1">
        <f>S10/S13</f>
        <v>0.64448998709695093</v>
      </c>
      <c r="T15" s="2"/>
      <c r="U15" s="2"/>
    </row>
    <row r="16" spans="1:21">
      <c r="A16" s="6"/>
      <c r="B16" s="6"/>
      <c r="C16" s="6"/>
      <c r="D16" s="6"/>
      <c r="E16" s="5"/>
      <c r="F16" s="1" t="s">
        <v>7</v>
      </c>
      <c r="G16" s="5"/>
      <c r="K16" s="5"/>
      <c r="L16" s="1" t="s">
        <v>12</v>
      </c>
      <c r="M16" s="1">
        <f>N11/M14</f>
        <v>0.97483619805518629</v>
      </c>
      <c r="N16" s="5"/>
      <c r="O16" s="5"/>
    </row>
    <row r="19" spans="1:20" ht="21">
      <c r="A19" s="52"/>
      <c r="B19" s="53"/>
      <c r="C19" s="53"/>
      <c r="D19" s="53"/>
      <c r="I19" s="1" t="s">
        <v>26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P19" s="56" t="s">
        <v>300</v>
      </c>
      <c r="Q19" s="59"/>
    </row>
    <row r="20" spans="1:20" ht="21">
      <c r="A20" s="53"/>
      <c r="B20" s="53"/>
      <c r="C20" s="53"/>
      <c r="D20" s="53"/>
      <c r="G20" s="56" t="s">
        <v>299</v>
      </c>
      <c r="H20" s="57"/>
      <c r="I20" s="11" t="s">
        <v>18</v>
      </c>
      <c r="J20" s="11">
        <v>1425</v>
      </c>
      <c r="K20" s="11">
        <v>277</v>
      </c>
      <c r="L20" s="11">
        <f>J20^2</f>
        <v>2030625</v>
      </c>
      <c r="M20" s="11">
        <f>K20^2</f>
        <v>76729</v>
      </c>
      <c r="N20" s="11">
        <f>J20*K20</f>
        <v>394725</v>
      </c>
      <c r="P20" s="15"/>
      <c r="Q20" s="15" t="s">
        <v>28</v>
      </c>
      <c r="R20" s="15" t="s">
        <v>29</v>
      </c>
      <c r="S20" s="15" t="s">
        <v>30</v>
      </c>
      <c r="T20" s="15"/>
    </row>
    <row r="21" spans="1:20">
      <c r="A21" s="53"/>
      <c r="B21" s="53"/>
      <c r="C21" s="53"/>
      <c r="D21" s="53"/>
      <c r="I21" s="11" t="s">
        <v>19</v>
      </c>
      <c r="J21" s="11">
        <v>273</v>
      </c>
      <c r="K21" s="11">
        <v>100</v>
      </c>
      <c r="L21" s="11">
        <f t="shared" ref="L21:L28" si="12">J21^2</f>
        <v>74529</v>
      </c>
      <c r="M21" s="11">
        <f t="shared" ref="M21:M28" si="13">K21^2</f>
        <v>10000</v>
      </c>
      <c r="N21" s="11">
        <f t="shared" ref="N21:N28" si="14">J21*K21</f>
        <v>27300</v>
      </c>
      <c r="P21" s="15" t="s">
        <v>31</v>
      </c>
      <c r="Q21" s="15">
        <v>0.46</v>
      </c>
      <c r="R21" s="15">
        <v>0.48</v>
      </c>
      <c r="S21" s="15">
        <v>0.69</v>
      </c>
      <c r="T21" s="15"/>
    </row>
    <row r="22" spans="1:20">
      <c r="A22" s="53"/>
      <c r="B22" s="53"/>
      <c r="C22" s="53"/>
      <c r="D22" s="53"/>
      <c r="I22" s="11" t="s">
        <v>20</v>
      </c>
      <c r="J22" s="11">
        <v>915</v>
      </c>
      <c r="K22" s="11">
        <v>120</v>
      </c>
      <c r="L22" s="11">
        <f t="shared" si="12"/>
        <v>837225</v>
      </c>
      <c r="M22" s="11">
        <f t="shared" si="13"/>
        <v>14400</v>
      </c>
      <c r="N22" s="11">
        <f t="shared" si="14"/>
        <v>109800</v>
      </c>
      <c r="P22" s="15" t="s">
        <v>33</v>
      </c>
      <c r="Q22" s="15">
        <v>0.52</v>
      </c>
      <c r="R22" s="15">
        <v>0.62</v>
      </c>
      <c r="S22" s="15">
        <v>0.63</v>
      </c>
      <c r="T22" s="15"/>
    </row>
    <row r="23" spans="1:20">
      <c r="A23" s="53"/>
      <c r="B23" s="53"/>
      <c r="C23" s="53"/>
      <c r="D23" s="53"/>
      <c r="I23" s="11" t="s">
        <v>21</v>
      </c>
      <c r="J23" s="11">
        <v>1687</v>
      </c>
      <c r="K23" s="11">
        <v>259</v>
      </c>
      <c r="L23" s="11">
        <f t="shared" si="12"/>
        <v>2845969</v>
      </c>
      <c r="M23" s="11">
        <f t="shared" si="13"/>
        <v>67081</v>
      </c>
      <c r="N23" s="11">
        <f t="shared" si="14"/>
        <v>436933</v>
      </c>
      <c r="P23" s="15" t="s">
        <v>32</v>
      </c>
      <c r="Q23" s="15">
        <v>0.9</v>
      </c>
      <c r="R23" s="15">
        <v>0.72</v>
      </c>
      <c r="S23" s="15">
        <v>0.81</v>
      </c>
      <c r="T23" s="15"/>
    </row>
    <row r="24" spans="1:20">
      <c r="A24" s="53"/>
      <c r="B24" s="53"/>
      <c r="C24" s="53"/>
      <c r="D24" s="53"/>
      <c r="I24" s="11" t="s">
        <v>22</v>
      </c>
      <c r="J24" s="11">
        <v>234</v>
      </c>
      <c r="K24" s="11">
        <v>40</v>
      </c>
      <c r="L24" s="11">
        <f t="shared" si="12"/>
        <v>54756</v>
      </c>
      <c r="M24" s="11">
        <f t="shared" si="13"/>
        <v>1600</v>
      </c>
      <c r="N24" s="11">
        <f t="shared" si="14"/>
        <v>9360</v>
      </c>
      <c r="P24" s="15" t="s">
        <v>34</v>
      </c>
      <c r="Q24" s="15">
        <v>1.5</v>
      </c>
      <c r="R24" s="15">
        <v>1.74</v>
      </c>
      <c r="S24" s="15">
        <v>2.1</v>
      </c>
      <c r="T24" s="15"/>
    </row>
    <row r="25" spans="1:20">
      <c r="A25" s="53"/>
      <c r="B25" s="53"/>
      <c r="C25" s="53"/>
      <c r="D25" s="53"/>
      <c r="I25" s="11" t="s">
        <v>23</v>
      </c>
      <c r="J25" s="11">
        <v>142</v>
      </c>
      <c r="K25" s="11">
        <v>25</v>
      </c>
      <c r="L25" s="11">
        <f t="shared" si="12"/>
        <v>20164</v>
      </c>
      <c r="M25" s="11">
        <f t="shared" si="13"/>
        <v>625</v>
      </c>
      <c r="N25" s="11">
        <f t="shared" si="14"/>
        <v>3550</v>
      </c>
      <c r="P25" s="15" t="s">
        <v>35</v>
      </c>
      <c r="Q25" s="15">
        <v>2.89</v>
      </c>
      <c r="R25" s="15">
        <v>2.0299999999999998</v>
      </c>
      <c r="S25" s="15">
        <v>2.46</v>
      </c>
      <c r="T25" s="15"/>
    </row>
    <row r="26" spans="1:20">
      <c r="A26" s="53"/>
      <c r="B26" s="53"/>
      <c r="C26" s="53"/>
      <c r="D26" s="53"/>
      <c r="I26" s="11" t="s">
        <v>24</v>
      </c>
      <c r="J26" s="11">
        <v>259</v>
      </c>
      <c r="K26" s="11">
        <v>57</v>
      </c>
      <c r="L26" s="11">
        <f t="shared" si="12"/>
        <v>67081</v>
      </c>
      <c r="M26" s="11">
        <f t="shared" si="13"/>
        <v>3249</v>
      </c>
      <c r="N26" s="11">
        <f t="shared" si="14"/>
        <v>14763</v>
      </c>
      <c r="P26" s="15" t="s">
        <v>36</v>
      </c>
      <c r="Q26" s="15">
        <v>1.8</v>
      </c>
      <c r="R26" s="15">
        <v>1.92</v>
      </c>
      <c r="S26" s="15">
        <v>2</v>
      </c>
      <c r="T26" s="15"/>
    </row>
    <row r="27" spans="1:20">
      <c r="A27" s="53"/>
      <c r="B27" s="53"/>
      <c r="C27" s="53"/>
      <c r="D27" s="53"/>
      <c r="I27" s="11" t="s">
        <v>25</v>
      </c>
      <c r="J27" s="11">
        <v>258</v>
      </c>
      <c r="K27" s="11">
        <v>31</v>
      </c>
      <c r="L27" s="11">
        <f t="shared" si="12"/>
        <v>66564</v>
      </c>
      <c r="M27" s="11">
        <f t="shared" si="13"/>
        <v>961</v>
      </c>
      <c r="N27" s="11">
        <f t="shared" si="14"/>
        <v>7998</v>
      </c>
      <c r="P27" s="15" t="s">
        <v>37</v>
      </c>
      <c r="Q27" s="15">
        <v>3.29</v>
      </c>
      <c r="R27" s="15">
        <v>3.18</v>
      </c>
      <c r="S27" s="15">
        <v>3.17</v>
      </c>
      <c r="T27" s="15"/>
    </row>
    <row r="28" spans="1:20">
      <c r="A28" s="53"/>
      <c r="B28" s="53"/>
      <c r="C28" s="53"/>
      <c r="D28" s="53"/>
      <c r="I28" s="11" t="s">
        <v>17</v>
      </c>
      <c r="J28" s="11">
        <v>894</v>
      </c>
      <c r="K28" s="11">
        <v>141</v>
      </c>
      <c r="L28" s="11">
        <f t="shared" si="12"/>
        <v>799236</v>
      </c>
      <c r="M28" s="11">
        <f t="shared" si="13"/>
        <v>19881</v>
      </c>
      <c r="N28" s="11">
        <f t="shared" si="14"/>
        <v>126054</v>
      </c>
      <c r="P28" s="15" t="s">
        <v>38</v>
      </c>
      <c r="Q28" s="15">
        <v>5.73</v>
      </c>
      <c r="R28" s="15">
        <v>4.43</v>
      </c>
      <c r="S28" s="15">
        <v>4</v>
      </c>
      <c r="T28" s="15"/>
    </row>
    <row r="29" spans="1:20">
      <c r="A29" s="53"/>
      <c r="B29" s="53"/>
      <c r="C29" s="53"/>
      <c r="D29" s="53"/>
      <c r="H29" s="3"/>
      <c r="I29" s="21" t="s">
        <v>5</v>
      </c>
      <c r="J29" s="12">
        <f>SUM(J20:J28)</f>
        <v>6087</v>
      </c>
      <c r="K29" s="12">
        <f>SUM(K20:K28)</f>
        <v>1050</v>
      </c>
      <c r="L29" s="12">
        <f>SUM(L20:L28)</f>
        <v>6796149</v>
      </c>
      <c r="M29" s="12">
        <f>SUM(M20:M28)</f>
        <v>194526</v>
      </c>
      <c r="N29" s="12">
        <f>SUM(N20:N28)</f>
        <v>1130483</v>
      </c>
      <c r="P29" s="50" t="s">
        <v>43</v>
      </c>
      <c r="Q29" s="51"/>
      <c r="R29" s="51"/>
      <c r="S29" s="51"/>
      <c r="T29" s="51"/>
    </row>
    <row r="30" spans="1:20">
      <c r="H30" s="3"/>
      <c r="I30" s="12"/>
      <c r="J30" s="58" t="s">
        <v>15</v>
      </c>
      <c r="K30" s="58"/>
      <c r="L30" s="12">
        <f>(N29-((J29*K29)/9))</f>
        <v>420333</v>
      </c>
      <c r="M30" s="12"/>
      <c r="N30" s="12"/>
      <c r="P30" s="15"/>
      <c r="Q30" s="57" t="s">
        <v>39</v>
      </c>
      <c r="R30" s="57"/>
      <c r="S30" s="57"/>
      <c r="T30">
        <f>CORREL(Q21:Q28,R21:R28)</f>
        <v>0.97463269476673264</v>
      </c>
    </row>
    <row r="31" spans="1:20">
      <c r="H31" s="3"/>
      <c r="I31" s="12">
        <f>CORREL(J20:J28,K20:K28)</f>
        <v>0.95683602609816909</v>
      </c>
      <c r="J31" s="12"/>
      <c r="K31" s="12"/>
      <c r="L31" s="12"/>
      <c r="M31" s="12"/>
      <c r="N31" s="12"/>
      <c r="P31" s="15"/>
      <c r="Q31" s="57" t="s">
        <v>40</v>
      </c>
      <c r="R31" s="57"/>
      <c r="S31" s="57"/>
      <c r="T31">
        <f>CORREL(Q21:Q28,S21:S28)</f>
        <v>0.95673667162591158</v>
      </c>
    </row>
    <row r="32" spans="1:20">
      <c r="H32" s="3"/>
      <c r="I32" s="12"/>
      <c r="J32" s="12"/>
      <c r="K32" s="12"/>
      <c r="L32" s="12">
        <f>(L29-((J29^2)/9))</f>
        <v>2679308</v>
      </c>
      <c r="M32" s="12"/>
      <c r="N32" s="12"/>
      <c r="P32" s="15"/>
      <c r="Q32" s="57" t="s">
        <v>41</v>
      </c>
      <c r="R32" s="57"/>
      <c r="S32" s="57"/>
      <c r="T32">
        <f>CORREL(R21:R28,S21:S28)</f>
        <v>0.98498047805304667</v>
      </c>
    </row>
    <row r="33" spans="8:21" ht="21">
      <c r="H33" s="3"/>
      <c r="I33" s="12"/>
      <c r="J33" s="12"/>
      <c r="K33" s="12"/>
      <c r="L33" s="12">
        <f>(M29-((K29^2)/9))</f>
        <v>72026</v>
      </c>
      <c r="M33" s="12"/>
      <c r="N33" s="12"/>
      <c r="P33" s="60" t="s">
        <v>42</v>
      </c>
      <c r="Q33" s="60"/>
      <c r="R33" s="60"/>
      <c r="S33" s="60"/>
      <c r="T33" s="60"/>
      <c r="U33" s="60"/>
    </row>
    <row r="34" spans="8:21">
      <c r="H34" s="3"/>
      <c r="I34" s="12"/>
      <c r="J34" s="58" t="s">
        <v>27</v>
      </c>
      <c r="K34" s="58"/>
      <c r="L34" s="12">
        <f>(L32*L33)^0.5</f>
        <v>439294.70519003528</v>
      </c>
      <c r="M34" s="12"/>
      <c r="N34" s="12"/>
    </row>
    <row r="35" spans="8:21">
      <c r="J35" s="1" t="s">
        <v>12</v>
      </c>
      <c r="K35" s="1"/>
      <c r="L35" s="1">
        <f>L30/L34</f>
        <v>0.95683602609816887</v>
      </c>
    </row>
  </sheetData>
  <mergeCells count="16">
    <mergeCell ref="J30:K30"/>
    <mergeCell ref="J34:K34"/>
    <mergeCell ref="P19:Q19"/>
    <mergeCell ref="Q30:S30"/>
    <mergeCell ref="Q31:S31"/>
    <mergeCell ref="Q32:S32"/>
    <mergeCell ref="P33:U33"/>
    <mergeCell ref="P29:T29"/>
    <mergeCell ref="A19:D29"/>
    <mergeCell ref="K2:L2"/>
    <mergeCell ref="T1:U1"/>
    <mergeCell ref="G20:H20"/>
    <mergeCell ref="E10:G10"/>
    <mergeCell ref="G14:I14"/>
    <mergeCell ref="F11:G11"/>
    <mergeCell ref="F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5"/>
  <sheetViews>
    <sheetView zoomScale="80" zoomScaleNormal="80" workbookViewId="0">
      <selection activeCell="W27" sqref="W27"/>
    </sheetView>
  </sheetViews>
  <sheetFormatPr defaultRowHeight="15"/>
  <cols>
    <col min="3" max="3" width="12.7109375" bestFit="1" customWidth="1"/>
    <col min="10" max="10" width="12.7109375" bestFit="1" customWidth="1"/>
    <col min="15" max="15" width="12.7109375" bestFit="1" customWidth="1"/>
    <col min="16" max="16" width="14.28515625" bestFit="1" customWidth="1"/>
    <col min="22" max="22" width="14.28515625" bestFit="1" customWidth="1"/>
    <col min="23" max="23" width="12.7109375" bestFit="1" customWidth="1"/>
  </cols>
  <sheetData>
    <row r="1" spans="1:19" ht="23.25">
      <c r="H1" s="66" t="s">
        <v>44</v>
      </c>
      <c r="I1" s="66"/>
      <c r="J1" s="66"/>
      <c r="K1" s="66"/>
      <c r="L1" s="66"/>
    </row>
    <row r="2" spans="1:19" ht="18.75">
      <c r="P2" s="68" t="s">
        <v>59</v>
      </c>
      <c r="Q2" s="68"/>
    </row>
    <row r="3" spans="1:19" ht="21">
      <c r="B3" s="72" t="s">
        <v>45</v>
      </c>
      <c r="C3" s="72"/>
      <c r="H3" s="72" t="s">
        <v>53</v>
      </c>
      <c r="I3" s="72"/>
    </row>
    <row r="4" spans="1:19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O4" s="1" t="s">
        <v>60</v>
      </c>
      <c r="P4" s="1" t="s">
        <v>61</v>
      </c>
    </row>
    <row r="5" spans="1:19">
      <c r="B5" s="16">
        <v>12</v>
      </c>
      <c r="C5" s="16">
        <v>17</v>
      </c>
      <c r="D5" s="16">
        <f>B5^2</f>
        <v>144</v>
      </c>
      <c r="E5" s="16">
        <f>C5^2</f>
        <v>289</v>
      </c>
      <c r="F5" s="16">
        <f>B5*C5</f>
        <v>204</v>
      </c>
      <c r="H5" s="16">
        <v>140</v>
      </c>
      <c r="I5" s="16">
        <v>25</v>
      </c>
      <c r="J5" s="16">
        <f>H5^2</f>
        <v>19600</v>
      </c>
      <c r="K5" s="16">
        <f>I5^2</f>
        <v>625</v>
      </c>
      <c r="L5" s="16">
        <f>H5*I5</f>
        <v>3500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</row>
    <row r="6" spans="1:19">
      <c r="B6" s="16">
        <v>21</v>
      </c>
      <c r="C6" s="16">
        <v>15</v>
      </c>
      <c r="D6" s="16">
        <f t="shared" ref="D6:D9" si="0">B6^2</f>
        <v>441</v>
      </c>
      <c r="E6" s="16">
        <f t="shared" ref="E6:E9" si="1">C6^2</f>
        <v>225</v>
      </c>
      <c r="F6" s="16">
        <f t="shared" ref="F6:F9" si="2">B6*C6</f>
        <v>315</v>
      </c>
      <c r="H6" s="16">
        <v>119</v>
      </c>
      <c r="I6" s="16">
        <v>29</v>
      </c>
      <c r="J6" s="16">
        <f t="shared" ref="J6:J11" si="3">H6^2</f>
        <v>14161</v>
      </c>
      <c r="K6" s="16">
        <f t="shared" ref="K6:K11" si="4">I6^2</f>
        <v>841</v>
      </c>
      <c r="L6" s="16">
        <f t="shared" ref="L6:L11" si="5">H6*I6</f>
        <v>3451</v>
      </c>
      <c r="O6" s="16">
        <v>12.5</v>
      </c>
      <c r="P6" s="16">
        <v>148</v>
      </c>
      <c r="Q6" s="16">
        <f>O6^2</f>
        <v>156.25</v>
      </c>
      <c r="R6" s="16">
        <f>P6^2</f>
        <v>21904</v>
      </c>
      <c r="S6" s="16">
        <f>O6*P6</f>
        <v>1850</v>
      </c>
    </row>
    <row r="7" spans="1:19">
      <c r="B7" s="16">
        <v>28</v>
      </c>
      <c r="C7" s="16">
        <v>22</v>
      </c>
      <c r="D7" s="16">
        <f t="shared" si="0"/>
        <v>784</v>
      </c>
      <c r="E7" s="16">
        <f t="shared" si="1"/>
        <v>484</v>
      </c>
      <c r="F7" s="16">
        <f t="shared" si="2"/>
        <v>616</v>
      </c>
      <c r="H7" s="16">
        <v>103</v>
      </c>
      <c r="I7" s="16">
        <v>46</v>
      </c>
      <c r="J7" s="16">
        <f t="shared" si="3"/>
        <v>10609</v>
      </c>
      <c r="K7" s="16">
        <f t="shared" si="4"/>
        <v>2116</v>
      </c>
      <c r="L7" s="16">
        <f t="shared" si="5"/>
        <v>4738</v>
      </c>
      <c r="O7" s="16">
        <v>3.7</v>
      </c>
      <c r="P7" s="16">
        <v>55</v>
      </c>
      <c r="Q7" s="16">
        <f t="shared" ref="Q7:Q13" si="6">O7^2</f>
        <v>13.690000000000001</v>
      </c>
      <c r="R7" s="16">
        <f t="shared" ref="R7:R13" si="7">P7^2</f>
        <v>3025</v>
      </c>
      <c r="S7" s="16">
        <f t="shared" ref="S7:S13" si="8">O7*P7</f>
        <v>203.5</v>
      </c>
    </row>
    <row r="8" spans="1:19">
      <c r="B8" s="16">
        <v>8</v>
      </c>
      <c r="C8" s="16">
        <v>19</v>
      </c>
      <c r="D8" s="16">
        <f t="shared" si="0"/>
        <v>64</v>
      </c>
      <c r="E8" s="16">
        <f t="shared" si="1"/>
        <v>361</v>
      </c>
      <c r="F8" s="16">
        <f t="shared" si="2"/>
        <v>152</v>
      </c>
      <c r="H8" s="16">
        <v>91</v>
      </c>
      <c r="I8" s="16">
        <v>70</v>
      </c>
      <c r="J8" s="16">
        <f t="shared" si="3"/>
        <v>8281</v>
      </c>
      <c r="K8" s="16">
        <f t="shared" si="4"/>
        <v>4900</v>
      </c>
      <c r="L8" s="16">
        <f t="shared" si="5"/>
        <v>6370</v>
      </c>
      <c r="O8" s="16">
        <v>21.6</v>
      </c>
      <c r="P8" s="16">
        <v>338</v>
      </c>
      <c r="Q8" s="16">
        <f t="shared" si="6"/>
        <v>466.56000000000006</v>
      </c>
      <c r="R8" s="16">
        <f t="shared" si="7"/>
        <v>114244</v>
      </c>
      <c r="S8" s="16">
        <f t="shared" si="8"/>
        <v>7300.8</v>
      </c>
    </row>
    <row r="9" spans="1:19">
      <c r="B9" s="16">
        <v>20</v>
      </c>
      <c r="C9" s="16">
        <v>24</v>
      </c>
      <c r="D9" s="16">
        <f t="shared" si="0"/>
        <v>400</v>
      </c>
      <c r="E9" s="16">
        <f t="shared" si="1"/>
        <v>576</v>
      </c>
      <c r="F9" s="16">
        <f t="shared" si="2"/>
        <v>480</v>
      </c>
      <c r="H9" s="16">
        <v>65</v>
      </c>
      <c r="I9" s="16">
        <v>88</v>
      </c>
      <c r="J9" s="16">
        <f t="shared" si="3"/>
        <v>4225</v>
      </c>
      <c r="K9" s="16">
        <f t="shared" si="4"/>
        <v>7744</v>
      </c>
      <c r="L9" s="16">
        <f t="shared" si="5"/>
        <v>5720</v>
      </c>
      <c r="O9" s="16">
        <v>60</v>
      </c>
      <c r="P9" s="16">
        <v>994</v>
      </c>
      <c r="Q9" s="16">
        <f t="shared" si="6"/>
        <v>3600</v>
      </c>
      <c r="R9" s="16">
        <f t="shared" si="7"/>
        <v>988036</v>
      </c>
      <c r="S9" s="16">
        <f t="shared" si="8"/>
        <v>59640</v>
      </c>
    </row>
    <row r="10" spans="1:19">
      <c r="A10" s="19" t="s">
        <v>5</v>
      </c>
      <c r="B10" s="1">
        <f>SUM(B5:B9)</f>
        <v>89</v>
      </c>
      <c r="C10" s="1">
        <f t="shared" ref="C10:F10" si="9">SUM(C5:C9)</f>
        <v>97</v>
      </c>
      <c r="D10" s="1">
        <f t="shared" si="9"/>
        <v>1833</v>
      </c>
      <c r="E10" s="1">
        <f t="shared" si="9"/>
        <v>1935</v>
      </c>
      <c r="F10" s="1">
        <f t="shared" si="9"/>
        <v>1767</v>
      </c>
      <c r="H10" s="16">
        <v>29</v>
      </c>
      <c r="I10" s="16">
        <v>112</v>
      </c>
      <c r="J10" s="16">
        <f t="shared" si="3"/>
        <v>841</v>
      </c>
      <c r="K10" s="16">
        <f t="shared" si="4"/>
        <v>12544</v>
      </c>
      <c r="L10" s="16">
        <f t="shared" si="5"/>
        <v>3248</v>
      </c>
      <c r="O10" s="16">
        <v>37.6</v>
      </c>
      <c r="P10" s="16">
        <v>541</v>
      </c>
      <c r="Q10" s="16">
        <f t="shared" si="6"/>
        <v>1413.7600000000002</v>
      </c>
      <c r="R10" s="16">
        <f t="shared" si="7"/>
        <v>292681</v>
      </c>
      <c r="S10" s="16">
        <f t="shared" si="8"/>
        <v>20341.600000000002</v>
      </c>
    </row>
    <row r="11" spans="1:19">
      <c r="A11" s="19" t="s">
        <v>49</v>
      </c>
      <c r="B11" s="10">
        <f>AVERAGE(B5:B9)</f>
        <v>17.8</v>
      </c>
      <c r="C11" s="10">
        <f>AVERAGE(C5:C9)</f>
        <v>19.399999999999999</v>
      </c>
      <c r="H11" s="16">
        <v>24</v>
      </c>
      <c r="I11" s="16">
        <v>128</v>
      </c>
      <c r="J11" s="16">
        <f t="shared" si="3"/>
        <v>576</v>
      </c>
      <c r="K11" s="16">
        <f t="shared" si="4"/>
        <v>16384</v>
      </c>
      <c r="L11" s="16">
        <f t="shared" si="5"/>
        <v>3072</v>
      </c>
      <c r="O11" s="16">
        <v>6.1</v>
      </c>
      <c r="P11" s="16">
        <v>89</v>
      </c>
      <c r="Q11" s="16">
        <f t="shared" si="6"/>
        <v>37.209999999999994</v>
      </c>
      <c r="R11" s="16">
        <f t="shared" si="7"/>
        <v>7921</v>
      </c>
      <c r="S11" s="16">
        <f t="shared" si="8"/>
        <v>542.9</v>
      </c>
    </row>
    <row r="12" spans="1:19">
      <c r="B12" s="11" t="s">
        <v>46</v>
      </c>
      <c r="C12" s="11">
        <f>(D10-((B10^2)/5))</f>
        <v>248.79999999999995</v>
      </c>
      <c r="D12" s="11"/>
      <c r="E12" s="11"/>
      <c r="F12" s="11"/>
      <c r="G12" s="19" t="s">
        <v>5</v>
      </c>
      <c r="H12" s="1">
        <f>SUM(H5:H11)</f>
        <v>571</v>
      </c>
      <c r="I12" s="1">
        <f t="shared" ref="I12:L12" si="10">SUM(I5:I11)</f>
        <v>498</v>
      </c>
      <c r="J12" s="1">
        <f t="shared" si="10"/>
        <v>58293</v>
      </c>
      <c r="K12" s="1">
        <f t="shared" si="10"/>
        <v>45154</v>
      </c>
      <c r="L12" s="1">
        <f t="shared" si="10"/>
        <v>30099</v>
      </c>
      <c r="O12" s="16">
        <v>16.8</v>
      </c>
      <c r="P12" s="16">
        <v>126</v>
      </c>
      <c r="Q12" s="16">
        <f t="shared" si="6"/>
        <v>282.24</v>
      </c>
      <c r="R12" s="16">
        <f t="shared" si="7"/>
        <v>15876</v>
      </c>
      <c r="S12" s="16">
        <f t="shared" si="8"/>
        <v>2116.8000000000002</v>
      </c>
    </row>
    <row r="13" spans="1:19">
      <c r="B13" s="11" t="s">
        <v>47</v>
      </c>
      <c r="C13" s="11">
        <f>(F10-((C10^2)/5))</f>
        <v>-114.79999999999995</v>
      </c>
      <c r="D13" s="11"/>
      <c r="E13" s="11"/>
      <c r="F13" s="11"/>
      <c r="G13" s="19" t="s">
        <v>54</v>
      </c>
      <c r="H13" s="4">
        <f>AVERAGE(H5:H11)</f>
        <v>81.571428571428569</v>
      </c>
      <c r="I13" s="4">
        <f>AVERAGE(I5:I11)</f>
        <v>71.142857142857139</v>
      </c>
      <c r="O13" s="16">
        <v>41.2</v>
      </c>
      <c r="P13" s="16">
        <v>379</v>
      </c>
      <c r="Q13" s="16">
        <f t="shared" si="6"/>
        <v>1697.4400000000003</v>
      </c>
      <c r="R13" s="16">
        <f t="shared" si="7"/>
        <v>143641</v>
      </c>
      <c r="S13" s="16">
        <f t="shared" si="8"/>
        <v>15614.800000000001</v>
      </c>
    </row>
    <row r="14" spans="1:19">
      <c r="B14" s="11" t="s">
        <v>48</v>
      </c>
      <c r="C14" s="11">
        <f>C12/C13</f>
        <v>-2.1672473867595823</v>
      </c>
      <c r="D14" s="11"/>
      <c r="E14" s="11"/>
      <c r="F14" s="11"/>
      <c r="H14" s="7"/>
      <c r="I14" s="7"/>
      <c r="J14" s="7"/>
      <c r="K14" s="7"/>
      <c r="L14" s="7"/>
      <c r="M14" s="7"/>
      <c r="N14" s="19" t="s">
        <v>5</v>
      </c>
      <c r="O14" s="1">
        <f>SUM(O6:O13)</f>
        <v>199.5</v>
      </c>
      <c r="P14" s="1">
        <f t="shared" ref="P14:S14" si="11">SUM(P6:P13)</f>
        <v>2670</v>
      </c>
      <c r="Q14" s="1">
        <f t="shared" si="11"/>
        <v>7667.1500000000005</v>
      </c>
      <c r="R14" s="1">
        <f t="shared" si="11"/>
        <v>1587328</v>
      </c>
      <c r="S14" s="1">
        <f t="shared" si="11"/>
        <v>107610.40000000001</v>
      </c>
    </row>
    <row r="15" spans="1:19">
      <c r="B15" s="11" t="s">
        <v>50</v>
      </c>
      <c r="C15" s="11">
        <f>(C11-C14*B11)</f>
        <v>57.977003484320562</v>
      </c>
      <c r="D15" s="11"/>
      <c r="E15" s="11"/>
      <c r="F15" s="11"/>
      <c r="H15" s="7"/>
      <c r="I15" s="7" t="s">
        <v>56</v>
      </c>
      <c r="J15" s="7">
        <f>(L12-((H12*I12)/7))</f>
        <v>-10523.571428571428</v>
      </c>
      <c r="K15" s="7"/>
      <c r="L15" s="7"/>
      <c r="M15" s="7"/>
      <c r="N15" s="19" t="s">
        <v>54</v>
      </c>
      <c r="O15" s="4">
        <f>AVERAGE(O6:O13)</f>
        <v>24.9375</v>
      </c>
      <c r="P15" s="4">
        <f>AVERAGE(P6:P13)</f>
        <v>333.75</v>
      </c>
    </row>
    <row r="16" spans="1:19">
      <c r="B16" s="71" t="s">
        <v>51</v>
      </c>
      <c r="C16" s="71"/>
      <c r="D16" s="11"/>
      <c r="E16" s="11"/>
      <c r="F16" s="11"/>
      <c r="H16" s="7"/>
      <c r="I16" s="7" t="s">
        <v>57</v>
      </c>
      <c r="J16" s="7">
        <f>(J12-((H12^2)/7))</f>
        <v>11715.714285714283</v>
      </c>
      <c r="K16" s="7"/>
      <c r="L16" s="7"/>
      <c r="M16" s="7"/>
      <c r="O16" s="7"/>
      <c r="P16" s="7" t="s">
        <v>56</v>
      </c>
      <c r="Q16" s="7">
        <f>(S14-((O14*P14)/8))</f>
        <v>41027.275000000009</v>
      </c>
      <c r="R16" s="7"/>
      <c r="S16" s="7"/>
    </row>
    <row r="17" spans="1:26" ht="18.75">
      <c r="B17" s="11"/>
      <c r="C17" s="11"/>
      <c r="D17" s="64" t="s">
        <v>52</v>
      </c>
      <c r="E17" s="64"/>
      <c r="F17" s="64"/>
      <c r="H17" s="7"/>
      <c r="I17" s="7" t="s">
        <v>48</v>
      </c>
      <c r="J17" s="7">
        <f>J15/J16</f>
        <v>-0.89824411657115</v>
      </c>
      <c r="K17" s="7"/>
      <c r="L17" s="7"/>
      <c r="M17" s="7"/>
      <c r="O17" s="7"/>
      <c r="P17" s="7" t="s">
        <v>57</v>
      </c>
      <c r="Q17" s="7">
        <f>(Q14-((O14^2)/8))</f>
        <v>2692.1187500000005</v>
      </c>
      <c r="R17" s="7"/>
      <c r="S17" s="7"/>
    </row>
    <row r="18" spans="1:26">
      <c r="H18" s="7"/>
      <c r="I18" s="7" t="s">
        <v>50</v>
      </c>
      <c r="J18" s="7">
        <f>(I13-(J17*H13))</f>
        <v>144.41391293744664</v>
      </c>
      <c r="K18" s="7"/>
      <c r="L18" s="7"/>
      <c r="M18" s="7"/>
      <c r="O18" s="7"/>
      <c r="P18" s="7" t="s">
        <v>48</v>
      </c>
      <c r="Q18" s="7">
        <f>Q16/Q17</f>
        <v>15.239771648260316</v>
      </c>
      <c r="R18" s="7"/>
      <c r="S18" s="7"/>
    </row>
    <row r="19" spans="1:26" ht="19.5">
      <c r="H19" s="7"/>
      <c r="I19" s="7"/>
      <c r="J19" s="67" t="s">
        <v>58</v>
      </c>
      <c r="K19" s="67"/>
      <c r="L19" s="67"/>
      <c r="M19" s="67"/>
      <c r="O19" s="7"/>
      <c r="P19" s="7" t="s">
        <v>50</v>
      </c>
      <c r="Q19" s="7">
        <f>P15-(O15*Q18)</f>
        <v>-46.291805478491654</v>
      </c>
      <c r="R19" s="7"/>
      <c r="S19" s="7"/>
    </row>
    <row r="20" spans="1:26" ht="18.75">
      <c r="O20" s="7"/>
      <c r="P20" s="7"/>
      <c r="Q20" s="64" t="s">
        <v>62</v>
      </c>
      <c r="R20" s="64"/>
      <c r="S20" s="64"/>
    </row>
    <row r="23" spans="1:26" ht="18.75">
      <c r="A23" s="68" t="s">
        <v>63</v>
      </c>
      <c r="B23" s="68"/>
    </row>
    <row r="24" spans="1:26" ht="18.75">
      <c r="B24" s="1" t="s">
        <v>64</v>
      </c>
      <c r="C24" s="1" t="s">
        <v>65</v>
      </c>
      <c r="D24" s="1" t="s">
        <v>2</v>
      </c>
      <c r="E24" s="1" t="s">
        <v>3</v>
      </c>
      <c r="F24" s="1" t="s">
        <v>4</v>
      </c>
      <c r="J24" s="68" t="s">
        <v>70</v>
      </c>
      <c r="K24" s="68"/>
    </row>
    <row r="25" spans="1:26" ht="23.25">
      <c r="B25" s="15">
        <v>16</v>
      </c>
      <c r="C25" s="15">
        <v>5</v>
      </c>
      <c r="D25" s="15">
        <f>B25^2</f>
        <v>256</v>
      </c>
      <c r="E25" s="15">
        <f>C25^2</f>
        <v>25</v>
      </c>
      <c r="F25" s="15">
        <f>B25*C25</f>
        <v>80</v>
      </c>
      <c r="I25" s="1" t="s">
        <v>71</v>
      </c>
      <c r="J25" s="1" t="s">
        <v>72</v>
      </c>
      <c r="K25" s="1" t="s">
        <v>2</v>
      </c>
      <c r="L25" s="1" t="s">
        <v>3</v>
      </c>
      <c r="M25" s="1" t="s">
        <v>4</v>
      </c>
      <c r="O25" s="103" t="s">
        <v>77</v>
      </c>
      <c r="P25" s="103"/>
      <c r="V25" s="68" t="s">
        <v>81</v>
      </c>
      <c r="W25" s="68"/>
    </row>
    <row r="26" spans="1:26">
      <c r="B26" s="15">
        <v>6</v>
      </c>
      <c r="C26" s="15">
        <v>12</v>
      </c>
      <c r="D26" s="15">
        <f t="shared" ref="D26:D29" si="12">B26^2</f>
        <v>36</v>
      </c>
      <c r="E26" s="15">
        <f t="shared" ref="E26:E29" si="13">C26^2</f>
        <v>144</v>
      </c>
      <c r="F26" s="15">
        <f t="shared" ref="F26:F29" si="14">B26*C26</f>
        <v>72</v>
      </c>
      <c r="I26" s="7">
        <v>58.1</v>
      </c>
      <c r="J26" s="7">
        <v>34.299999999999997</v>
      </c>
      <c r="K26" s="7">
        <f>I26^2</f>
        <v>3375.61</v>
      </c>
      <c r="L26" s="7">
        <f>J26^2</f>
        <v>1176.4899999999998</v>
      </c>
      <c r="M26" s="7">
        <f>I26*J26</f>
        <v>1992.83</v>
      </c>
      <c r="O26" s="1" t="s">
        <v>78</v>
      </c>
      <c r="P26" s="1" t="s">
        <v>79</v>
      </c>
      <c r="Q26" s="1" t="s">
        <v>2</v>
      </c>
      <c r="R26" s="1" t="s">
        <v>3</v>
      </c>
      <c r="S26" s="1" t="s">
        <v>4</v>
      </c>
      <c r="V26" s="1" t="s">
        <v>83</v>
      </c>
      <c r="W26" s="1" t="s">
        <v>82</v>
      </c>
      <c r="X26" s="1" t="s">
        <v>2</v>
      </c>
      <c r="Y26" s="1" t="s">
        <v>3</v>
      </c>
      <c r="Z26" s="1" t="s">
        <v>4</v>
      </c>
    </row>
    <row r="27" spans="1:26">
      <c r="B27" s="15">
        <v>8</v>
      </c>
      <c r="C27" s="15">
        <v>9</v>
      </c>
      <c r="D27" s="15">
        <f t="shared" si="12"/>
        <v>64</v>
      </c>
      <c r="E27" s="15">
        <f t="shared" si="13"/>
        <v>81</v>
      </c>
      <c r="F27" s="15">
        <f t="shared" si="14"/>
        <v>72</v>
      </c>
      <c r="I27" s="7">
        <v>55.4</v>
      </c>
      <c r="J27" s="7">
        <v>35</v>
      </c>
      <c r="K27" s="7">
        <f t="shared" ref="K27:K31" si="15">I27^2</f>
        <v>3069.16</v>
      </c>
      <c r="L27" s="7">
        <f t="shared" ref="L27:L31" si="16">J27^2</f>
        <v>1225</v>
      </c>
      <c r="M27" s="7">
        <f t="shared" ref="M27:M31" si="17">I27*J27</f>
        <v>1939</v>
      </c>
      <c r="O27" s="16">
        <v>5.65</v>
      </c>
      <c r="P27" s="16">
        <v>213</v>
      </c>
      <c r="Q27" s="16">
        <f>O27^2</f>
        <v>31.922500000000003</v>
      </c>
      <c r="R27" s="16">
        <f>P27^2</f>
        <v>45369</v>
      </c>
      <c r="S27" s="16">
        <f>O27*P27</f>
        <v>1203.45</v>
      </c>
      <c r="V27" s="15">
        <v>99.9</v>
      </c>
      <c r="W27" s="15">
        <v>2.74</v>
      </c>
      <c r="X27" s="15">
        <f>V27^2</f>
        <v>9980.010000000002</v>
      </c>
      <c r="Y27" s="15">
        <f>W27^2</f>
        <v>7.5076000000000009</v>
      </c>
      <c r="Z27" s="15">
        <f>V27*W27</f>
        <v>273.72600000000006</v>
      </c>
    </row>
    <row r="28" spans="1:26">
      <c r="B28" s="15">
        <v>4</v>
      </c>
      <c r="C28" s="15">
        <v>15</v>
      </c>
      <c r="D28" s="15">
        <f t="shared" si="12"/>
        <v>16</v>
      </c>
      <c r="E28" s="15">
        <f t="shared" si="13"/>
        <v>225</v>
      </c>
      <c r="F28" s="15">
        <f t="shared" si="14"/>
        <v>60</v>
      </c>
      <c r="I28" s="7">
        <v>57</v>
      </c>
      <c r="J28" s="7">
        <v>38.5</v>
      </c>
      <c r="K28" s="7">
        <f t="shared" si="15"/>
        <v>3249</v>
      </c>
      <c r="L28" s="7">
        <f t="shared" si="16"/>
        <v>1482.25</v>
      </c>
      <c r="M28" s="7">
        <f t="shared" si="17"/>
        <v>2194.5</v>
      </c>
      <c r="O28" s="16">
        <v>4.6500000000000004</v>
      </c>
      <c r="P28" s="16">
        <v>258</v>
      </c>
      <c r="Q28" s="16">
        <f t="shared" ref="Q28:Q38" si="18">O28^2</f>
        <v>21.622500000000002</v>
      </c>
      <c r="R28" s="16">
        <f t="shared" ref="R28:R38" si="19">P28^2</f>
        <v>66564</v>
      </c>
      <c r="S28" s="16">
        <f t="shared" ref="S28:S38" si="20">O28*P28</f>
        <v>1199.7</v>
      </c>
      <c r="V28" s="15">
        <v>97.9</v>
      </c>
      <c r="W28" s="15">
        <v>2.87</v>
      </c>
      <c r="X28" s="15">
        <f t="shared" ref="X28:X36" si="21">V28^2</f>
        <v>9584.4100000000017</v>
      </c>
      <c r="Y28" s="15">
        <f t="shared" ref="Y28:Y36" si="22">W28^2</f>
        <v>8.2369000000000003</v>
      </c>
      <c r="Z28" s="15">
        <f t="shared" ref="Z28:Z36" si="23">V28*W28</f>
        <v>280.97300000000001</v>
      </c>
    </row>
    <row r="29" spans="1:26">
      <c r="B29" s="15">
        <v>7</v>
      </c>
      <c r="C29" s="15">
        <v>7</v>
      </c>
      <c r="D29" s="15">
        <f t="shared" si="12"/>
        <v>49</v>
      </c>
      <c r="E29" s="15">
        <f t="shared" si="13"/>
        <v>49</v>
      </c>
      <c r="F29" s="15">
        <f t="shared" si="14"/>
        <v>49</v>
      </c>
      <c r="I29" s="7">
        <v>58.5</v>
      </c>
      <c r="J29" s="7">
        <v>40.1</v>
      </c>
      <c r="K29" s="7">
        <f t="shared" si="15"/>
        <v>3422.25</v>
      </c>
      <c r="L29" s="7">
        <f t="shared" si="16"/>
        <v>1608.0100000000002</v>
      </c>
      <c r="M29" s="7">
        <f t="shared" si="17"/>
        <v>2345.85</v>
      </c>
      <c r="O29" s="16">
        <v>3.96</v>
      </c>
      <c r="P29" s="16">
        <v>297</v>
      </c>
      <c r="Q29" s="16">
        <f t="shared" si="18"/>
        <v>15.6816</v>
      </c>
      <c r="R29" s="16">
        <f t="shared" si="19"/>
        <v>88209</v>
      </c>
      <c r="S29" s="16">
        <f t="shared" si="20"/>
        <v>1176.1199999999999</v>
      </c>
      <c r="V29" s="15">
        <v>98.9</v>
      </c>
      <c r="W29" s="15">
        <v>2.93</v>
      </c>
      <c r="X29" s="15">
        <f t="shared" si="21"/>
        <v>9781.2100000000009</v>
      </c>
      <c r="Y29" s="15">
        <f t="shared" si="22"/>
        <v>8.5849000000000011</v>
      </c>
      <c r="Z29" s="15">
        <f t="shared" si="23"/>
        <v>289.77700000000004</v>
      </c>
    </row>
    <row r="30" spans="1:26">
      <c r="A30" t="s">
        <v>5</v>
      </c>
      <c r="B30" s="1">
        <f>SUM(B25:B29)</f>
        <v>41</v>
      </c>
      <c r="C30" s="1">
        <f>SUM(C25:C29)</f>
        <v>48</v>
      </c>
      <c r="D30" s="1">
        <f>SUM(D25:D29)</f>
        <v>421</v>
      </c>
      <c r="E30" s="1">
        <f>SUM(E25:E29)</f>
        <v>524</v>
      </c>
      <c r="F30" s="1">
        <f>SUM(F25:F29)</f>
        <v>333</v>
      </c>
      <c r="I30" s="7">
        <v>57.4</v>
      </c>
      <c r="J30" s="7">
        <v>35.5</v>
      </c>
      <c r="K30" s="7">
        <f t="shared" si="15"/>
        <v>3294.7599999999998</v>
      </c>
      <c r="L30" s="7">
        <f t="shared" si="16"/>
        <v>1260.25</v>
      </c>
      <c r="M30" s="7">
        <f t="shared" si="17"/>
        <v>2037.7</v>
      </c>
      <c r="O30" s="16">
        <v>3.36</v>
      </c>
      <c r="P30" s="16">
        <v>340</v>
      </c>
      <c r="Q30" s="16">
        <f t="shared" si="18"/>
        <v>11.289599999999998</v>
      </c>
      <c r="R30" s="16">
        <f t="shared" si="19"/>
        <v>115600</v>
      </c>
      <c r="S30" s="16">
        <f t="shared" si="20"/>
        <v>1142.3999999999999</v>
      </c>
      <c r="V30" s="15">
        <v>87.9</v>
      </c>
      <c r="W30" s="15">
        <v>2.87</v>
      </c>
      <c r="X30" s="15">
        <f t="shared" si="21"/>
        <v>7726.4100000000008</v>
      </c>
      <c r="Y30" s="15">
        <f t="shared" si="22"/>
        <v>8.2369000000000003</v>
      </c>
      <c r="Z30" s="15">
        <f t="shared" si="23"/>
        <v>252.27300000000002</v>
      </c>
    </row>
    <row r="31" spans="1:26">
      <c r="A31" s="24" t="s">
        <v>68</v>
      </c>
      <c r="B31" s="24">
        <f>AVERAGE(B25:B29)</f>
        <v>8.1999999999999993</v>
      </c>
      <c r="C31" s="27" t="s">
        <v>47</v>
      </c>
      <c r="D31" s="27">
        <f>(F30-((B30*C30)/5))</f>
        <v>-60.600000000000023</v>
      </c>
      <c r="E31" s="27"/>
      <c r="F31" s="27"/>
      <c r="G31" s="27"/>
      <c r="I31" s="7">
        <v>58</v>
      </c>
      <c r="J31" s="7">
        <v>37.9</v>
      </c>
      <c r="K31" s="7">
        <f t="shared" si="15"/>
        <v>3364</v>
      </c>
      <c r="L31" s="7">
        <f t="shared" si="16"/>
        <v>1436.4099999999999</v>
      </c>
      <c r="M31" s="7">
        <f t="shared" si="17"/>
        <v>2198.1999999999998</v>
      </c>
      <c r="O31" s="16">
        <v>2.52</v>
      </c>
      <c r="P31" s="16">
        <v>420</v>
      </c>
      <c r="Q31" s="16">
        <f t="shared" si="18"/>
        <v>6.3504000000000005</v>
      </c>
      <c r="R31" s="16">
        <f t="shared" si="19"/>
        <v>176400</v>
      </c>
      <c r="S31" s="16">
        <f t="shared" si="20"/>
        <v>1058.4000000000001</v>
      </c>
      <c r="V31" s="15">
        <v>92.9</v>
      </c>
      <c r="W31" s="15">
        <v>2.98</v>
      </c>
      <c r="X31" s="15">
        <f t="shared" si="21"/>
        <v>8630.4100000000017</v>
      </c>
      <c r="Y31" s="15">
        <f t="shared" si="22"/>
        <v>8.8803999999999998</v>
      </c>
      <c r="Z31" s="15">
        <f t="shared" si="23"/>
        <v>276.84200000000004</v>
      </c>
    </row>
    <row r="32" spans="1:26">
      <c r="A32" s="24" t="s">
        <v>67</v>
      </c>
      <c r="B32" s="24">
        <f>AVERAGE(C25:C29)</f>
        <v>9.6</v>
      </c>
      <c r="C32" s="27" t="s">
        <v>57</v>
      </c>
      <c r="D32" s="27">
        <f>(D30-((B30^2)/5))</f>
        <v>84.800000000000011</v>
      </c>
      <c r="E32" s="27"/>
      <c r="F32" s="27"/>
      <c r="G32" s="27"/>
      <c r="H32" s="19" t="s">
        <v>5</v>
      </c>
      <c r="I32" s="1">
        <f>SUM(I26:I31)</f>
        <v>344.4</v>
      </c>
      <c r="J32" s="1">
        <f t="shared" ref="J32:M32" si="24">SUM(J26:J31)</f>
        <v>221.3</v>
      </c>
      <c r="K32" s="1">
        <f t="shared" si="24"/>
        <v>19774.78</v>
      </c>
      <c r="L32" s="1">
        <f t="shared" si="24"/>
        <v>8188.41</v>
      </c>
      <c r="M32" s="1">
        <f t="shared" si="24"/>
        <v>12708.080000000002</v>
      </c>
      <c r="O32" s="16">
        <v>2.44</v>
      </c>
      <c r="P32" s="16">
        <v>426</v>
      </c>
      <c r="Q32" s="16">
        <f t="shared" si="18"/>
        <v>5.9535999999999998</v>
      </c>
      <c r="R32" s="16">
        <f t="shared" si="19"/>
        <v>181476</v>
      </c>
      <c r="S32" s="16">
        <f t="shared" si="20"/>
        <v>1039.44</v>
      </c>
      <c r="V32" s="15">
        <v>97.9</v>
      </c>
      <c r="W32" s="15">
        <v>3.09</v>
      </c>
      <c r="X32" s="15">
        <f t="shared" si="21"/>
        <v>9584.4100000000017</v>
      </c>
      <c r="Y32" s="15">
        <f t="shared" si="22"/>
        <v>9.5480999999999998</v>
      </c>
      <c r="Z32" s="15">
        <f t="shared" si="23"/>
        <v>302.51100000000002</v>
      </c>
    </row>
    <row r="33" spans="3:26">
      <c r="C33" s="27" t="s">
        <v>48</v>
      </c>
      <c r="D33" s="27">
        <f>D31/D32</f>
        <v>-0.71462264150943411</v>
      </c>
      <c r="E33" s="27"/>
      <c r="F33" s="27"/>
      <c r="G33" s="27"/>
      <c r="H33" s="19" t="s">
        <v>54</v>
      </c>
      <c r="I33" s="5">
        <f>AVERAGE(I26:I31)</f>
        <v>57.4</v>
      </c>
      <c r="J33" s="5">
        <f>AVERAGE(J26:J31)</f>
        <v>36.883333333333333</v>
      </c>
      <c r="O33" s="16">
        <v>2.29</v>
      </c>
      <c r="P33" s="16">
        <v>441</v>
      </c>
      <c r="Q33" s="16">
        <f t="shared" si="18"/>
        <v>5.2441000000000004</v>
      </c>
      <c r="R33" s="16">
        <f t="shared" si="19"/>
        <v>194481</v>
      </c>
      <c r="S33" s="16">
        <f t="shared" si="20"/>
        <v>1009.89</v>
      </c>
      <c r="V33" s="15">
        <v>100.6</v>
      </c>
      <c r="W33" s="15">
        <v>3.36</v>
      </c>
      <c r="X33" s="15">
        <f t="shared" si="21"/>
        <v>10120.359999999999</v>
      </c>
      <c r="Y33" s="15">
        <f t="shared" si="22"/>
        <v>11.289599999999998</v>
      </c>
      <c r="Z33" s="15">
        <f t="shared" si="23"/>
        <v>338.01599999999996</v>
      </c>
    </row>
    <row r="34" spans="3:26">
      <c r="C34" s="27" t="s">
        <v>66</v>
      </c>
      <c r="D34" s="27">
        <f>(B32-(B31*D33))</f>
        <v>15.459905660377359</v>
      </c>
      <c r="E34" s="27"/>
      <c r="F34" s="27"/>
      <c r="G34" s="27"/>
      <c r="I34" s="7"/>
      <c r="J34" s="7"/>
      <c r="K34" s="7" t="s">
        <v>73</v>
      </c>
      <c r="L34" s="7">
        <f>(M32-((I32*J32)/6))</f>
        <v>5.4600000000009459</v>
      </c>
      <c r="M34" s="7"/>
      <c r="O34" s="16">
        <v>2.15</v>
      </c>
      <c r="P34" s="16">
        <v>460</v>
      </c>
      <c r="Q34" s="16">
        <f t="shared" si="18"/>
        <v>4.6224999999999996</v>
      </c>
      <c r="R34" s="16">
        <f t="shared" si="19"/>
        <v>211600</v>
      </c>
      <c r="S34" s="16">
        <f t="shared" si="20"/>
        <v>989</v>
      </c>
      <c r="V34" s="15">
        <v>104.6</v>
      </c>
      <c r="W34" s="15">
        <v>3.61</v>
      </c>
      <c r="X34" s="15">
        <f t="shared" si="21"/>
        <v>10941.159999999998</v>
      </c>
      <c r="Y34" s="15">
        <f t="shared" si="22"/>
        <v>13.0321</v>
      </c>
      <c r="Z34" s="15">
        <f t="shared" si="23"/>
        <v>377.60599999999999</v>
      </c>
    </row>
    <row r="35" spans="3:26" ht="21">
      <c r="C35" s="27"/>
      <c r="D35" s="27"/>
      <c r="E35" s="26" t="s">
        <v>69</v>
      </c>
      <c r="F35" s="26"/>
      <c r="G35" s="24"/>
      <c r="I35" s="7"/>
      <c r="J35" s="7"/>
      <c r="K35" s="7" t="s">
        <v>74</v>
      </c>
      <c r="L35" s="7">
        <f>(K32-((I32*J32)/6))</f>
        <v>7072.159999999998</v>
      </c>
      <c r="M35" s="7"/>
      <c r="O35" s="16">
        <v>2.0699999999999998</v>
      </c>
      <c r="P35" s="16">
        <v>469</v>
      </c>
      <c r="Q35" s="16">
        <f t="shared" si="18"/>
        <v>4.2848999999999995</v>
      </c>
      <c r="R35" s="16">
        <f t="shared" si="19"/>
        <v>219961</v>
      </c>
      <c r="S35" s="16">
        <f t="shared" si="20"/>
        <v>970.82999999999993</v>
      </c>
      <c r="V35" s="15">
        <v>105.3</v>
      </c>
      <c r="W35" s="15">
        <v>3.75</v>
      </c>
      <c r="X35" s="15">
        <f t="shared" si="21"/>
        <v>11088.09</v>
      </c>
      <c r="Y35" s="15">
        <f t="shared" si="22"/>
        <v>14.0625</v>
      </c>
      <c r="Z35" s="15">
        <f t="shared" si="23"/>
        <v>394.875</v>
      </c>
    </row>
    <row r="36" spans="3:26">
      <c r="I36" s="7"/>
      <c r="J36" s="7"/>
      <c r="K36" s="7" t="s">
        <v>55</v>
      </c>
      <c r="L36" s="7">
        <f>L34/L35</f>
        <v>7.7204135653052917E-4</v>
      </c>
      <c r="M36" s="7"/>
      <c r="O36" s="16">
        <v>2.17</v>
      </c>
      <c r="P36" s="16">
        <v>434</v>
      </c>
      <c r="Q36" s="16">
        <f t="shared" si="18"/>
        <v>4.7088999999999999</v>
      </c>
      <c r="R36" s="16">
        <f t="shared" si="19"/>
        <v>188356</v>
      </c>
      <c r="S36" s="16">
        <f t="shared" si="20"/>
        <v>941.78</v>
      </c>
      <c r="V36" s="15">
        <v>108.6</v>
      </c>
      <c r="W36" s="15">
        <v>3.95</v>
      </c>
      <c r="X36" s="15">
        <f t="shared" si="21"/>
        <v>11793.96</v>
      </c>
      <c r="Y36" s="15">
        <f t="shared" si="22"/>
        <v>15.602500000000001</v>
      </c>
      <c r="Z36" s="15">
        <f t="shared" si="23"/>
        <v>428.96999999999997</v>
      </c>
    </row>
    <row r="37" spans="3:26">
      <c r="I37" s="7"/>
      <c r="J37" s="7"/>
      <c r="K37" s="7" t="s">
        <v>66</v>
      </c>
      <c r="L37" s="7">
        <f>(J33-(L36*I33))</f>
        <v>36.83901815946848</v>
      </c>
      <c r="M37" s="7"/>
      <c r="O37" s="16">
        <v>2.1</v>
      </c>
      <c r="P37" s="16">
        <v>444</v>
      </c>
      <c r="Q37" s="16">
        <f t="shared" si="18"/>
        <v>4.41</v>
      </c>
      <c r="R37" s="16">
        <f t="shared" si="19"/>
        <v>197136</v>
      </c>
      <c r="S37" s="16">
        <f t="shared" si="20"/>
        <v>932.40000000000009</v>
      </c>
      <c r="U37" s="19" t="s">
        <v>5</v>
      </c>
      <c r="V37" s="1">
        <f>SUM(V27:V36)</f>
        <v>994.5</v>
      </c>
      <c r="W37" s="1">
        <f t="shared" ref="W37:Z37" si="25">SUM(W27:W36)</f>
        <v>32.15</v>
      </c>
      <c r="X37" s="1">
        <f t="shared" si="25"/>
        <v>99230.430000000022</v>
      </c>
      <c r="Y37" s="1">
        <f t="shared" si="25"/>
        <v>104.98150000000001</v>
      </c>
      <c r="Z37" s="1">
        <f t="shared" si="25"/>
        <v>3215.569</v>
      </c>
    </row>
    <row r="38" spans="3:26" ht="21">
      <c r="I38" s="7"/>
      <c r="J38" s="7"/>
      <c r="K38" s="7"/>
      <c r="L38" s="63" t="s">
        <v>76</v>
      </c>
      <c r="M38" s="63"/>
      <c r="N38" s="63"/>
      <c r="O38" s="16">
        <v>2.95</v>
      </c>
      <c r="P38" s="16">
        <v>374</v>
      </c>
      <c r="Q38" s="16">
        <f t="shared" si="18"/>
        <v>8.7025000000000006</v>
      </c>
      <c r="R38" s="16">
        <f t="shared" si="19"/>
        <v>139876</v>
      </c>
      <c r="S38" s="16">
        <f t="shared" si="20"/>
        <v>1103.3</v>
      </c>
      <c r="U38" s="19" t="s">
        <v>54</v>
      </c>
      <c r="V38" s="4">
        <f>AVERAGE(V27:V36)</f>
        <v>99.45</v>
      </c>
      <c r="W38" s="4">
        <f>AVERAGE(W27:W36)</f>
        <v>3.2149999999999999</v>
      </c>
    </row>
    <row r="39" spans="3:26">
      <c r="N39" s="19" t="s">
        <v>5</v>
      </c>
      <c r="O39" s="1">
        <f>SUM(O27:O38)</f>
        <v>36.31</v>
      </c>
      <c r="P39" s="1">
        <f t="shared" ref="P39:S39" si="26">SUM(P27:P38)</f>
        <v>4576</v>
      </c>
      <c r="Q39" s="1">
        <f t="shared" si="26"/>
        <v>124.7931</v>
      </c>
      <c r="R39" s="1">
        <f t="shared" si="26"/>
        <v>1825028</v>
      </c>
      <c r="S39" s="1">
        <f t="shared" si="26"/>
        <v>12766.710000000001</v>
      </c>
      <c r="V39" s="15"/>
      <c r="W39" s="15" t="s">
        <v>56</v>
      </c>
      <c r="X39" s="15">
        <f>(Z37-((V37*W37)/10))</f>
        <v>18.251499999999851</v>
      </c>
      <c r="Y39" s="15"/>
      <c r="Z39" s="15"/>
    </row>
    <row r="40" spans="3:26">
      <c r="N40" s="19" t="s">
        <v>54</v>
      </c>
      <c r="O40" s="16">
        <f>AVERAGE(O27:O38)</f>
        <v>3.0258333333333334</v>
      </c>
      <c r="P40" s="16">
        <f>AVERAGE(P27:P38)</f>
        <v>381.33333333333331</v>
      </c>
      <c r="Q40" s="16"/>
      <c r="R40" s="16"/>
      <c r="S40" s="16"/>
      <c r="V40" s="15"/>
      <c r="W40" s="15" t="s">
        <v>74</v>
      </c>
      <c r="X40" s="15">
        <f>(X37-((V37^2)/10))</f>
        <v>327.40500000002794</v>
      </c>
      <c r="Y40" s="15"/>
      <c r="Z40" s="15"/>
    </row>
    <row r="41" spans="3:26">
      <c r="O41" s="16"/>
      <c r="P41" s="16" t="s">
        <v>47</v>
      </c>
      <c r="Q41" s="16">
        <f>(S39-((O39*P39)/12))</f>
        <v>-1079.5033333333322</v>
      </c>
      <c r="R41" s="16"/>
      <c r="S41" s="16"/>
      <c r="V41" s="15"/>
      <c r="W41" s="15" t="s">
        <v>48</v>
      </c>
      <c r="X41" s="15">
        <f>X39/X40</f>
        <v>5.5745941570832132E-2</v>
      </c>
      <c r="Y41" s="15"/>
      <c r="Z41" s="15"/>
    </row>
    <row r="42" spans="3:26">
      <c r="O42" s="16"/>
      <c r="P42" s="16" t="s">
        <v>46</v>
      </c>
      <c r="Q42" s="16">
        <f>(Q39-((O39^2)/12))</f>
        <v>14.925091666666646</v>
      </c>
      <c r="R42" s="16"/>
      <c r="S42" s="16"/>
      <c r="V42" s="15"/>
      <c r="W42" s="15" t="s">
        <v>50</v>
      </c>
      <c r="X42" s="15">
        <f>W38-(V38*X41)</f>
        <v>-2.3289338892192557</v>
      </c>
      <c r="Y42" s="15"/>
      <c r="Z42" s="15"/>
    </row>
    <row r="43" spans="3:26" ht="18.75">
      <c r="O43" s="16"/>
      <c r="P43" s="16" t="s">
        <v>48</v>
      </c>
      <c r="Q43" s="16">
        <f>Q41/Q42</f>
        <v>-72.328087320513418</v>
      </c>
      <c r="R43" s="16"/>
      <c r="S43" s="16"/>
      <c r="V43" s="15"/>
      <c r="W43" s="64" t="s">
        <v>84</v>
      </c>
      <c r="X43" s="64"/>
      <c r="Y43" s="64"/>
      <c r="Z43" s="15"/>
    </row>
    <row r="44" spans="3:26">
      <c r="O44" s="16"/>
      <c r="P44" s="16" t="s">
        <v>66</v>
      </c>
      <c r="Q44" s="16">
        <f>P40-(Q43*O40)</f>
        <v>600.18607088398687</v>
      </c>
      <c r="R44" s="16"/>
      <c r="S44" s="16"/>
    </row>
    <row r="45" spans="3:26" ht="18.75">
      <c r="P45" s="64" t="s">
        <v>80</v>
      </c>
      <c r="Q45" s="64"/>
      <c r="R45" s="64"/>
    </row>
  </sheetData>
  <mergeCells count="15">
    <mergeCell ref="A23:B23"/>
    <mergeCell ref="J24:K24"/>
    <mergeCell ref="B3:C3"/>
    <mergeCell ref="B16:C16"/>
    <mergeCell ref="D17:F17"/>
    <mergeCell ref="H3:I3"/>
    <mergeCell ref="L38:N38"/>
    <mergeCell ref="P45:R45"/>
    <mergeCell ref="O25:P25"/>
    <mergeCell ref="W43:Y43"/>
    <mergeCell ref="H1:L1"/>
    <mergeCell ref="J19:M19"/>
    <mergeCell ref="Q20:S20"/>
    <mergeCell ref="P2:Q2"/>
    <mergeCell ref="V25:W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49"/>
  <sheetViews>
    <sheetView topLeftCell="U22" zoomScale="80" zoomScaleNormal="80" workbookViewId="0">
      <selection activeCell="AI22" sqref="AI22:AK22"/>
    </sheetView>
  </sheetViews>
  <sheetFormatPr defaultRowHeight="15"/>
  <cols>
    <col min="7" max="7" width="14" bestFit="1" customWidth="1"/>
    <col min="22" max="22" width="20.42578125" bestFit="1" customWidth="1"/>
    <col min="32" max="32" width="11.140625" bestFit="1" customWidth="1"/>
  </cols>
  <sheetData>
    <row r="1" spans="1:38" ht="21">
      <c r="I1" s="72" t="s">
        <v>179</v>
      </c>
      <c r="J1" s="72"/>
      <c r="K1" s="72"/>
      <c r="L1" s="72"/>
      <c r="M1" s="72"/>
      <c r="N1" s="72"/>
      <c r="O1" s="72"/>
      <c r="P1" s="72"/>
    </row>
    <row r="2" spans="1:38" ht="21">
      <c r="B2" s="72" t="s">
        <v>88</v>
      </c>
      <c r="C2" s="72"/>
      <c r="D2" s="72"/>
      <c r="F2" s="13" t="s">
        <v>89</v>
      </c>
      <c r="AF2" s="70" t="s">
        <v>94</v>
      </c>
      <c r="AG2" s="70"/>
      <c r="AH2" s="70"/>
    </row>
    <row r="3" spans="1:38" ht="21">
      <c r="F3">
        <v>13.62541</v>
      </c>
      <c r="G3">
        <v>2.3029320000000002</v>
      </c>
      <c r="K3" s="72" t="s">
        <v>90</v>
      </c>
      <c r="L3" s="72"/>
      <c r="M3" s="72"/>
      <c r="O3">
        <f>N15</f>
        <v>16.509646302250793</v>
      </c>
      <c r="P3">
        <f>N14</f>
        <v>0.16237942122186536</v>
      </c>
      <c r="U3" s="72" t="s">
        <v>93</v>
      </c>
      <c r="V3" s="72"/>
      <c r="W3" s="72"/>
      <c r="Y3" s="7">
        <v>144.41390000000001</v>
      </c>
      <c r="Z3" s="12">
        <v>-0.89824000000000004</v>
      </c>
    </row>
    <row r="4" spans="1:3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85</v>
      </c>
      <c r="H4" s="1" t="s">
        <v>86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85</v>
      </c>
      <c r="Q4" s="1" t="s">
        <v>86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92</v>
      </c>
      <c r="AA4" s="1" t="s">
        <v>86</v>
      </c>
      <c r="AF4" s="1" t="s">
        <v>60</v>
      </c>
      <c r="AG4" s="1" t="s">
        <v>61</v>
      </c>
      <c r="AJ4">
        <v>-46.291805478491654</v>
      </c>
      <c r="AK4">
        <v>15.239771648260316</v>
      </c>
    </row>
    <row r="5" spans="1:38">
      <c r="B5" s="16">
        <v>15</v>
      </c>
      <c r="C5" s="16">
        <v>47</v>
      </c>
      <c r="D5" s="16">
        <f>B5^2</f>
        <v>225</v>
      </c>
      <c r="E5" s="16">
        <f>C5^2</f>
        <v>2209</v>
      </c>
      <c r="F5" s="16">
        <f>B5*C5</f>
        <v>705</v>
      </c>
      <c r="G5" s="7">
        <f>($F$3+($G$3*B5))</f>
        <v>48.169390000000007</v>
      </c>
      <c r="H5" s="14">
        <f>C5-G5</f>
        <v>-1.169390000000007</v>
      </c>
      <c r="K5" s="16">
        <v>12</v>
      </c>
      <c r="L5" s="16">
        <v>17</v>
      </c>
      <c r="M5" s="16">
        <f>K5^2</f>
        <v>144</v>
      </c>
      <c r="N5" s="16">
        <f>L5^2</f>
        <v>289</v>
      </c>
      <c r="O5" s="16">
        <f>K5*L5</f>
        <v>204</v>
      </c>
      <c r="P5" s="7">
        <f>$O$3 +($P$3*K5)</f>
        <v>18.458199356913177</v>
      </c>
      <c r="Q5" s="14">
        <f>L5-P5</f>
        <v>-1.4581993569131768</v>
      </c>
      <c r="U5" s="16">
        <v>140</v>
      </c>
      <c r="V5" s="16">
        <v>25</v>
      </c>
      <c r="W5" s="16">
        <f>U5^2</f>
        <v>19600</v>
      </c>
      <c r="X5" s="16">
        <f>V5^2</f>
        <v>625</v>
      </c>
      <c r="Y5" s="16">
        <f>U5*V5</f>
        <v>3500</v>
      </c>
      <c r="Z5" s="11">
        <f>($Y$3+($Z$3*U5))</f>
        <v>18.660300000000007</v>
      </c>
      <c r="AA5" s="14">
        <f>V5-Z5</f>
        <v>6.3396999999999935</v>
      </c>
      <c r="AF5" s="1" t="s">
        <v>0</v>
      </c>
      <c r="AG5" s="1" t="s">
        <v>1</v>
      </c>
      <c r="AH5" s="1" t="s">
        <v>2</v>
      </c>
      <c r="AI5" s="1" t="s">
        <v>3</v>
      </c>
      <c r="AJ5" s="1" t="s">
        <v>4</v>
      </c>
      <c r="AK5" s="1" t="s">
        <v>92</v>
      </c>
      <c r="AL5" s="1" t="s">
        <v>86</v>
      </c>
    </row>
    <row r="6" spans="1:38">
      <c r="B6" s="16">
        <v>8</v>
      </c>
      <c r="C6" s="16">
        <v>36</v>
      </c>
      <c r="D6" s="16">
        <f t="shared" ref="D6:D9" si="0">B6^2</f>
        <v>64</v>
      </c>
      <c r="E6" s="16">
        <f t="shared" ref="E6:E9" si="1">C6^2</f>
        <v>1296</v>
      </c>
      <c r="F6" s="16">
        <f t="shared" ref="F6:F9" si="2">B6*C6</f>
        <v>288</v>
      </c>
      <c r="G6" s="7">
        <f t="shared" ref="G6:G9" si="3">($F$3+($G$3*B6))</f>
        <v>32.048866000000004</v>
      </c>
      <c r="H6" s="14">
        <f t="shared" ref="H6:H9" si="4">C6-G6</f>
        <v>3.9511339999999961</v>
      </c>
      <c r="K6" s="16">
        <v>21</v>
      </c>
      <c r="L6" s="16">
        <v>15</v>
      </c>
      <c r="M6" s="16">
        <f t="shared" ref="M6:M9" si="5">K6^2</f>
        <v>441</v>
      </c>
      <c r="N6" s="16">
        <f t="shared" ref="N6:N9" si="6">L6^2</f>
        <v>225</v>
      </c>
      <c r="O6" s="16">
        <f t="shared" ref="O6:O9" si="7">K6*L6</f>
        <v>315</v>
      </c>
      <c r="P6" s="7">
        <f t="shared" ref="P6:P9" si="8">$O$3 +($P$3*K6)</f>
        <v>19.919614147909964</v>
      </c>
      <c r="Q6" s="14">
        <f t="shared" ref="Q6:Q9" si="9">L6-P6</f>
        <v>-4.9196141479099644</v>
      </c>
      <c r="U6" s="16">
        <v>119</v>
      </c>
      <c r="V6" s="16">
        <v>29</v>
      </c>
      <c r="W6" s="16">
        <f t="shared" ref="W6:X11" si="10">U6^2</f>
        <v>14161</v>
      </c>
      <c r="X6" s="16">
        <f t="shared" si="10"/>
        <v>841</v>
      </c>
      <c r="Y6" s="16">
        <f t="shared" ref="Y6:Y11" si="11">U6*V6</f>
        <v>3451</v>
      </c>
      <c r="Z6" s="11">
        <f t="shared" ref="Z6:Z11" si="12">($Y$3+($Z$3*U6))</f>
        <v>37.523340000000005</v>
      </c>
      <c r="AA6" s="14">
        <f t="shared" ref="AA6:AA11" si="13">V6-Z6</f>
        <v>-8.5233400000000046</v>
      </c>
      <c r="AF6" s="16">
        <v>12.5</v>
      </c>
      <c r="AG6" s="16">
        <v>148</v>
      </c>
      <c r="AH6" s="16">
        <f>AF6^2</f>
        <v>156.25</v>
      </c>
      <c r="AI6" s="16">
        <f>AG6^2</f>
        <v>21904</v>
      </c>
      <c r="AJ6" s="16">
        <f>AF6*AG6</f>
        <v>1850</v>
      </c>
      <c r="AK6" s="7">
        <f>($AJ$4+($AK$4*AF6))</f>
        <v>144.2053401247623</v>
      </c>
      <c r="AL6" s="14">
        <f>AG6-AK6</f>
        <v>3.7946598752376985</v>
      </c>
    </row>
    <row r="7" spans="1:38">
      <c r="B7" s="16">
        <v>19</v>
      </c>
      <c r="C7" s="16">
        <v>56</v>
      </c>
      <c r="D7" s="16">
        <f t="shared" si="0"/>
        <v>361</v>
      </c>
      <c r="E7" s="16">
        <f t="shared" si="1"/>
        <v>3136</v>
      </c>
      <c r="F7" s="16">
        <f t="shared" si="2"/>
        <v>1064</v>
      </c>
      <c r="G7" s="7">
        <f t="shared" si="3"/>
        <v>57.381118000000008</v>
      </c>
      <c r="H7" s="14">
        <f t="shared" si="4"/>
        <v>-1.3811180000000078</v>
      </c>
      <c r="K7" s="16">
        <v>28</v>
      </c>
      <c r="L7" s="16">
        <v>22</v>
      </c>
      <c r="M7" s="16">
        <f t="shared" si="5"/>
        <v>784</v>
      </c>
      <c r="N7" s="16">
        <f t="shared" si="6"/>
        <v>484</v>
      </c>
      <c r="O7" s="16">
        <f t="shared" si="7"/>
        <v>616</v>
      </c>
      <c r="P7" s="7">
        <f t="shared" si="8"/>
        <v>21.056270096463024</v>
      </c>
      <c r="Q7" s="14">
        <f t="shared" si="9"/>
        <v>0.94372990353697617</v>
      </c>
      <c r="U7" s="16">
        <v>103</v>
      </c>
      <c r="V7" s="16">
        <v>46</v>
      </c>
      <c r="W7" s="16">
        <f t="shared" si="10"/>
        <v>10609</v>
      </c>
      <c r="X7" s="16">
        <f t="shared" si="10"/>
        <v>2116</v>
      </c>
      <c r="Y7" s="16">
        <f t="shared" si="11"/>
        <v>4738</v>
      </c>
      <c r="Z7" s="11">
        <f t="shared" si="12"/>
        <v>51.895180000000011</v>
      </c>
      <c r="AA7" s="14">
        <f t="shared" si="13"/>
        <v>-5.8951800000000105</v>
      </c>
      <c r="AF7" s="16">
        <v>3.7</v>
      </c>
      <c r="AG7" s="16">
        <v>55</v>
      </c>
      <c r="AH7" s="16">
        <f t="shared" ref="AH7:AI13" si="14">AF7^2</f>
        <v>13.690000000000001</v>
      </c>
      <c r="AI7" s="16">
        <f t="shared" si="14"/>
        <v>3025</v>
      </c>
      <c r="AJ7" s="16">
        <f t="shared" ref="AJ7:AJ13" si="15">AF7*AG7</f>
        <v>203.5</v>
      </c>
      <c r="AK7" s="7">
        <f>($AJ$4+($AK$4*AF7))</f>
        <v>10.095349620071516</v>
      </c>
      <c r="AL7" s="14">
        <f t="shared" ref="AL7:AL13" si="16">AG7-AK7</f>
        <v>44.904650379928484</v>
      </c>
    </row>
    <row r="8" spans="1:38">
      <c r="B8" s="16">
        <v>12</v>
      </c>
      <c r="C8" s="16">
        <v>44</v>
      </c>
      <c r="D8" s="16">
        <f t="shared" si="0"/>
        <v>144</v>
      </c>
      <c r="E8" s="16">
        <f t="shared" si="1"/>
        <v>1936</v>
      </c>
      <c r="F8" s="16">
        <f t="shared" si="2"/>
        <v>528</v>
      </c>
      <c r="G8" s="7">
        <f t="shared" si="3"/>
        <v>41.260594000000005</v>
      </c>
      <c r="H8" s="14">
        <f t="shared" si="4"/>
        <v>2.7394059999999953</v>
      </c>
      <c r="K8" s="16">
        <v>8</v>
      </c>
      <c r="L8" s="16">
        <v>19</v>
      </c>
      <c r="M8" s="16">
        <f t="shared" si="5"/>
        <v>64</v>
      </c>
      <c r="N8" s="16">
        <f t="shared" si="6"/>
        <v>361</v>
      </c>
      <c r="O8" s="16">
        <f t="shared" si="7"/>
        <v>152</v>
      </c>
      <c r="P8" s="7">
        <f t="shared" si="8"/>
        <v>17.808681672025717</v>
      </c>
      <c r="Q8" s="14">
        <f t="shared" si="9"/>
        <v>1.1913183279742832</v>
      </c>
      <c r="U8" s="16">
        <v>91</v>
      </c>
      <c r="V8" s="16">
        <v>70</v>
      </c>
      <c r="W8" s="16">
        <f t="shared" si="10"/>
        <v>8281</v>
      </c>
      <c r="X8" s="16">
        <f t="shared" si="10"/>
        <v>4900</v>
      </c>
      <c r="Y8" s="16">
        <f t="shared" si="11"/>
        <v>6370</v>
      </c>
      <c r="Z8" s="11">
        <f t="shared" si="12"/>
        <v>62.674060000000011</v>
      </c>
      <c r="AA8" s="14">
        <f t="shared" si="13"/>
        <v>7.3259399999999886</v>
      </c>
      <c r="AF8" s="16">
        <v>21.6</v>
      </c>
      <c r="AG8" s="16">
        <v>338</v>
      </c>
      <c r="AH8" s="16">
        <f t="shared" si="14"/>
        <v>466.56000000000006</v>
      </c>
      <c r="AI8" s="16">
        <f t="shared" si="14"/>
        <v>114244</v>
      </c>
      <c r="AJ8" s="16">
        <f t="shared" si="15"/>
        <v>7300.8</v>
      </c>
      <c r="AK8" s="7">
        <f>($AJ$4+($AK$4*AF8))</f>
        <v>282.88726212393118</v>
      </c>
      <c r="AL8" s="14">
        <f t="shared" si="16"/>
        <v>55.11273787606882</v>
      </c>
    </row>
    <row r="9" spans="1:38">
      <c r="B9" s="16">
        <v>5</v>
      </c>
      <c r="C9" s="16">
        <v>21</v>
      </c>
      <c r="D9" s="16">
        <f t="shared" si="0"/>
        <v>25</v>
      </c>
      <c r="E9" s="16">
        <f t="shared" si="1"/>
        <v>441</v>
      </c>
      <c r="F9" s="16">
        <f t="shared" si="2"/>
        <v>105</v>
      </c>
      <c r="G9" s="7">
        <f t="shared" si="3"/>
        <v>25.140070000000001</v>
      </c>
      <c r="H9" s="14">
        <f t="shared" si="4"/>
        <v>-4.1400700000000015</v>
      </c>
      <c r="K9" s="16">
        <v>20</v>
      </c>
      <c r="L9" s="16">
        <v>24</v>
      </c>
      <c r="M9" s="16">
        <f t="shared" si="5"/>
        <v>400</v>
      </c>
      <c r="N9" s="16">
        <f t="shared" si="6"/>
        <v>576</v>
      </c>
      <c r="O9" s="16">
        <f t="shared" si="7"/>
        <v>480</v>
      </c>
      <c r="P9" s="7">
        <f t="shared" si="8"/>
        <v>19.7572347266881</v>
      </c>
      <c r="Q9" s="14">
        <f t="shared" si="9"/>
        <v>4.2427652733118997</v>
      </c>
      <c r="U9" s="16">
        <v>65</v>
      </c>
      <c r="V9" s="16">
        <v>88</v>
      </c>
      <c r="W9" s="16">
        <f t="shared" si="10"/>
        <v>4225</v>
      </c>
      <c r="X9" s="16">
        <f t="shared" si="10"/>
        <v>7744</v>
      </c>
      <c r="Y9" s="16">
        <f t="shared" si="11"/>
        <v>5720</v>
      </c>
      <c r="Z9" s="11">
        <f t="shared" si="12"/>
        <v>86.028300000000002</v>
      </c>
      <c r="AA9" s="14">
        <f t="shared" si="13"/>
        <v>1.9716999999999985</v>
      </c>
      <c r="AF9" s="16">
        <v>60</v>
      </c>
      <c r="AG9" s="16">
        <v>994</v>
      </c>
      <c r="AH9" s="16">
        <f t="shared" si="14"/>
        <v>3600</v>
      </c>
      <c r="AI9" s="16">
        <f t="shared" si="14"/>
        <v>988036</v>
      </c>
      <c r="AJ9" s="16">
        <f t="shared" si="15"/>
        <v>59640</v>
      </c>
      <c r="AK9" s="7">
        <f t="shared" ref="AK9:AK13" si="17">($AJ$4+($AK$4*AF9))</f>
        <v>868.0944934171273</v>
      </c>
      <c r="AL9" s="14">
        <f t="shared" si="16"/>
        <v>125.9055065828727</v>
      </c>
    </row>
    <row r="10" spans="1:38">
      <c r="A10" s="19" t="s">
        <v>5</v>
      </c>
      <c r="B10" s="1">
        <f>SUM(B5:B9)</f>
        <v>59</v>
      </c>
      <c r="C10" s="1">
        <f t="shared" ref="C10:H10" si="18">SUM(C5:C9)</f>
        <v>204</v>
      </c>
      <c r="D10" s="1">
        <f t="shared" si="18"/>
        <v>819</v>
      </c>
      <c r="E10" s="1">
        <f t="shared" si="18"/>
        <v>9018</v>
      </c>
      <c r="F10" s="1">
        <f t="shared" si="18"/>
        <v>2690</v>
      </c>
      <c r="G10" s="1">
        <f t="shared" si="18"/>
        <v>204.00003800000002</v>
      </c>
      <c r="H10" s="1">
        <f t="shared" si="18"/>
        <v>-3.8000000024851488E-5</v>
      </c>
      <c r="J10" s="19" t="s">
        <v>5</v>
      </c>
      <c r="K10" s="1">
        <f>SUM(K5:K9)</f>
        <v>89</v>
      </c>
      <c r="L10" s="1">
        <f t="shared" ref="L10:O10" si="19">SUM(L5:L9)</f>
        <v>97</v>
      </c>
      <c r="M10" s="1">
        <f t="shared" si="19"/>
        <v>1833</v>
      </c>
      <c r="N10" s="1">
        <f t="shared" si="19"/>
        <v>1935</v>
      </c>
      <c r="O10" s="1">
        <f t="shared" si="19"/>
        <v>1767</v>
      </c>
      <c r="P10" s="1">
        <f>SUM(P5:P9)</f>
        <v>96.999999999999972</v>
      </c>
      <c r="Q10" s="1"/>
      <c r="U10" s="16">
        <v>29</v>
      </c>
      <c r="V10" s="16">
        <v>112</v>
      </c>
      <c r="W10" s="16">
        <f t="shared" si="10"/>
        <v>841</v>
      </c>
      <c r="X10" s="16">
        <f t="shared" si="10"/>
        <v>12544</v>
      </c>
      <c r="Y10" s="16">
        <f t="shared" si="11"/>
        <v>3248</v>
      </c>
      <c r="Z10" s="11">
        <f t="shared" si="12"/>
        <v>118.36494000000002</v>
      </c>
      <c r="AA10" s="14">
        <f t="shared" si="13"/>
        <v>-6.3649400000000185</v>
      </c>
      <c r="AF10" s="16">
        <v>37.6</v>
      </c>
      <c r="AG10" s="16">
        <v>541</v>
      </c>
      <c r="AH10" s="16">
        <f t="shared" si="14"/>
        <v>1413.7600000000002</v>
      </c>
      <c r="AI10" s="16">
        <f t="shared" si="14"/>
        <v>292681</v>
      </c>
      <c r="AJ10" s="16">
        <f t="shared" si="15"/>
        <v>20341.600000000002</v>
      </c>
      <c r="AK10" s="7">
        <f t="shared" si="17"/>
        <v>526.72360849609618</v>
      </c>
      <c r="AL10" s="14">
        <f t="shared" si="16"/>
        <v>14.276391503903824</v>
      </c>
    </row>
    <row r="11" spans="1:38">
      <c r="A11" s="19" t="s">
        <v>54</v>
      </c>
      <c r="B11" s="16">
        <f>AVERAGE(B5:B9)</f>
        <v>11.8</v>
      </c>
      <c r="C11" s="16">
        <f>AVERAGE(C5:C9)</f>
        <v>40.799999999999997</v>
      </c>
      <c r="D11" s="16"/>
      <c r="E11" s="16"/>
      <c r="F11" s="16"/>
      <c r="G11" s="16"/>
      <c r="H11" s="16"/>
      <c r="J11" s="19" t="s">
        <v>54</v>
      </c>
      <c r="K11" s="4">
        <f>AVERAGE(K5:K9)</f>
        <v>17.8</v>
      </c>
      <c r="L11" s="4">
        <f>AVERAGE(L5:L9)</f>
        <v>19.399999999999999</v>
      </c>
      <c r="M11" s="4"/>
      <c r="U11" s="16">
        <v>24</v>
      </c>
      <c r="V11" s="16">
        <v>128</v>
      </c>
      <c r="W11" s="16">
        <f t="shared" si="10"/>
        <v>576</v>
      </c>
      <c r="X11" s="16">
        <f t="shared" si="10"/>
        <v>16384</v>
      </c>
      <c r="Y11" s="16">
        <f t="shared" si="11"/>
        <v>3072</v>
      </c>
      <c r="Z11" s="11">
        <f t="shared" si="12"/>
        <v>122.85614000000001</v>
      </c>
      <c r="AA11" s="14">
        <f t="shared" si="13"/>
        <v>5.1438599999999894</v>
      </c>
      <c r="AF11" s="16">
        <v>6.1</v>
      </c>
      <c r="AG11" s="16">
        <v>89</v>
      </c>
      <c r="AH11" s="16">
        <f t="shared" si="14"/>
        <v>37.209999999999994</v>
      </c>
      <c r="AI11" s="16">
        <f t="shared" si="14"/>
        <v>7921</v>
      </c>
      <c r="AJ11" s="16">
        <f t="shared" si="15"/>
        <v>542.9</v>
      </c>
      <c r="AK11" s="7">
        <f t="shared" si="17"/>
        <v>46.670801575896263</v>
      </c>
      <c r="AL11" s="14">
        <f t="shared" si="16"/>
        <v>42.329198424103737</v>
      </c>
    </row>
    <row r="12" spans="1:38">
      <c r="B12" s="16"/>
      <c r="C12" s="16"/>
      <c r="D12" s="16" t="s">
        <v>46</v>
      </c>
      <c r="E12" s="16">
        <f>(D10-((B10^2)/5))</f>
        <v>122.79999999999995</v>
      </c>
      <c r="F12" s="16"/>
      <c r="G12" s="16"/>
      <c r="H12" s="16"/>
      <c r="K12" s="16"/>
      <c r="L12" s="16"/>
      <c r="M12" s="16" t="s">
        <v>47</v>
      </c>
      <c r="N12" s="16">
        <f>(O10-((K10*L10)/5))</f>
        <v>40.400000000000091</v>
      </c>
      <c r="O12" s="16"/>
      <c r="P12" s="16"/>
      <c r="Q12" s="16"/>
      <c r="T12" s="19" t="s">
        <v>5</v>
      </c>
      <c r="U12" s="1">
        <f>SUM(U5:U11)</f>
        <v>571</v>
      </c>
      <c r="V12" s="1">
        <f t="shared" ref="V12:Y12" si="20">SUM(V5:V11)</f>
        <v>498</v>
      </c>
      <c r="W12" s="1">
        <f t="shared" si="20"/>
        <v>58293</v>
      </c>
      <c r="X12" s="1">
        <f t="shared" si="20"/>
        <v>45154</v>
      </c>
      <c r="Y12" s="1">
        <f t="shared" si="20"/>
        <v>30099</v>
      </c>
      <c r="AF12" s="16">
        <v>16.8</v>
      </c>
      <c r="AG12" s="16">
        <v>126</v>
      </c>
      <c r="AH12" s="16">
        <f t="shared" si="14"/>
        <v>282.24</v>
      </c>
      <c r="AI12" s="16">
        <f t="shared" si="14"/>
        <v>15876</v>
      </c>
      <c r="AJ12" s="16">
        <f t="shared" si="15"/>
        <v>2116.8000000000002</v>
      </c>
      <c r="AK12" s="7">
        <f t="shared" si="17"/>
        <v>209.73635821228169</v>
      </c>
      <c r="AL12" s="14">
        <f t="shared" si="16"/>
        <v>-83.736358212281687</v>
      </c>
    </row>
    <row r="13" spans="1:38">
      <c r="B13" s="16"/>
      <c r="C13" s="16"/>
      <c r="D13" s="16" t="s">
        <v>56</v>
      </c>
      <c r="E13" s="16">
        <f>(F10-((B10*C10)/5))</f>
        <v>282.80000000000018</v>
      </c>
      <c r="F13" s="16"/>
      <c r="G13" s="16"/>
      <c r="H13" s="16"/>
      <c r="K13" s="16"/>
      <c r="L13" s="16"/>
      <c r="M13" s="16" t="s">
        <v>57</v>
      </c>
      <c r="N13" s="16">
        <f>(M10-((K10^2)/5))</f>
        <v>248.79999999999995</v>
      </c>
      <c r="O13" s="16"/>
      <c r="P13" s="16"/>
      <c r="Q13" s="16"/>
      <c r="T13" s="19" t="s">
        <v>54</v>
      </c>
      <c r="U13" s="4">
        <f>AVERAGE(U5:U11)</f>
        <v>81.571428571428569</v>
      </c>
      <c r="V13" s="4">
        <f>AVERAGE(V5:V11)</f>
        <v>71.142857142857139</v>
      </c>
      <c r="AF13" s="16">
        <v>41.2</v>
      </c>
      <c r="AG13" s="16">
        <v>379</v>
      </c>
      <c r="AH13" s="16">
        <f t="shared" si="14"/>
        <v>1697.4400000000003</v>
      </c>
      <c r="AI13" s="16">
        <f t="shared" si="14"/>
        <v>143641</v>
      </c>
      <c r="AJ13" s="16">
        <f t="shared" si="15"/>
        <v>15614.800000000001</v>
      </c>
      <c r="AK13" s="7">
        <f t="shared" si="17"/>
        <v>581.58678642983341</v>
      </c>
      <c r="AL13" s="14">
        <f t="shared" si="16"/>
        <v>-202.58678642983341</v>
      </c>
    </row>
    <row r="14" spans="1:38">
      <c r="B14" s="16"/>
      <c r="C14" s="16"/>
      <c r="D14" s="27" t="s">
        <v>48</v>
      </c>
      <c r="E14" s="27">
        <f>E13/E12</f>
        <v>2.3029315960912076</v>
      </c>
      <c r="F14" s="16"/>
      <c r="G14" s="16"/>
      <c r="H14" s="16"/>
      <c r="K14" s="16"/>
      <c r="L14" s="16"/>
      <c r="M14" s="28" t="s">
        <v>48</v>
      </c>
      <c r="N14" s="28">
        <f>N12/N13</f>
        <v>0.16237942122186536</v>
      </c>
      <c r="O14" s="16"/>
      <c r="P14" s="16"/>
      <c r="Q14" s="16"/>
      <c r="U14" s="7"/>
      <c r="V14" s="7"/>
      <c r="W14" s="7"/>
      <c r="X14" s="7"/>
      <c r="Y14" s="7"/>
      <c r="Z14" s="7"/>
      <c r="AE14" s="19" t="s">
        <v>5</v>
      </c>
      <c r="AF14" s="1">
        <f>SUM(AF6:AF13)</f>
        <v>199.5</v>
      </c>
      <c r="AG14" s="1">
        <f t="shared" ref="AG14:AJ14" si="21">SUM(AG6:AG13)</f>
        <v>2670</v>
      </c>
      <c r="AH14" s="1">
        <f t="shared" si="21"/>
        <v>7667.1500000000005</v>
      </c>
      <c r="AI14" s="1">
        <f t="shared" si="21"/>
        <v>1587328</v>
      </c>
      <c r="AJ14" s="1">
        <f t="shared" si="21"/>
        <v>107610.40000000001</v>
      </c>
    </row>
    <row r="15" spans="1:38">
      <c r="B15" s="16"/>
      <c r="C15" s="16"/>
      <c r="D15" s="27" t="s">
        <v>50</v>
      </c>
      <c r="E15" s="27">
        <f>(C11-(B11*E14))</f>
        <v>13.625407166123747</v>
      </c>
      <c r="F15" s="16"/>
      <c r="G15" s="16"/>
      <c r="H15" s="16"/>
      <c r="K15" s="16"/>
      <c r="L15" s="16"/>
      <c r="M15" s="28" t="s">
        <v>50</v>
      </c>
      <c r="N15" s="28">
        <f>L11-(K11*N14)</f>
        <v>16.509646302250793</v>
      </c>
      <c r="O15" s="16"/>
      <c r="P15" s="16"/>
      <c r="Q15" s="16"/>
      <c r="U15" s="7"/>
      <c r="V15" s="7" t="s">
        <v>56</v>
      </c>
      <c r="W15" s="7">
        <f>(Y12-((U12*V12)/7))</f>
        <v>-10523.571428571428</v>
      </c>
      <c r="X15" s="7"/>
      <c r="Y15" s="7"/>
      <c r="Z15" s="7"/>
      <c r="AE15" s="19" t="s">
        <v>54</v>
      </c>
      <c r="AF15" s="4">
        <f>AVERAGE(AF6:AF13)</f>
        <v>24.9375</v>
      </c>
      <c r="AG15" s="4">
        <f>AVERAGE(AG6:AG13)</f>
        <v>333.75</v>
      </c>
    </row>
    <row r="16" spans="1:38" ht="21">
      <c r="B16" s="16"/>
      <c r="C16" s="16"/>
      <c r="D16" s="16"/>
      <c r="E16" s="77" t="s">
        <v>87</v>
      </c>
      <c r="F16" s="77"/>
      <c r="G16" s="77"/>
      <c r="H16" s="16"/>
      <c r="K16" s="16"/>
      <c r="L16" s="16"/>
      <c r="M16" s="16"/>
      <c r="N16" s="78" t="s">
        <v>91</v>
      </c>
      <c r="O16" s="78"/>
      <c r="P16" s="78"/>
      <c r="Q16" s="78"/>
      <c r="U16" s="7"/>
      <c r="V16" s="7" t="s">
        <v>57</v>
      </c>
      <c r="W16" s="7">
        <f>(W12-((U12^2)/7))</f>
        <v>11715.714285714283</v>
      </c>
      <c r="X16" s="7"/>
      <c r="Y16" s="7"/>
      <c r="Z16" s="7"/>
      <c r="AF16" s="7"/>
      <c r="AG16" s="7" t="s">
        <v>56</v>
      </c>
      <c r="AH16" s="7">
        <f>(AJ14-((AF14*AG14)/8))</f>
        <v>41027.275000000009</v>
      </c>
      <c r="AI16" s="7"/>
      <c r="AJ16" s="7"/>
    </row>
    <row r="17" spans="2:42">
      <c r="U17" s="7"/>
      <c r="V17" s="7" t="s">
        <v>48</v>
      </c>
      <c r="W17" s="7">
        <f>W15/W16</f>
        <v>-0.89824411657115</v>
      </c>
      <c r="X17" s="7"/>
      <c r="Y17" s="7"/>
      <c r="Z17" s="7"/>
      <c r="AF17" s="7"/>
      <c r="AG17" s="7" t="s">
        <v>57</v>
      </c>
      <c r="AH17" s="7">
        <f>(AH14-((AF14^2)/8))</f>
        <v>2692.1187500000005</v>
      </c>
      <c r="AI17" s="7"/>
      <c r="AJ17" s="7"/>
    </row>
    <row r="18" spans="2:42">
      <c r="U18" s="7"/>
      <c r="V18" s="7" t="s">
        <v>50</v>
      </c>
      <c r="W18" s="7">
        <f>(V13-(W17*U13))</f>
        <v>144.41391293744664</v>
      </c>
      <c r="X18" s="7"/>
      <c r="Y18" s="7"/>
      <c r="Z18" s="7"/>
      <c r="AF18" s="7"/>
      <c r="AG18" s="7" t="s">
        <v>48</v>
      </c>
      <c r="AH18" s="7">
        <f>AH16/AH17</f>
        <v>15.239771648260316</v>
      </c>
      <c r="AI18" s="7"/>
      <c r="AJ18" s="7"/>
    </row>
    <row r="19" spans="2:42" ht="19.5">
      <c r="U19" s="7"/>
      <c r="V19" s="7"/>
      <c r="W19" s="67" t="s">
        <v>58</v>
      </c>
      <c r="X19" s="67"/>
      <c r="Y19" s="67"/>
      <c r="Z19" s="67"/>
      <c r="AF19" s="7"/>
      <c r="AG19" s="7" t="s">
        <v>50</v>
      </c>
      <c r="AH19" s="7">
        <f>AG15-(AF15*AH18)</f>
        <v>-46.291805478491654</v>
      </c>
      <c r="AI19" s="7"/>
      <c r="AJ19" s="7"/>
    </row>
    <row r="20" spans="2:42" ht="21">
      <c r="B20" s="72" t="s">
        <v>95</v>
      </c>
      <c r="C20" s="72"/>
      <c r="D20" s="72"/>
      <c r="G20">
        <f>E31</f>
        <v>15.459905660377359</v>
      </c>
      <c r="H20">
        <f>E30</f>
        <v>-0.71462264150943411</v>
      </c>
      <c r="AF20" s="7"/>
      <c r="AG20" s="7"/>
      <c r="AH20" s="64" t="s">
        <v>62</v>
      </c>
      <c r="AI20" s="64"/>
      <c r="AJ20" s="64"/>
    </row>
    <row r="21" spans="2:42" ht="21">
      <c r="C21" s="1" t="s">
        <v>64</v>
      </c>
      <c r="D21" s="1" t="s">
        <v>65</v>
      </c>
      <c r="E21" s="1" t="s">
        <v>2</v>
      </c>
      <c r="F21" s="1" t="s">
        <v>3</v>
      </c>
      <c r="G21" s="1" t="s">
        <v>4</v>
      </c>
      <c r="H21" s="1" t="s">
        <v>85</v>
      </c>
      <c r="I21" s="1" t="s">
        <v>86</v>
      </c>
      <c r="M21" s="72" t="s">
        <v>96</v>
      </c>
      <c r="N21" s="72"/>
      <c r="O21" s="72"/>
      <c r="P21">
        <f>O34</f>
        <v>36.83901815946848</v>
      </c>
      <c r="Q21">
        <f>O33</f>
        <v>7.7204135653052917E-4</v>
      </c>
      <c r="T21" s="69" t="s">
        <v>98</v>
      </c>
      <c r="U21" s="69"/>
      <c r="V21" s="11">
        <v>50.506</v>
      </c>
      <c r="W21" s="11">
        <v>-1.6459999999999999</v>
      </c>
    </row>
    <row r="22" spans="2:42" ht="21">
      <c r="C22" s="15">
        <v>16</v>
      </c>
      <c r="D22" s="15">
        <v>5</v>
      </c>
      <c r="E22" s="15">
        <f>C22^2</f>
        <v>256</v>
      </c>
      <c r="F22" s="15">
        <f>D22^2</f>
        <v>25</v>
      </c>
      <c r="G22" s="15">
        <f>C22*D22</f>
        <v>80</v>
      </c>
      <c r="H22" s="7">
        <f>($G$20+($H$20*C22))</f>
        <v>4.0259433962264133</v>
      </c>
      <c r="I22" s="14">
        <f>D22-H22</f>
        <v>0.97405660377358672</v>
      </c>
      <c r="L22" s="1" t="s">
        <v>71</v>
      </c>
      <c r="M22" s="1" t="s">
        <v>72</v>
      </c>
      <c r="N22" s="1" t="s">
        <v>2</v>
      </c>
      <c r="O22" s="1" t="s">
        <v>3</v>
      </c>
      <c r="P22" s="1" t="s">
        <v>4</v>
      </c>
      <c r="Q22" s="1" t="s">
        <v>85</v>
      </c>
      <c r="R22" s="1" t="s">
        <v>86</v>
      </c>
      <c r="T22" s="1" t="s">
        <v>0</v>
      </c>
      <c r="U22" s="1" t="s">
        <v>1</v>
      </c>
      <c r="V22" s="1" t="s">
        <v>85</v>
      </c>
      <c r="W22" s="1" t="s">
        <v>86</v>
      </c>
      <c r="AB22" s="72" t="s">
        <v>102</v>
      </c>
      <c r="AC22" s="72"/>
      <c r="AD22" s="72"/>
      <c r="AE22">
        <f>AC37</f>
        <v>2.225705871765947</v>
      </c>
      <c r="AF22">
        <f>AC36</f>
        <v>2.5047849280993424E-4</v>
      </c>
      <c r="AI22" s="72" t="s">
        <v>106</v>
      </c>
      <c r="AJ22" s="72"/>
      <c r="AK22" s="72"/>
    </row>
    <row r="23" spans="2:42">
      <c r="C23" s="15">
        <v>6</v>
      </c>
      <c r="D23" s="15">
        <v>12</v>
      </c>
      <c r="E23" s="15">
        <f t="shared" ref="E23:F26" si="22">C23^2</f>
        <v>36</v>
      </c>
      <c r="F23" s="15">
        <f t="shared" si="22"/>
        <v>144</v>
      </c>
      <c r="G23" s="15">
        <f t="shared" ref="G23:G26" si="23">C23*D23</f>
        <v>72</v>
      </c>
      <c r="H23" s="7">
        <f t="shared" ref="H23:H26" si="24">($G$20+($H$20*C23))</f>
        <v>11.172169811320755</v>
      </c>
      <c r="I23" s="14">
        <f t="shared" ref="I23:I26" si="25">D23-H23</f>
        <v>0.82783018867924518</v>
      </c>
      <c r="L23" s="7">
        <v>58.1</v>
      </c>
      <c r="M23" s="7">
        <v>34.299999999999997</v>
      </c>
      <c r="N23" s="7">
        <f>L23^2</f>
        <v>3375.61</v>
      </c>
      <c r="O23" s="7">
        <f>M23^2</f>
        <v>1176.4899999999998</v>
      </c>
      <c r="P23" s="7">
        <f>L23*M23</f>
        <v>1992.83</v>
      </c>
      <c r="Q23" s="24">
        <f>($P$21+($Q$21*L23))</f>
        <v>36.883873762282903</v>
      </c>
      <c r="R23" s="14">
        <f>M23-Q23</f>
        <v>-2.5838737622829058</v>
      </c>
      <c r="T23" s="15">
        <v>5</v>
      </c>
      <c r="U23" s="15">
        <v>47</v>
      </c>
      <c r="V23" s="28">
        <f>($V$21+($W$21*T23))</f>
        <v>42.275999999999996</v>
      </c>
      <c r="W23" s="14">
        <f>U23-V23</f>
        <v>4.7240000000000038</v>
      </c>
      <c r="AA23" s="1" t="s">
        <v>1</v>
      </c>
      <c r="AB23" s="1" t="s">
        <v>0</v>
      </c>
      <c r="AC23" s="1" t="s">
        <v>3</v>
      </c>
      <c r="AD23" s="1" t="s">
        <v>2</v>
      </c>
      <c r="AE23" s="1" t="s">
        <v>104</v>
      </c>
      <c r="AF23" s="1" t="s">
        <v>92</v>
      </c>
      <c r="AG23" s="1" t="s">
        <v>86</v>
      </c>
      <c r="AI23" s="1" t="s">
        <v>0</v>
      </c>
      <c r="AJ23" s="1" t="s">
        <v>86</v>
      </c>
    </row>
    <row r="24" spans="2:42">
      <c r="C24" s="15">
        <v>8</v>
      </c>
      <c r="D24" s="15">
        <v>9</v>
      </c>
      <c r="E24" s="15">
        <f t="shared" si="22"/>
        <v>64</v>
      </c>
      <c r="F24" s="15">
        <f t="shared" si="22"/>
        <v>81</v>
      </c>
      <c r="G24" s="15">
        <f t="shared" si="23"/>
        <v>72</v>
      </c>
      <c r="H24" s="7">
        <f t="shared" si="24"/>
        <v>9.7429245283018862</v>
      </c>
      <c r="I24" s="14">
        <f t="shared" si="25"/>
        <v>-0.74292452830188616</v>
      </c>
      <c r="L24" s="7">
        <v>55.4</v>
      </c>
      <c r="M24" s="7">
        <v>35</v>
      </c>
      <c r="N24" s="7">
        <f t="shared" ref="N24:O28" si="26">L24^2</f>
        <v>3069.16</v>
      </c>
      <c r="O24" s="7">
        <f t="shared" si="26"/>
        <v>1225</v>
      </c>
      <c r="P24" s="7">
        <f t="shared" ref="P24:P28" si="27">L24*M24</f>
        <v>1939</v>
      </c>
      <c r="Q24" s="24">
        <f t="shared" ref="Q24:Q28" si="28">($P$21+($Q$21*L24))</f>
        <v>36.881789250620272</v>
      </c>
      <c r="R24" s="14">
        <f t="shared" ref="R24:R28" si="29">M24-Q24</f>
        <v>-1.8817892506202725</v>
      </c>
      <c r="T24" s="15">
        <v>7</v>
      </c>
      <c r="U24" s="15">
        <v>38</v>
      </c>
      <c r="V24" s="28">
        <f t="shared" ref="V24:V28" si="30">($V$21+($W$21*T24))</f>
        <v>38.984000000000002</v>
      </c>
      <c r="W24" s="14">
        <f t="shared" ref="W24:W28" si="31">U24-V24</f>
        <v>-0.98400000000000176</v>
      </c>
      <c r="AA24" s="16">
        <v>2.64</v>
      </c>
      <c r="AB24" s="16">
        <v>1245</v>
      </c>
      <c r="AC24" s="16">
        <f>AA24^2</f>
        <v>6.9696000000000007</v>
      </c>
      <c r="AD24" s="16">
        <f>AB24^2</f>
        <v>1550025</v>
      </c>
      <c r="AE24" s="16">
        <f>AA24*AB24</f>
        <v>3286.8</v>
      </c>
      <c r="AF24" s="27">
        <f>($AE$22-($AF$22*AB24))</f>
        <v>1.9138601482175788</v>
      </c>
      <c r="AG24" s="14">
        <f>AA24-AF24</f>
        <v>0.72613985178242135</v>
      </c>
      <c r="AI24" s="16">
        <v>213</v>
      </c>
      <c r="AJ24" s="16">
        <v>-11</v>
      </c>
      <c r="AK24" s="16"/>
      <c r="AL24" s="16"/>
      <c r="AM24" s="16"/>
      <c r="AN24" s="16"/>
      <c r="AO24" s="16"/>
      <c r="AP24" s="16"/>
    </row>
    <row r="25" spans="2:42">
      <c r="C25" s="15">
        <v>4</v>
      </c>
      <c r="D25" s="15">
        <v>15</v>
      </c>
      <c r="E25" s="15">
        <f t="shared" si="22"/>
        <v>16</v>
      </c>
      <c r="F25" s="15">
        <f t="shared" si="22"/>
        <v>225</v>
      </c>
      <c r="G25" s="15">
        <f t="shared" si="23"/>
        <v>60</v>
      </c>
      <c r="H25" s="7">
        <f t="shared" si="24"/>
        <v>12.601415094339622</v>
      </c>
      <c r="I25" s="14">
        <f t="shared" si="25"/>
        <v>2.3985849056603783</v>
      </c>
      <c r="L25" s="7">
        <v>57</v>
      </c>
      <c r="M25" s="7">
        <v>38.5</v>
      </c>
      <c r="N25" s="7">
        <f t="shared" si="26"/>
        <v>3249</v>
      </c>
      <c r="O25" s="7">
        <f t="shared" si="26"/>
        <v>1482.25</v>
      </c>
      <c r="P25" s="7">
        <f t="shared" si="27"/>
        <v>2194.5</v>
      </c>
      <c r="Q25" s="24">
        <f t="shared" si="28"/>
        <v>36.883024516790719</v>
      </c>
      <c r="R25" s="14">
        <f t="shared" si="29"/>
        <v>1.6169754832092806</v>
      </c>
      <c r="T25" s="15">
        <v>11</v>
      </c>
      <c r="U25" s="15">
        <v>32</v>
      </c>
      <c r="V25" s="28">
        <f t="shared" si="30"/>
        <v>32.400000000000006</v>
      </c>
      <c r="W25" s="14">
        <f t="shared" si="31"/>
        <v>-0.40000000000000568</v>
      </c>
      <c r="AA25" s="16">
        <v>2.31</v>
      </c>
      <c r="AB25" s="16">
        <v>425</v>
      </c>
      <c r="AC25" s="16">
        <f t="shared" ref="AC25:AC31" si="32">AA25^2</f>
        <v>5.3361000000000001</v>
      </c>
      <c r="AD25" s="16">
        <f t="shared" ref="AD25:AD31" si="33">AB25^2</f>
        <v>180625</v>
      </c>
      <c r="AE25" s="16">
        <f t="shared" ref="AE25:AE31" si="34">AA25*AB25</f>
        <v>981.75</v>
      </c>
      <c r="AF25" s="27">
        <f t="shared" ref="AF25:AF31" si="35">($AE$22-($AF$22*AB25))</f>
        <v>2.119252512321725</v>
      </c>
      <c r="AG25" s="14">
        <f t="shared" ref="AG25:AG31" si="36">AA25-AF25</f>
        <v>0.1907474876782751</v>
      </c>
      <c r="AI25" s="16">
        <v>216</v>
      </c>
      <c r="AJ25" s="16">
        <v>-5</v>
      </c>
      <c r="AK25" s="16"/>
      <c r="AL25" s="16"/>
      <c r="AM25" s="16"/>
      <c r="AN25" s="16"/>
      <c r="AO25" s="16"/>
      <c r="AP25" s="16"/>
    </row>
    <row r="26" spans="2:42">
      <c r="C26" s="15">
        <v>7</v>
      </c>
      <c r="D26" s="15">
        <v>7</v>
      </c>
      <c r="E26" s="15">
        <f t="shared" si="22"/>
        <v>49</v>
      </c>
      <c r="F26" s="15">
        <f t="shared" si="22"/>
        <v>49</v>
      </c>
      <c r="G26" s="15">
        <f t="shared" si="23"/>
        <v>49</v>
      </c>
      <c r="H26" s="7">
        <f t="shared" si="24"/>
        <v>10.45754716981132</v>
      </c>
      <c r="I26" s="14">
        <f t="shared" si="25"/>
        <v>-3.4575471698113205</v>
      </c>
      <c r="L26" s="7">
        <v>58.5</v>
      </c>
      <c r="M26" s="7">
        <v>40.1</v>
      </c>
      <c r="N26" s="7">
        <f t="shared" si="26"/>
        <v>3422.25</v>
      </c>
      <c r="O26" s="7">
        <f t="shared" si="26"/>
        <v>1608.0100000000002</v>
      </c>
      <c r="P26" s="7">
        <f t="shared" si="27"/>
        <v>2345.85</v>
      </c>
      <c r="Q26" s="24">
        <f t="shared" si="28"/>
        <v>36.884182578825516</v>
      </c>
      <c r="R26" s="14">
        <f t="shared" si="29"/>
        <v>3.215817421174485</v>
      </c>
      <c r="T26" s="15">
        <v>12</v>
      </c>
      <c r="U26" s="15">
        <v>24</v>
      </c>
      <c r="V26" s="28">
        <f t="shared" si="30"/>
        <v>30.754000000000001</v>
      </c>
      <c r="W26" s="14">
        <f t="shared" si="31"/>
        <v>-6.7540000000000013</v>
      </c>
      <c r="AA26" s="16">
        <v>2.4500000000000002</v>
      </c>
      <c r="AB26" s="16">
        <v>1346</v>
      </c>
      <c r="AC26" s="16">
        <f t="shared" si="32"/>
        <v>6.0025000000000013</v>
      </c>
      <c r="AD26" s="16">
        <f t="shared" si="33"/>
        <v>1811716</v>
      </c>
      <c r="AE26" s="16">
        <f t="shared" si="34"/>
        <v>3297.7000000000003</v>
      </c>
      <c r="AF26" s="27">
        <f t="shared" si="35"/>
        <v>1.8885618204437755</v>
      </c>
      <c r="AG26" s="14">
        <f t="shared" si="36"/>
        <v>0.56143817955622466</v>
      </c>
      <c r="AI26" s="16">
        <v>227</v>
      </c>
      <c r="AJ26" s="16">
        <v>-2</v>
      </c>
      <c r="AK26" s="16"/>
      <c r="AL26" s="16"/>
      <c r="AM26" s="16"/>
      <c r="AN26" s="16"/>
      <c r="AO26" s="16"/>
      <c r="AP26" s="16"/>
    </row>
    <row r="27" spans="2:42">
      <c r="B27" t="s">
        <v>5</v>
      </c>
      <c r="C27" s="1">
        <f>SUM(C22:C26)</f>
        <v>41</v>
      </c>
      <c r="D27" s="1">
        <f>SUM(D22:D26)</f>
        <v>48</v>
      </c>
      <c r="E27" s="1">
        <f>SUM(E22:E26)</f>
        <v>421</v>
      </c>
      <c r="F27" s="1">
        <f>SUM(F22:F26)</f>
        <v>524</v>
      </c>
      <c r="G27" s="1">
        <f>SUM(G22:G26)</f>
        <v>333</v>
      </c>
      <c r="L27" s="7">
        <v>57.4</v>
      </c>
      <c r="M27" s="7">
        <v>35.5</v>
      </c>
      <c r="N27" s="7">
        <f t="shared" si="26"/>
        <v>3294.7599999999998</v>
      </c>
      <c r="O27" s="7">
        <f t="shared" si="26"/>
        <v>1260.25</v>
      </c>
      <c r="P27" s="7">
        <f t="shared" si="27"/>
        <v>2037.7</v>
      </c>
      <c r="Q27" s="24">
        <f t="shared" si="28"/>
        <v>36.883333333333333</v>
      </c>
      <c r="R27" s="14">
        <f t="shared" si="29"/>
        <v>-1.3833333333333329</v>
      </c>
      <c r="T27" s="15">
        <v>19</v>
      </c>
      <c r="U27" s="15">
        <v>22</v>
      </c>
      <c r="V27" s="28">
        <f t="shared" si="30"/>
        <v>19.232000000000003</v>
      </c>
      <c r="W27" s="14">
        <f t="shared" si="31"/>
        <v>2.7679999999999971</v>
      </c>
      <c r="AA27" s="16">
        <v>2.52</v>
      </c>
      <c r="AB27" s="16">
        <v>973</v>
      </c>
      <c r="AC27" s="16">
        <f t="shared" si="32"/>
        <v>6.3504000000000005</v>
      </c>
      <c r="AD27" s="16">
        <f t="shared" si="33"/>
        <v>946729</v>
      </c>
      <c r="AE27" s="16">
        <f t="shared" si="34"/>
        <v>2451.96</v>
      </c>
      <c r="AF27" s="27">
        <f t="shared" si="35"/>
        <v>1.9819902982618811</v>
      </c>
      <c r="AG27" s="14">
        <f t="shared" si="36"/>
        <v>0.53800970173811891</v>
      </c>
      <c r="AI27" s="16">
        <v>229</v>
      </c>
      <c r="AJ27" s="16">
        <v>-1</v>
      </c>
      <c r="AK27" s="16"/>
      <c r="AL27" s="16"/>
      <c r="AM27" s="16"/>
      <c r="AN27" s="16"/>
      <c r="AO27" s="16"/>
      <c r="AP27" s="16"/>
    </row>
    <row r="28" spans="2:42">
      <c r="B28" s="24" t="s">
        <v>68</v>
      </c>
      <c r="C28" s="24">
        <f>AVERAGE(C22:C26)</f>
        <v>8.1999999999999993</v>
      </c>
      <c r="D28" s="27" t="s">
        <v>47</v>
      </c>
      <c r="E28" s="27">
        <f>(G27-((C27*D27)/5))</f>
        <v>-60.600000000000023</v>
      </c>
      <c r="F28" s="27"/>
      <c r="G28" s="27"/>
      <c r="H28" s="27"/>
      <c r="L28" s="7">
        <v>58</v>
      </c>
      <c r="M28" s="7">
        <v>37.9</v>
      </c>
      <c r="N28" s="7">
        <f t="shared" si="26"/>
        <v>3364</v>
      </c>
      <c r="O28" s="7">
        <f t="shared" si="26"/>
        <v>1436.4099999999999</v>
      </c>
      <c r="P28" s="7">
        <f t="shared" si="27"/>
        <v>2198.1999999999998</v>
      </c>
      <c r="Q28" s="24">
        <f t="shared" si="28"/>
        <v>36.883796558147253</v>
      </c>
      <c r="R28" s="14">
        <f t="shared" si="29"/>
        <v>1.0162034418527455</v>
      </c>
      <c r="T28" s="15">
        <v>25</v>
      </c>
      <c r="U28" s="15">
        <v>10</v>
      </c>
      <c r="V28" s="28">
        <f t="shared" si="30"/>
        <v>9.3560000000000016</v>
      </c>
      <c r="W28" s="14">
        <f t="shared" si="31"/>
        <v>0.64399999999999835</v>
      </c>
      <c r="AA28" s="16">
        <v>2.19</v>
      </c>
      <c r="AB28" s="16">
        <v>255</v>
      </c>
      <c r="AC28" s="16">
        <f t="shared" si="32"/>
        <v>4.7961</v>
      </c>
      <c r="AD28" s="16">
        <f t="shared" si="33"/>
        <v>65025</v>
      </c>
      <c r="AE28" s="16">
        <f t="shared" si="34"/>
        <v>558.44999999999993</v>
      </c>
      <c r="AF28" s="27">
        <f t="shared" si="35"/>
        <v>2.1618338560994137</v>
      </c>
      <c r="AG28" s="14">
        <f t="shared" si="36"/>
        <v>2.8166143900586249E-2</v>
      </c>
      <c r="AI28" s="16">
        <v>237</v>
      </c>
      <c r="AJ28" s="16">
        <v>6</v>
      </c>
      <c r="AK28" s="16"/>
      <c r="AL28" s="16"/>
      <c r="AM28" s="16"/>
      <c r="AN28" s="16"/>
      <c r="AO28" s="16"/>
      <c r="AP28" s="16"/>
    </row>
    <row r="29" spans="2:42" ht="18.75">
      <c r="B29" s="24" t="s">
        <v>67</v>
      </c>
      <c r="C29" s="24">
        <f>AVERAGE(D22:D26)</f>
        <v>9.6</v>
      </c>
      <c r="D29" s="27" t="s">
        <v>57</v>
      </c>
      <c r="E29" s="27">
        <f>(E27-((C27^2)/5))</f>
        <v>84.800000000000011</v>
      </c>
      <c r="F29" s="27"/>
      <c r="G29" s="27"/>
      <c r="H29" s="27"/>
      <c r="K29" s="19" t="s">
        <v>5</v>
      </c>
      <c r="L29" s="1">
        <f>SUM(L23:L28)</f>
        <v>344.4</v>
      </c>
      <c r="M29" s="1">
        <f t="shared" ref="M29:P29" si="37">SUM(M23:M28)</f>
        <v>221.3</v>
      </c>
      <c r="N29" s="1">
        <f t="shared" si="37"/>
        <v>19774.78</v>
      </c>
      <c r="O29" s="1">
        <f t="shared" si="37"/>
        <v>8188.41</v>
      </c>
      <c r="P29" s="1">
        <f t="shared" si="37"/>
        <v>12708.080000000002</v>
      </c>
      <c r="R29" s="14">
        <f>SUM(R23:R28)</f>
        <v>0</v>
      </c>
      <c r="U29" s="17" t="s">
        <v>100</v>
      </c>
      <c r="V29" s="32" t="s">
        <v>99</v>
      </c>
      <c r="W29" s="32"/>
      <c r="AA29" s="16">
        <v>2.5499999999999998</v>
      </c>
      <c r="AB29" s="16">
        <v>865</v>
      </c>
      <c r="AC29" s="16">
        <f t="shared" si="32"/>
        <v>6.5024999999999995</v>
      </c>
      <c r="AD29" s="16">
        <f t="shared" si="33"/>
        <v>748225</v>
      </c>
      <c r="AE29" s="16">
        <f t="shared" si="34"/>
        <v>2205.75</v>
      </c>
      <c r="AF29" s="27">
        <f t="shared" si="35"/>
        <v>2.0090419754853537</v>
      </c>
      <c r="AG29" s="14">
        <f t="shared" si="36"/>
        <v>0.54095802451464614</v>
      </c>
      <c r="AI29" s="16">
        <v>247</v>
      </c>
      <c r="AJ29" s="16">
        <v>10</v>
      </c>
      <c r="AK29" s="16"/>
      <c r="AL29" s="16"/>
      <c r="AM29" s="16"/>
      <c r="AN29" s="16"/>
      <c r="AO29" s="16"/>
      <c r="AP29" s="16"/>
    </row>
    <row r="30" spans="2:42" ht="18.75">
      <c r="D30" s="27" t="s">
        <v>48</v>
      </c>
      <c r="E30" s="27">
        <f>E28/E29</f>
        <v>-0.71462264150943411</v>
      </c>
      <c r="F30" s="27"/>
      <c r="G30" s="27"/>
      <c r="H30" s="27"/>
      <c r="K30" s="19" t="s">
        <v>54</v>
      </c>
      <c r="L30" s="5">
        <f>AVERAGE(L23:L28)</f>
        <v>57.4</v>
      </c>
      <c r="M30" s="5">
        <f>AVERAGE(M23:M28)</f>
        <v>36.883333333333333</v>
      </c>
      <c r="U30" s="75" t="s">
        <v>101</v>
      </c>
      <c r="V30" s="75"/>
      <c r="W30" s="75"/>
      <c r="X30" s="75"/>
      <c r="AA30" s="16">
        <v>2.4</v>
      </c>
      <c r="AB30" s="16">
        <v>1080</v>
      </c>
      <c r="AC30" s="16">
        <f t="shared" si="32"/>
        <v>5.76</v>
      </c>
      <c r="AD30" s="16">
        <f t="shared" si="33"/>
        <v>1166400</v>
      </c>
      <c r="AE30" s="16">
        <f t="shared" si="34"/>
        <v>2592</v>
      </c>
      <c r="AF30" s="27">
        <f t="shared" si="35"/>
        <v>1.955189099531218</v>
      </c>
      <c r="AG30" s="14">
        <f t="shared" si="36"/>
        <v>0.44481090046878191</v>
      </c>
      <c r="AI30" s="16">
        <v>263</v>
      </c>
      <c r="AJ30" s="16">
        <v>12</v>
      </c>
      <c r="AK30" s="16"/>
      <c r="AL30" s="16"/>
      <c r="AM30" s="16"/>
      <c r="AN30" s="16"/>
      <c r="AO30" s="16"/>
      <c r="AP30" s="16"/>
    </row>
    <row r="31" spans="2:42">
      <c r="D31" s="27" t="s">
        <v>66</v>
      </c>
      <c r="E31" s="27">
        <f>(C29-(C28*E30))</f>
        <v>15.459905660377359</v>
      </c>
      <c r="F31" s="27"/>
      <c r="G31" s="27"/>
      <c r="H31" s="27"/>
      <c r="L31" s="7"/>
      <c r="M31" s="7"/>
      <c r="N31" s="7" t="s">
        <v>73</v>
      </c>
      <c r="O31" s="7">
        <f>(P29-((L29*M29)/6))</f>
        <v>5.4600000000009459</v>
      </c>
      <c r="P31" s="7"/>
      <c r="AA31" s="16">
        <v>2.37</v>
      </c>
      <c r="AB31" s="16">
        <v>296</v>
      </c>
      <c r="AC31" s="16">
        <f t="shared" si="32"/>
        <v>5.6169000000000002</v>
      </c>
      <c r="AD31" s="16">
        <f t="shared" si="33"/>
        <v>87616</v>
      </c>
      <c r="AE31" s="16">
        <f t="shared" si="34"/>
        <v>701.52</v>
      </c>
      <c r="AF31" s="27">
        <f t="shared" si="35"/>
        <v>2.1515642378942066</v>
      </c>
      <c r="AG31" s="14">
        <f t="shared" si="36"/>
        <v>0.21843576210579352</v>
      </c>
      <c r="AI31" s="16"/>
      <c r="AJ31" s="16"/>
      <c r="AK31" s="16"/>
      <c r="AL31" s="16"/>
      <c r="AM31" s="16"/>
      <c r="AN31" s="16"/>
      <c r="AO31" s="16"/>
      <c r="AP31" s="16"/>
    </row>
    <row r="32" spans="2:42" ht="21">
      <c r="D32" s="27"/>
      <c r="E32" s="27"/>
      <c r="F32" s="26" t="s">
        <v>69</v>
      </c>
      <c r="G32" s="26"/>
      <c r="H32" s="24"/>
      <c r="L32" s="7"/>
      <c r="M32" s="7"/>
      <c r="N32" s="7" t="s">
        <v>74</v>
      </c>
      <c r="O32" s="7">
        <f>(N29-((L29*M29)/6))</f>
        <v>7072.159999999998</v>
      </c>
      <c r="P32" s="7"/>
      <c r="Z32" s="12" t="s">
        <v>103</v>
      </c>
      <c r="AA32" s="1">
        <f>SUM(AA24:AA31)</f>
        <v>19.43</v>
      </c>
      <c r="AB32" s="1">
        <f t="shared" ref="AB32:AE32" si="38">SUM(AB24:AB31)</f>
        <v>6485</v>
      </c>
      <c r="AC32" s="1">
        <f t="shared" si="38"/>
        <v>47.334099999999999</v>
      </c>
      <c r="AD32" s="1">
        <f t="shared" si="38"/>
        <v>6556361</v>
      </c>
      <c r="AE32" s="1">
        <f t="shared" si="38"/>
        <v>16075.93</v>
      </c>
      <c r="AI32" s="16"/>
      <c r="AJ32" s="16"/>
      <c r="AK32" s="16"/>
      <c r="AL32" s="16"/>
      <c r="AM32" s="16"/>
      <c r="AN32" s="16"/>
      <c r="AO32" s="16"/>
      <c r="AP32" s="16"/>
    </row>
    <row r="33" spans="3:42">
      <c r="L33" s="7"/>
      <c r="M33" s="7"/>
      <c r="N33" s="7" t="s">
        <v>55</v>
      </c>
      <c r="O33" s="7">
        <f>O31/O32</f>
        <v>7.7204135653052917E-4</v>
      </c>
      <c r="P33" s="7"/>
      <c r="Z33" s="12" t="s">
        <v>54</v>
      </c>
      <c r="AA33" s="7">
        <f>AVERAGE(AA24:AA31)</f>
        <v>2.42875</v>
      </c>
      <c r="AB33" s="7">
        <f>AVERAGE(AB24:AB31)</f>
        <v>810.625</v>
      </c>
      <c r="AI33" s="16"/>
      <c r="AJ33" s="16"/>
      <c r="AK33" s="16"/>
      <c r="AL33" s="16"/>
      <c r="AM33" s="16"/>
      <c r="AN33" s="16"/>
      <c r="AO33" s="16"/>
      <c r="AP33" s="16"/>
    </row>
    <row r="34" spans="3:42">
      <c r="L34" s="7"/>
      <c r="M34" s="7"/>
      <c r="N34" s="7" t="s">
        <v>66</v>
      </c>
      <c r="O34" s="7">
        <f>(M30-(O33*L30))</f>
        <v>36.83901815946848</v>
      </c>
      <c r="P34" s="7"/>
      <c r="AA34" s="16"/>
      <c r="AB34" s="16" t="s">
        <v>47</v>
      </c>
      <c r="AC34" s="16">
        <f>(AE32-((AA32*AB32)/8))</f>
        <v>325.48624999999993</v>
      </c>
      <c r="AD34" s="16"/>
      <c r="AE34" s="16"/>
      <c r="AF34" s="16"/>
      <c r="AG34" s="16"/>
      <c r="AI34" s="16"/>
      <c r="AJ34" s="16"/>
      <c r="AK34" s="16"/>
      <c r="AL34" s="16"/>
      <c r="AM34" s="16"/>
      <c r="AN34" s="16"/>
      <c r="AO34" s="16"/>
      <c r="AP34" s="16"/>
    </row>
    <row r="35" spans="3:42" ht="21">
      <c r="L35" s="7"/>
      <c r="M35" s="7"/>
      <c r="N35" s="7"/>
      <c r="O35" s="63" t="s">
        <v>76</v>
      </c>
      <c r="P35" s="63"/>
      <c r="Q35" s="63"/>
      <c r="AA35" s="16"/>
      <c r="AB35" s="16" t="s">
        <v>57</v>
      </c>
      <c r="AC35" s="16">
        <f>(AD32-((AB32^2)/8))</f>
        <v>1299457.875</v>
      </c>
      <c r="AD35" s="16"/>
      <c r="AE35" s="16"/>
      <c r="AF35" s="16"/>
      <c r="AG35" s="16"/>
      <c r="AI35" s="16"/>
      <c r="AJ35" s="16"/>
      <c r="AK35" s="16"/>
      <c r="AL35" s="16"/>
      <c r="AM35" s="16"/>
      <c r="AN35" s="16"/>
      <c r="AO35" s="16"/>
      <c r="AP35" s="16"/>
    </row>
    <row r="36" spans="3:42" ht="22.5">
      <c r="E36" s="104" t="s">
        <v>112</v>
      </c>
      <c r="F36" s="104"/>
      <c r="G36" s="104"/>
      <c r="L36" s="18"/>
      <c r="M36" s="18"/>
      <c r="N36" s="18"/>
      <c r="O36" s="18"/>
      <c r="P36" s="18"/>
      <c r="Q36" s="18"/>
      <c r="R36" s="105" t="s">
        <v>110</v>
      </c>
      <c r="S36" s="105"/>
      <c r="T36" s="105"/>
      <c r="U36" s="18"/>
      <c r="V36" s="18"/>
      <c r="W36" s="18"/>
      <c r="X36" s="18"/>
      <c r="AA36" s="16"/>
      <c r="AB36" s="16" t="s">
        <v>48</v>
      </c>
      <c r="AC36" s="16">
        <f>AC34/AC35</f>
        <v>2.5047849280993424E-4</v>
      </c>
      <c r="AD36" s="16"/>
      <c r="AE36" s="16"/>
      <c r="AF36" s="16"/>
      <c r="AG36" s="16"/>
      <c r="AI36" s="16"/>
      <c r="AJ36" s="16"/>
      <c r="AK36" s="16"/>
      <c r="AL36" s="16"/>
      <c r="AM36" s="16"/>
      <c r="AN36" s="16"/>
      <c r="AO36" s="16"/>
      <c r="AP36" s="16"/>
    </row>
    <row r="37" spans="3:42">
      <c r="L37" s="18"/>
      <c r="M37" s="18"/>
      <c r="N37" s="18"/>
      <c r="O37" s="18"/>
      <c r="P37" s="18"/>
      <c r="Q37" s="18"/>
      <c r="R37" s="34" t="s">
        <v>0</v>
      </c>
      <c r="S37" s="34" t="s">
        <v>86</v>
      </c>
      <c r="T37" s="18"/>
      <c r="U37" s="18"/>
      <c r="V37" s="18"/>
      <c r="W37" s="18"/>
      <c r="X37" s="18"/>
      <c r="AA37" s="16"/>
      <c r="AB37" s="16" t="s">
        <v>50</v>
      </c>
      <c r="AC37" s="16">
        <f>AA33-(AB33*AC36)</f>
        <v>2.225705871765947</v>
      </c>
      <c r="AD37" s="16"/>
      <c r="AE37" s="16"/>
      <c r="AF37" s="16"/>
      <c r="AG37" s="16"/>
      <c r="AI37" s="16"/>
      <c r="AJ37" s="16"/>
      <c r="AK37" s="16"/>
      <c r="AL37" s="16"/>
      <c r="AM37" s="16"/>
      <c r="AN37" s="16"/>
      <c r="AO37" s="16"/>
      <c r="AP37" s="16"/>
    </row>
    <row r="38" spans="3:42" ht="18.75">
      <c r="L38" s="18"/>
      <c r="M38" s="18"/>
      <c r="N38" s="18"/>
      <c r="O38" s="18"/>
      <c r="P38" s="18"/>
      <c r="Q38" s="18"/>
      <c r="R38" s="18">
        <v>10</v>
      </c>
      <c r="S38" s="18">
        <v>6</v>
      </c>
      <c r="T38" s="18"/>
      <c r="U38" s="18"/>
      <c r="V38" s="18"/>
      <c r="W38" s="18"/>
      <c r="X38" s="18"/>
      <c r="AA38" s="16"/>
      <c r="AB38" s="16"/>
      <c r="AC38" s="76" t="s">
        <v>105</v>
      </c>
      <c r="AD38" s="76"/>
      <c r="AE38" s="76"/>
      <c r="AF38" s="16"/>
      <c r="AG38" s="16"/>
      <c r="AI38" s="16"/>
      <c r="AJ38" s="16"/>
      <c r="AK38" s="16"/>
      <c r="AL38" s="16"/>
      <c r="AM38" s="16"/>
      <c r="AN38" s="16"/>
      <c r="AO38" s="16"/>
      <c r="AP38" s="16"/>
    </row>
    <row r="39" spans="3:42">
      <c r="L39" s="18"/>
      <c r="M39" s="18"/>
      <c r="N39" s="18"/>
      <c r="O39" s="18"/>
      <c r="P39" s="18"/>
      <c r="Q39" s="18"/>
      <c r="R39" s="18">
        <v>11</v>
      </c>
      <c r="S39" s="18">
        <v>3</v>
      </c>
      <c r="T39" s="18"/>
      <c r="U39" s="18"/>
      <c r="V39" s="18"/>
      <c r="W39" s="18"/>
      <c r="X39" s="18"/>
      <c r="AI39" s="16"/>
      <c r="AJ39" s="16"/>
      <c r="AK39" s="16"/>
      <c r="AL39" s="16"/>
      <c r="AM39" s="16"/>
      <c r="AN39" s="16"/>
      <c r="AO39" s="16"/>
      <c r="AP39" s="16"/>
    </row>
    <row r="40" spans="3:42">
      <c r="L40" s="18"/>
      <c r="M40" s="18"/>
      <c r="N40" s="18"/>
      <c r="O40" s="18"/>
      <c r="P40" s="18"/>
      <c r="Q40" s="18"/>
      <c r="R40" s="18">
        <v>12</v>
      </c>
      <c r="S40" s="18">
        <v>-1</v>
      </c>
      <c r="T40" s="18"/>
      <c r="U40" s="18"/>
      <c r="V40" s="33"/>
      <c r="W40" s="18"/>
      <c r="X40" s="18"/>
      <c r="AI40" s="16" t="s">
        <v>107</v>
      </c>
      <c r="AJ40" s="16"/>
      <c r="AK40" s="16"/>
      <c r="AL40" s="16"/>
      <c r="AM40" s="16"/>
      <c r="AN40" s="16"/>
      <c r="AO40" s="16"/>
      <c r="AP40" s="16"/>
    </row>
    <row r="41" spans="3:42">
      <c r="L41" s="18"/>
      <c r="M41" s="18"/>
      <c r="N41" s="18"/>
      <c r="O41" s="18"/>
      <c r="P41" s="18"/>
      <c r="Q41" s="18"/>
      <c r="R41" s="18">
        <v>13</v>
      </c>
      <c r="S41" s="18">
        <v>-11</v>
      </c>
      <c r="T41" s="18"/>
      <c r="U41" s="18"/>
      <c r="V41" s="18"/>
      <c r="W41" s="18"/>
      <c r="X41" s="18"/>
      <c r="AI41" s="16"/>
      <c r="AJ41" s="16" t="s">
        <v>108</v>
      </c>
      <c r="AK41" s="16"/>
      <c r="AL41" s="16"/>
      <c r="AM41" s="16"/>
      <c r="AN41" s="16"/>
      <c r="AO41" s="16"/>
      <c r="AP41" s="16"/>
    </row>
    <row r="42" spans="3:42">
      <c r="L42" s="18"/>
      <c r="M42" s="18"/>
      <c r="N42" s="18"/>
      <c r="O42" s="18"/>
      <c r="P42" s="18"/>
      <c r="Q42" s="18"/>
      <c r="R42" s="18">
        <v>14</v>
      </c>
      <c r="S42" s="18">
        <v>-3</v>
      </c>
      <c r="T42" s="18"/>
      <c r="U42" s="18"/>
      <c r="V42" s="18"/>
      <c r="W42" s="18"/>
      <c r="X42" s="18"/>
      <c r="AI42" s="16"/>
      <c r="AJ42" s="16" t="s">
        <v>109</v>
      </c>
      <c r="AK42" s="16"/>
      <c r="AL42" s="16"/>
      <c r="AM42" s="16"/>
      <c r="AN42" s="16"/>
      <c r="AO42" s="16"/>
      <c r="AP42" s="16"/>
    </row>
    <row r="43" spans="3:42">
      <c r="L43" s="18"/>
      <c r="M43" s="18"/>
      <c r="N43" s="18"/>
      <c r="O43" s="18"/>
      <c r="P43" s="18"/>
      <c r="Q43" s="18"/>
      <c r="R43" s="18">
        <v>15</v>
      </c>
      <c r="S43" s="18">
        <v>2</v>
      </c>
      <c r="T43" s="18"/>
      <c r="U43" s="18"/>
      <c r="V43" s="18"/>
      <c r="W43" s="18"/>
      <c r="X43" s="18"/>
      <c r="AI43" s="16" t="s">
        <v>120</v>
      </c>
      <c r="AJ43" s="16"/>
      <c r="AK43" s="16"/>
      <c r="AL43" s="16"/>
      <c r="AM43" s="16"/>
      <c r="AN43" s="16"/>
      <c r="AO43" s="16"/>
      <c r="AP43" s="16"/>
    </row>
    <row r="44" spans="3:42">
      <c r="L44" s="18"/>
      <c r="M44" s="18"/>
      <c r="N44" s="18"/>
      <c r="O44" s="18"/>
      <c r="P44" s="18"/>
      <c r="Q44" s="18"/>
      <c r="R44" s="18">
        <v>16</v>
      </c>
      <c r="S44" s="18">
        <v>5</v>
      </c>
      <c r="T44" s="18"/>
      <c r="U44" s="18"/>
      <c r="V44" s="18"/>
      <c r="W44" s="18"/>
      <c r="X44" s="18"/>
    </row>
    <row r="45" spans="3:42">
      <c r="L45" s="18"/>
      <c r="M45" s="18"/>
      <c r="N45" s="18"/>
      <c r="O45" s="18"/>
      <c r="P45" s="18"/>
      <c r="Q45" s="18"/>
      <c r="R45" s="18">
        <v>17</v>
      </c>
      <c r="S45" s="18">
        <v>8</v>
      </c>
      <c r="T45" s="18"/>
      <c r="U45" s="18"/>
      <c r="V45" s="18"/>
      <c r="W45" s="18"/>
      <c r="X45" s="18"/>
    </row>
    <row r="46" spans="3:42"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3:42" ht="24.75">
      <c r="C47" s="73" t="s">
        <v>118</v>
      </c>
      <c r="D47" s="73"/>
      <c r="E47" s="73"/>
      <c r="F47" s="73"/>
      <c r="G47" s="73"/>
      <c r="H47" s="73"/>
      <c r="I47" s="73"/>
      <c r="L47" s="18"/>
      <c r="M47" s="35" t="s">
        <v>111</v>
      </c>
      <c r="N47" s="35"/>
      <c r="O47" s="35"/>
      <c r="P47" s="35"/>
      <c r="Q47" s="35"/>
      <c r="R47" s="35"/>
      <c r="S47" s="18"/>
      <c r="T47" s="18"/>
      <c r="U47" s="18"/>
      <c r="V47" s="18"/>
      <c r="W47" s="18"/>
      <c r="X47" s="18"/>
    </row>
    <row r="48" spans="3:42">
      <c r="C48" s="73"/>
      <c r="D48" s="73"/>
      <c r="E48" s="73"/>
      <c r="F48" s="73"/>
      <c r="G48" s="73"/>
      <c r="H48" s="73"/>
      <c r="I48" s="73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3:13">
      <c r="C49" s="73" t="s">
        <v>119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</row>
  </sheetData>
  <mergeCells count="20">
    <mergeCell ref="AB22:AD22"/>
    <mergeCell ref="B2:D2"/>
    <mergeCell ref="K3:M3"/>
    <mergeCell ref="N16:Q16"/>
    <mergeCell ref="B20:D20"/>
    <mergeCell ref="M21:O21"/>
    <mergeCell ref="I1:P1"/>
    <mergeCell ref="AI22:AK22"/>
    <mergeCell ref="E36:G36"/>
    <mergeCell ref="C47:I48"/>
    <mergeCell ref="C49:M49"/>
    <mergeCell ref="O35:Q35"/>
    <mergeCell ref="T21:U21"/>
    <mergeCell ref="U30:X30"/>
    <mergeCell ref="AC38:AE38"/>
    <mergeCell ref="W19:Z19"/>
    <mergeCell ref="U3:W3"/>
    <mergeCell ref="AH20:AJ20"/>
    <mergeCell ref="AF2:AH2"/>
    <mergeCell ref="E16:G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44"/>
  <sheetViews>
    <sheetView zoomScale="40" zoomScaleNormal="40" workbookViewId="0">
      <selection activeCell="W26" sqref="W26:Y26"/>
    </sheetView>
  </sheetViews>
  <sheetFormatPr defaultRowHeight="15"/>
  <cols>
    <col min="25" max="25" width="11.140625" bestFit="1" customWidth="1"/>
    <col min="42" max="42" width="12" bestFit="1" customWidth="1"/>
  </cols>
  <sheetData>
    <row r="1" spans="2:43" ht="21">
      <c r="G1" s="72" t="s">
        <v>178</v>
      </c>
      <c r="H1" s="70"/>
      <c r="I1" s="70"/>
      <c r="J1" s="70"/>
      <c r="K1" s="70"/>
      <c r="L1" s="70"/>
      <c r="Y1" s="72" t="s">
        <v>126</v>
      </c>
      <c r="Z1" s="72"/>
      <c r="AA1" s="72"/>
    </row>
    <row r="2" spans="2:43" ht="21">
      <c r="N2" s="72" t="s">
        <v>125</v>
      </c>
      <c r="O2" s="72"/>
      <c r="P2" s="72"/>
      <c r="R2" s="7">
        <v>144.41390000000001</v>
      </c>
      <c r="S2" s="12">
        <v>-0.89824000000000004</v>
      </c>
      <c r="AI2" s="72" t="s">
        <v>133</v>
      </c>
      <c r="AJ2" s="72"/>
      <c r="AK2" s="72"/>
      <c r="AN2">
        <f>AL13</f>
        <v>15.459905660377359</v>
      </c>
      <c r="AO2">
        <f>AL12</f>
        <v>-0.71462264150943411</v>
      </c>
    </row>
    <row r="3" spans="2:43" ht="21">
      <c r="B3" s="72" t="s">
        <v>113</v>
      </c>
      <c r="C3" s="72"/>
      <c r="D3" s="72"/>
      <c r="G3">
        <f>F15</f>
        <v>16.509646302250793</v>
      </c>
      <c r="H3">
        <f>F14</f>
        <v>0.16237942122186536</v>
      </c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92</v>
      </c>
      <c r="T3" s="1" t="s">
        <v>86</v>
      </c>
      <c r="U3" s="1" t="s">
        <v>114</v>
      </c>
      <c r="Y3" s="1" t="s">
        <v>60</v>
      </c>
      <c r="Z3" s="1" t="s">
        <v>61</v>
      </c>
      <c r="AC3">
        <v>-46.291805478491654</v>
      </c>
      <c r="AD3">
        <v>15.239771648260316</v>
      </c>
      <c r="AJ3" s="1" t="s">
        <v>64</v>
      </c>
      <c r="AK3" s="1" t="s">
        <v>65</v>
      </c>
      <c r="AL3" s="1" t="s">
        <v>2</v>
      </c>
      <c r="AM3" s="1" t="s">
        <v>3</v>
      </c>
      <c r="AN3" s="1" t="s">
        <v>4</v>
      </c>
      <c r="AO3" s="1" t="s">
        <v>85</v>
      </c>
      <c r="AP3" s="1" t="s">
        <v>86</v>
      </c>
      <c r="AQ3" s="1" t="s">
        <v>114</v>
      </c>
    </row>
    <row r="4" spans="2:4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85</v>
      </c>
      <c r="I4" s="1" t="s">
        <v>86</v>
      </c>
      <c r="J4" s="1" t="s">
        <v>114</v>
      </c>
      <c r="N4" s="16">
        <v>140</v>
      </c>
      <c r="O4" s="16">
        <v>25</v>
      </c>
      <c r="P4" s="16">
        <f>N4^2</f>
        <v>19600</v>
      </c>
      <c r="Q4" s="16">
        <f>O4^2</f>
        <v>625</v>
      </c>
      <c r="R4" s="16">
        <f>N4*O4</f>
        <v>3500</v>
      </c>
      <c r="S4" s="11">
        <f>($R$2+($S$2*N4))</f>
        <v>18.660300000000007</v>
      </c>
      <c r="T4" s="14">
        <f>O4-S4</f>
        <v>6.3396999999999935</v>
      </c>
      <c r="U4">
        <f>T4^2</f>
        <v>40.191796089999919</v>
      </c>
      <c r="Y4" s="1" t="s">
        <v>0</v>
      </c>
      <c r="Z4" s="1" t="s">
        <v>1</v>
      </c>
      <c r="AA4" s="1" t="s">
        <v>2</v>
      </c>
      <c r="AB4" s="1" t="s">
        <v>3</v>
      </c>
      <c r="AC4" s="1" t="s">
        <v>4</v>
      </c>
      <c r="AD4" s="1" t="s">
        <v>92</v>
      </c>
      <c r="AE4" s="1" t="s">
        <v>86</v>
      </c>
      <c r="AF4" s="1" t="s">
        <v>114</v>
      </c>
      <c r="AJ4" s="15">
        <v>16</v>
      </c>
      <c r="AK4" s="15">
        <v>5</v>
      </c>
      <c r="AL4" s="15">
        <f>AJ4^2</f>
        <v>256</v>
      </c>
      <c r="AM4" s="15">
        <f>AK4^2</f>
        <v>25</v>
      </c>
      <c r="AN4" s="15">
        <f>AJ4*AK4</f>
        <v>80</v>
      </c>
      <c r="AO4" s="7">
        <f>($AN$2+($AO$2*AJ4))</f>
        <v>4.0259433962264133</v>
      </c>
      <c r="AP4" s="14">
        <f>AK4-AO4</f>
        <v>0.97405660377358672</v>
      </c>
      <c r="AQ4" s="24">
        <f>AP4^2</f>
        <v>0.9487862673549341</v>
      </c>
    </row>
    <row r="5" spans="2:43">
      <c r="C5" s="16">
        <v>12</v>
      </c>
      <c r="D5" s="16">
        <v>17</v>
      </c>
      <c r="E5" s="16">
        <f>C5^2</f>
        <v>144</v>
      </c>
      <c r="F5" s="16">
        <f>D5^2</f>
        <v>289</v>
      </c>
      <c r="G5" s="16">
        <f>C5*D5</f>
        <v>204</v>
      </c>
      <c r="H5" s="7">
        <f>$G$3 +($H$3*C5)</f>
        <v>18.458199356913177</v>
      </c>
      <c r="I5" s="14">
        <f>D5-H5</f>
        <v>-1.4581993569131768</v>
      </c>
      <c r="J5">
        <f>I5^2</f>
        <v>2.1263453645020025</v>
      </c>
      <c r="N5" s="16">
        <v>119</v>
      </c>
      <c r="O5" s="16">
        <v>29</v>
      </c>
      <c r="P5" s="16">
        <f t="shared" ref="P5:Q10" si="0">N5^2</f>
        <v>14161</v>
      </c>
      <c r="Q5" s="16">
        <f t="shared" si="0"/>
        <v>841</v>
      </c>
      <c r="R5" s="16">
        <f t="shared" ref="R5:R10" si="1">N5*O5</f>
        <v>3451</v>
      </c>
      <c r="S5" s="11">
        <f t="shared" ref="S5:S10" si="2">($R$2+($S$2*N5))</f>
        <v>37.523340000000005</v>
      </c>
      <c r="T5" s="14">
        <f t="shared" ref="T5:T10" si="3">O5-S5</f>
        <v>-8.5233400000000046</v>
      </c>
      <c r="U5">
        <f t="shared" ref="U5:U10" si="4">T5^2</f>
        <v>72.647324755600081</v>
      </c>
      <c r="Y5" s="16">
        <v>12.5</v>
      </c>
      <c r="Z5" s="16">
        <v>148</v>
      </c>
      <c r="AA5" s="16">
        <f>Y5^2</f>
        <v>156.25</v>
      </c>
      <c r="AB5" s="16">
        <f>Z5^2</f>
        <v>21904</v>
      </c>
      <c r="AC5" s="16">
        <f>Y5*Z5</f>
        <v>1850</v>
      </c>
      <c r="AD5" s="7">
        <f>($AC$3+($AD$3*Y5))</f>
        <v>144.2053401247623</v>
      </c>
      <c r="AE5" s="14">
        <f>Z5-AD5</f>
        <v>3.7946598752376985</v>
      </c>
      <c r="AF5">
        <f>AE5^2</f>
        <v>14.399443568738986</v>
      </c>
      <c r="AJ5" s="15">
        <v>6</v>
      </c>
      <c r="AK5" s="15">
        <v>12</v>
      </c>
      <c r="AL5" s="15">
        <f t="shared" ref="AL5:AM8" si="5">AJ5^2</f>
        <v>36</v>
      </c>
      <c r="AM5" s="15">
        <f t="shared" si="5"/>
        <v>144</v>
      </c>
      <c r="AN5" s="15">
        <f t="shared" ref="AN5:AN8" si="6">AJ5*AK5</f>
        <v>72</v>
      </c>
      <c r="AO5" s="7">
        <f t="shared" ref="AO5:AO8" si="7">($AN$2+($AO$2*AJ5))</f>
        <v>11.172169811320755</v>
      </c>
      <c r="AP5" s="14">
        <f t="shared" ref="AP5:AP8" si="8">AK5-AO5</f>
        <v>0.82783018867924518</v>
      </c>
      <c r="AQ5" s="24">
        <f t="shared" ref="AQ5:AQ8" si="9">AP5^2</f>
        <v>0.68530282128871467</v>
      </c>
    </row>
    <row r="6" spans="2:43">
      <c r="C6" s="16">
        <v>21</v>
      </c>
      <c r="D6" s="16">
        <v>15</v>
      </c>
      <c r="E6" s="16">
        <f t="shared" ref="E6:F9" si="10">C6^2</f>
        <v>441</v>
      </c>
      <c r="F6" s="16">
        <f t="shared" si="10"/>
        <v>225</v>
      </c>
      <c r="G6" s="16">
        <f t="shared" ref="G6:G9" si="11">C6*D6</f>
        <v>315</v>
      </c>
      <c r="H6" s="7">
        <f t="shared" ref="H6:H9" si="12">$G$3 +($H$3*C6)</f>
        <v>19.919614147909964</v>
      </c>
      <c r="I6" s="14">
        <f t="shared" ref="I6:I9" si="13">D6-H6</f>
        <v>-4.9196141479099644</v>
      </c>
      <c r="J6">
        <f t="shared" ref="J6:J9" si="14">I6^2</f>
        <v>24.202603364315884</v>
      </c>
      <c r="N6" s="16">
        <v>103</v>
      </c>
      <c r="O6" s="16">
        <v>46</v>
      </c>
      <c r="P6" s="16">
        <f t="shared" si="0"/>
        <v>10609</v>
      </c>
      <c r="Q6" s="16">
        <f t="shared" si="0"/>
        <v>2116</v>
      </c>
      <c r="R6" s="16">
        <f t="shared" si="1"/>
        <v>4738</v>
      </c>
      <c r="S6" s="11">
        <f t="shared" si="2"/>
        <v>51.895180000000011</v>
      </c>
      <c r="T6" s="14">
        <f t="shared" si="3"/>
        <v>-5.8951800000000105</v>
      </c>
      <c r="U6">
        <f t="shared" si="4"/>
        <v>34.753147232400124</v>
      </c>
      <c r="Y6" s="16">
        <v>3.7</v>
      </c>
      <c r="Z6" s="16">
        <v>55</v>
      </c>
      <c r="AA6" s="16">
        <f t="shared" ref="AA6:AB12" si="15">Y6^2</f>
        <v>13.690000000000001</v>
      </c>
      <c r="AB6" s="16">
        <f t="shared" si="15"/>
        <v>3025</v>
      </c>
      <c r="AC6" s="16">
        <f t="shared" ref="AC6:AC12" si="16">Y6*Z6</f>
        <v>203.5</v>
      </c>
      <c r="AD6" s="7">
        <f t="shared" ref="AD6:AD12" si="17">($AC$3+($AD$3*Y6))</f>
        <v>10.095349620071516</v>
      </c>
      <c r="AE6" s="14">
        <f t="shared" ref="AE6:AE12" si="18">Z6-AD6</f>
        <v>44.904650379928484</v>
      </c>
      <c r="AF6">
        <f t="shared" ref="AF6:AF12" si="19">AE6^2</f>
        <v>2016.4276257436113</v>
      </c>
      <c r="AJ6" s="15">
        <v>8</v>
      </c>
      <c r="AK6" s="15">
        <v>9</v>
      </c>
      <c r="AL6" s="15">
        <f t="shared" si="5"/>
        <v>64</v>
      </c>
      <c r="AM6" s="15">
        <f t="shared" si="5"/>
        <v>81</v>
      </c>
      <c r="AN6" s="15">
        <f t="shared" si="6"/>
        <v>72</v>
      </c>
      <c r="AO6" s="7">
        <f t="shared" si="7"/>
        <v>9.7429245283018862</v>
      </c>
      <c r="AP6" s="14">
        <f t="shared" si="8"/>
        <v>-0.74292452830188616</v>
      </c>
      <c r="AQ6" s="24">
        <f t="shared" si="9"/>
        <v>0.55193685475258003</v>
      </c>
    </row>
    <row r="7" spans="2:43">
      <c r="C7" s="16">
        <v>28</v>
      </c>
      <c r="D7" s="16">
        <v>22</v>
      </c>
      <c r="E7" s="16">
        <f t="shared" si="10"/>
        <v>784</v>
      </c>
      <c r="F7" s="16">
        <f t="shared" si="10"/>
        <v>484</v>
      </c>
      <c r="G7" s="16">
        <f t="shared" si="11"/>
        <v>616</v>
      </c>
      <c r="H7" s="7">
        <f t="shared" si="12"/>
        <v>21.056270096463024</v>
      </c>
      <c r="I7" s="14">
        <f t="shared" si="13"/>
        <v>0.94372990353697617</v>
      </c>
      <c r="J7">
        <f t="shared" si="14"/>
        <v>0.89062613082991038</v>
      </c>
      <c r="N7" s="16">
        <v>91</v>
      </c>
      <c r="O7" s="16">
        <v>70</v>
      </c>
      <c r="P7" s="16">
        <f t="shared" si="0"/>
        <v>8281</v>
      </c>
      <c r="Q7" s="16">
        <f t="shared" si="0"/>
        <v>4900</v>
      </c>
      <c r="R7" s="16">
        <f t="shared" si="1"/>
        <v>6370</v>
      </c>
      <c r="S7" s="11">
        <f t="shared" si="2"/>
        <v>62.674060000000011</v>
      </c>
      <c r="T7" s="14">
        <f t="shared" si="3"/>
        <v>7.3259399999999886</v>
      </c>
      <c r="U7">
        <f t="shared" si="4"/>
        <v>53.669396883599831</v>
      </c>
      <c r="Y7" s="16">
        <v>21.6</v>
      </c>
      <c r="Z7" s="16">
        <v>338</v>
      </c>
      <c r="AA7" s="16">
        <f t="shared" si="15"/>
        <v>466.56000000000006</v>
      </c>
      <c r="AB7" s="16">
        <f t="shared" si="15"/>
        <v>114244</v>
      </c>
      <c r="AC7" s="16">
        <f t="shared" si="16"/>
        <v>7300.8</v>
      </c>
      <c r="AD7" s="7">
        <f t="shared" si="17"/>
        <v>282.88726212393118</v>
      </c>
      <c r="AE7" s="14">
        <f t="shared" si="18"/>
        <v>55.11273787606882</v>
      </c>
      <c r="AF7">
        <f t="shared" si="19"/>
        <v>3037.4138761962708</v>
      </c>
      <c r="AJ7" s="15">
        <v>4</v>
      </c>
      <c r="AK7" s="15">
        <v>15</v>
      </c>
      <c r="AL7" s="15">
        <f t="shared" si="5"/>
        <v>16</v>
      </c>
      <c r="AM7" s="15">
        <f t="shared" si="5"/>
        <v>225</v>
      </c>
      <c r="AN7" s="15">
        <f t="shared" si="6"/>
        <v>60</v>
      </c>
      <c r="AO7" s="7">
        <f t="shared" si="7"/>
        <v>12.601415094339622</v>
      </c>
      <c r="AP7" s="14">
        <f t="shared" si="8"/>
        <v>2.3985849056603783</v>
      </c>
      <c r="AQ7" s="24">
        <f t="shared" si="9"/>
        <v>5.7532095496618059</v>
      </c>
    </row>
    <row r="8" spans="2:43">
      <c r="C8" s="16">
        <v>8</v>
      </c>
      <c r="D8" s="16">
        <v>19</v>
      </c>
      <c r="E8" s="16">
        <f t="shared" si="10"/>
        <v>64</v>
      </c>
      <c r="F8" s="16">
        <f t="shared" si="10"/>
        <v>361</v>
      </c>
      <c r="G8" s="16">
        <f t="shared" si="11"/>
        <v>152</v>
      </c>
      <c r="H8" s="7">
        <f t="shared" si="12"/>
        <v>17.808681672025717</v>
      </c>
      <c r="I8" s="14">
        <f t="shared" si="13"/>
        <v>1.1913183279742832</v>
      </c>
      <c r="J8">
        <f t="shared" si="14"/>
        <v>1.4192393585674417</v>
      </c>
      <c r="N8" s="16">
        <v>65</v>
      </c>
      <c r="O8" s="16">
        <v>88</v>
      </c>
      <c r="P8" s="16">
        <f t="shared" si="0"/>
        <v>4225</v>
      </c>
      <c r="Q8" s="16">
        <f t="shared" si="0"/>
        <v>7744</v>
      </c>
      <c r="R8" s="16">
        <f t="shared" si="1"/>
        <v>5720</v>
      </c>
      <c r="S8" s="11">
        <f t="shared" si="2"/>
        <v>86.028300000000002</v>
      </c>
      <c r="T8" s="14">
        <f t="shared" si="3"/>
        <v>1.9716999999999985</v>
      </c>
      <c r="U8">
        <f t="shared" si="4"/>
        <v>3.8876008899999941</v>
      </c>
      <c r="Y8" s="16">
        <v>60</v>
      </c>
      <c r="Z8" s="16">
        <v>994</v>
      </c>
      <c r="AA8" s="16">
        <f t="shared" si="15"/>
        <v>3600</v>
      </c>
      <c r="AB8" s="16">
        <f t="shared" si="15"/>
        <v>988036</v>
      </c>
      <c r="AC8" s="16">
        <f t="shared" si="16"/>
        <v>59640</v>
      </c>
      <c r="AD8" s="7">
        <f t="shared" si="17"/>
        <v>868.0944934171273</v>
      </c>
      <c r="AE8" s="14">
        <f t="shared" si="18"/>
        <v>125.9055065828727</v>
      </c>
      <c r="AF8">
        <f t="shared" si="19"/>
        <v>15852.196587889801</v>
      </c>
      <c r="AJ8" s="15">
        <v>7</v>
      </c>
      <c r="AK8" s="15">
        <v>7</v>
      </c>
      <c r="AL8" s="15">
        <f t="shared" si="5"/>
        <v>49</v>
      </c>
      <c r="AM8" s="15">
        <f t="shared" si="5"/>
        <v>49</v>
      </c>
      <c r="AN8" s="15">
        <f t="shared" si="6"/>
        <v>49</v>
      </c>
      <c r="AO8" s="7">
        <f t="shared" si="7"/>
        <v>10.45754716981132</v>
      </c>
      <c r="AP8" s="14">
        <f t="shared" si="8"/>
        <v>-3.4575471698113205</v>
      </c>
      <c r="AQ8" s="24">
        <f t="shared" si="9"/>
        <v>11.954632431470273</v>
      </c>
    </row>
    <row r="9" spans="2:43">
      <c r="C9" s="16">
        <v>20</v>
      </c>
      <c r="D9" s="16">
        <v>24</v>
      </c>
      <c r="E9" s="16">
        <f t="shared" si="10"/>
        <v>400</v>
      </c>
      <c r="F9" s="16">
        <f t="shared" si="10"/>
        <v>576</v>
      </c>
      <c r="G9" s="16">
        <f t="shared" si="11"/>
        <v>480</v>
      </c>
      <c r="H9" s="7">
        <f t="shared" si="12"/>
        <v>19.7572347266881</v>
      </c>
      <c r="I9" s="14">
        <f t="shared" si="13"/>
        <v>4.2427652733118997</v>
      </c>
      <c r="J9">
        <f t="shared" si="14"/>
        <v>18.0010571644214</v>
      </c>
      <c r="N9" s="16">
        <v>29</v>
      </c>
      <c r="O9" s="16">
        <v>112</v>
      </c>
      <c r="P9" s="16">
        <f t="shared" si="0"/>
        <v>841</v>
      </c>
      <c r="Q9" s="16">
        <f t="shared" si="0"/>
        <v>12544</v>
      </c>
      <c r="R9" s="16">
        <f t="shared" si="1"/>
        <v>3248</v>
      </c>
      <c r="S9" s="11">
        <f t="shared" si="2"/>
        <v>118.36494000000002</v>
      </c>
      <c r="T9" s="14">
        <f t="shared" si="3"/>
        <v>-6.3649400000000185</v>
      </c>
      <c r="U9">
        <f t="shared" si="4"/>
        <v>40.512461203600232</v>
      </c>
      <c r="Y9" s="16">
        <v>37.6</v>
      </c>
      <c r="Z9" s="16">
        <v>541</v>
      </c>
      <c r="AA9" s="16">
        <f t="shared" si="15"/>
        <v>1413.7600000000002</v>
      </c>
      <c r="AB9" s="16">
        <f t="shared" si="15"/>
        <v>292681</v>
      </c>
      <c r="AC9" s="16">
        <f t="shared" si="16"/>
        <v>20341.600000000002</v>
      </c>
      <c r="AD9" s="7">
        <f t="shared" si="17"/>
        <v>526.72360849609618</v>
      </c>
      <c r="AE9" s="14">
        <f t="shared" si="18"/>
        <v>14.276391503903824</v>
      </c>
      <c r="AF9">
        <f t="shared" si="19"/>
        <v>203.81535437273729</v>
      </c>
      <c r="AI9" t="s">
        <v>5</v>
      </c>
      <c r="AJ9" s="1">
        <f>SUM(AJ4:AJ8)</f>
        <v>41</v>
      </c>
      <c r="AK9" s="1">
        <f>SUM(AK4:AK8)</f>
        <v>48</v>
      </c>
      <c r="AL9" s="1">
        <f>SUM(AL4:AL8)</f>
        <v>421</v>
      </c>
      <c r="AM9" s="1">
        <f>SUM(AM4:AM8)</f>
        <v>524</v>
      </c>
      <c r="AN9" s="1">
        <f>SUM(AN4:AN8)</f>
        <v>333</v>
      </c>
      <c r="AP9" s="37"/>
      <c r="AQ9" s="1">
        <f>SUM(AQ4:AQ8)</f>
        <v>19.893867924528308</v>
      </c>
    </row>
    <row r="10" spans="2:43">
      <c r="B10" s="19" t="s">
        <v>5</v>
      </c>
      <c r="C10" s="1">
        <f>SUM(C5:C9)</f>
        <v>89</v>
      </c>
      <c r="D10" s="1">
        <f t="shared" ref="D10:G10" si="20">SUM(D5:D9)</f>
        <v>97</v>
      </c>
      <c r="E10" s="1">
        <f t="shared" si="20"/>
        <v>1833</v>
      </c>
      <c r="F10" s="1">
        <f t="shared" si="20"/>
        <v>1935</v>
      </c>
      <c r="G10" s="1">
        <f t="shared" si="20"/>
        <v>1767</v>
      </c>
      <c r="H10" s="1">
        <f>SUM(H5:H9)</f>
        <v>96.999999999999972</v>
      </c>
      <c r="I10" s="1"/>
      <c r="J10" s="1">
        <f>SUM(J5:J9)</f>
        <v>46.639871382636642</v>
      </c>
      <c r="N10" s="16">
        <v>24</v>
      </c>
      <c r="O10" s="16">
        <v>128</v>
      </c>
      <c r="P10" s="16">
        <f t="shared" si="0"/>
        <v>576</v>
      </c>
      <c r="Q10" s="16">
        <f t="shared" si="0"/>
        <v>16384</v>
      </c>
      <c r="R10" s="16">
        <f t="shared" si="1"/>
        <v>3072</v>
      </c>
      <c r="S10" s="11">
        <f t="shared" si="2"/>
        <v>122.85614000000001</v>
      </c>
      <c r="T10" s="14">
        <f t="shared" si="3"/>
        <v>5.1438599999999894</v>
      </c>
      <c r="U10">
        <f t="shared" si="4"/>
        <v>26.459295699599892</v>
      </c>
      <c r="Y10" s="16">
        <v>6.1</v>
      </c>
      <c r="Z10" s="16">
        <v>89</v>
      </c>
      <c r="AA10" s="16">
        <f t="shared" si="15"/>
        <v>37.209999999999994</v>
      </c>
      <c r="AB10" s="16">
        <f t="shared" si="15"/>
        <v>7921</v>
      </c>
      <c r="AC10" s="16">
        <f t="shared" si="16"/>
        <v>542.9</v>
      </c>
      <c r="AD10" s="7">
        <f t="shared" si="17"/>
        <v>46.670801575896263</v>
      </c>
      <c r="AE10" s="14">
        <f t="shared" si="18"/>
        <v>42.329198424103737</v>
      </c>
      <c r="AF10">
        <f t="shared" si="19"/>
        <v>1791.7610392271463</v>
      </c>
      <c r="AI10" s="24" t="s">
        <v>68</v>
      </c>
      <c r="AJ10" s="24">
        <f>AVERAGE(AJ4:AJ8)</f>
        <v>8.1999999999999993</v>
      </c>
      <c r="AK10" s="27" t="s">
        <v>47</v>
      </c>
      <c r="AL10" s="27">
        <f>(AN9-((AJ9*AK9)/5))</f>
        <v>-60.600000000000023</v>
      </c>
      <c r="AM10" s="27"/>
      <c r="AN10" s="27"/>
      <c r="AO10" s="27"/>
    </row>
    <row r="11" spans="2:43">
      <c r="B11" s="19" t="s">
        <v>54</v>
      </c>
      <c r="C11" s="4">
        <f>AVERAGE(C5:C9)</f>
        <v>17.8</v>
      </c>
      <c r="D11" s="4">
        <f>AVERAGE(D5:D9)</f>
        <v>19.399999999999999</v>
      </c>
      <c r="E11" s="4"/>
      <c r="M11" s="36" t="s">
        <v>5</v>
      </c>
      <c r="N11" s="1">
        <f>SUM(N4:N10)</f>
        <v>571</v>
      </c>
      <c r="O11" s="1">
        <f t="shared" ref="O11:R11" si="21">SUM(O4:O10)</f>
        <v>498</v>
      </c>
      <c r="P11" s="1">
        <f t="shared" si="21"/>
        <v>58293</v>
      </c>
      <c r="Q11" s="1">
        <f t="shared" si="21"/>
        <v>45154</v>
      </c>
      <c r="R11" s="1">
        <f t="shared" si="21"/>
        <v>30099</v>
      </c>
      <c r="T11" s="14">
        <f>SUM(T4:T10)</f>
        <v>-2.2600000000636555E-3</v>
      </c>
      <c r="U11" s="1">
        <f>SUM(U4:U10)</f>
        <v>272.12102275480004</v>
      </c>
      <c r="Y11" s="16">
        <v>16.8</v>
      </c>
      <c r="Z11" s="16">
        <v>126</v>
      </c>
      <c r="AA11" s="16">
        <f t="shared" si="15"/>
        <v>282.24</v>
      </c>
      <c r="AB11" s="16">
        <f t="shared" si="15"/>
        <v>15876</v>
      </c>
      <c r="AC11" s="16">
        <f t="shared" si="16"/>
        <v>2116.8000000000002</v>
      </c>
      <c r="AD11" s="7">
        <f t="shared" si="17"/>
        <v>209.73635821228169</v>
      </c>
      <c r="AE11" s="14">
        <f t="shared" si="18"/>
        <v>-83.736358212281687</v>
      </c>
      <c r="AF11">
        <f t="shared" si="19"/>
        <v>7011.777686655555</v>
      </c>
      <c r="AI11" s="24" t="s">
        <v>67</v>
      </c>
      <c r="AJ11" s="24">
        <f>AVERAGE(AK4:AK8)</f>
        <v>9.6</v>
      </c>
      <c r="AK11" s="27" t="s">
        <v>57</v>
      </c>
      <c r="AL11" s="27">
        <f>(AL9-((AJ9^2)/5))</f>
        <v>84.800000000000011</v>
      </c>
      <c r="AM11" s="27"/>
      <c r="AN11" s="27"/>
      <c r="AO11" s="27"/>
    </row>
    <row r="12" spans="2:43">
      <c r="C12" s="16"/>
      <c r="D12" s="16"/>
      <c r="E12" s="16" t="s">
        <v>47</v>
      </c>
      <c r="F12" s="16">
        <f>(G10-((C10*D10)/5))</f>
        <v>40.400000000000091</v>
      </c>
      <c r="G12" s="16"/>
      <c r="H12" s="16"/>
      <c r="I12" s="16"/>
      <c r="M12" s="36" t="s">
        <v>54</v>
      </c>
      <c r="N12" s="4">
        <f>AVERAGE(N4:N10)</f>
        <v>81.571428571428569</v>
      </c>
      <c r="O12" s="4">
        <f>AVERAGE(O4:O10)</f>
        <v>71.142857142857139</v>
      </c>
      <c r="Y12" s="16">
        <v>41.2</v>
      </c>
      <c r="Z12" s="16">
        <v>379</v>
      </c>
      <c r="AA12" s="16">
        <f t="shared" si="15"/>
        <v>1697.4400000000003</v>
      </c>
      <c r="AB12" s="16">
        <f t="shared" si="15"/>
        <v>143641</v>
      </c>
      <c r="AC12" s="16">
        <f t="shared" si="16"/>
        <v>15614.800000000001</v>
      </c>
      <c r="AD12" s="7">
        <f t="shared" si="17"/>
        <v>581.58678642983341</v>
      </c>
      <c r="AE12" s="14">
        <f t="shared" si="18"/>
        <v>-202.58678642983341</v>
      </c>
      <c r="AF12">
        <f t="shared" si="19"/>
        <v>41041.406035966931</v>
      </c>
      <c r="AK12" s="27" t="s">
        <v>48</v>
      </c>
      <c r="AL12" s="27">
        <f>AL10/AL11</f>
        <v>-0.71462264150943411</v>
      </c>
      <c r="AM12" s="27"/>
      <c r="AN12" s="27"/>
      <c r="AO12" s="27"/>
    </row>
    <row r="13" spans="2:43">
      <c r="C13" s="16"/>
      <c r="D13" s="16"/>
      <c r="E13" s="16" t="s">
        <v>57</v>
      </c>
      <c r="F13" s="16">
        <f>(E10-((C10^2)/5))</f>
        <v>248.79999999999995</v>
      </c>
      <c r="G13" s="16"/>
      <c r="H13" s="16"/>
      <c r="I13" s="16"/>
      <c r="N13" s="7"/>
      <c r="O13" s="7"/>
      <c r="P13" s="7"/>
      <c r="Q13" s="7"/>
      <c r="R13" s="7"/>
      <c r="S13" s="7"/>
      <c r="Y13" s="1">
        <f>SUM(Y5:Y12)</f>
        <v>199.5</v>
      </c>
      <c r="Z13" s="1">
        <f t="shared" ref="Z13:AC13" si="22">SUM(Z5:Z12)</f>
        <v>2670</v>
      </c>
      <c r="AA13" s="1">
        <f t="shared" si="22"/>
        <v>7667.1500000000005</v>
      </c>
      <c r="AB13" s="1">
        <f t="shared" si="22"/>
        <v>1587328</v>
      </c>
      <c r="AC13" s="1">
        <f t="shared" si="22"/>
        <v>107610.40000000001</v>
      </c>
      <c r="AE13" s="14">
        <f>SUM(AE5:AE12)</f>
        <v>0</v>
      </c>
      <c r="AF13" s="1">
        <f>SUM(AF5:AF12)</f>
        <v>70969.197649620794</v>
      </c>
      <c r="AK13" s="27" t="s">
        <v>66</v>
      </c>
      <c r="AL13" s="27">
        <f>(AJ11-(AJ10*AL12))</f>
        <v>15.459905660377359</v>
      </c>
      <c r="AM13" s="27"/>
      <c r="AN13" s="27"/>
      <c r="AO13" s="27"/>
    </row>
    <row r="14" spans="2:43" ht="21">
      <c r="C14" s="16"/>
      <c r="D14" s="16"/>
      <c r="E14" s="28" t="s">
        <v>48</v>
      </c>
      <c r="F14" s="28">
        <f>F12/F13</f>
        <v>0.16237942122186536</v>
      </c>
      <c r="G14" s="16"/>
      <c r="H14" s="16"/>
      <c r="I14" s="16"/>
      <c r="N14" s="7"/>
      <c r="O14" s="7" t="s">
        <v>56</v>
      </c>
      <c r="P14" s="7">
        <f>(R11-((N11*O11)/7))</f>
        <v>-10523.571428571428</v>
      </c>
      <c r="Q14" s="7"/>
      <c r="R14" s="7"/>
      <c r="S14" s="7"/>
      <c r="Y14" s="4">
        <f>AVERAGE(Y5:Y12)</f>
        <v>24.9375</v>
      </c>
      <c r="Z14" s="4">
        <f>AVERAGE(Z5:Z12)</f>
        <v>333.75</v>
      </c>
      <c r="AK14" s="27"/>
      <c r="AL14" s="27"/>
      <c r="AM14" s="26" t="s">
        <v>69</v>
      </c>
      <c r="AN14" s="26"/>
      <c r="AO14" s="24"/>
    </row>
    <row r="15" spans="2:43">
      <c r="C15" s="16"/>
      <c r="D15" s="16"/>
      <c r="E15" s="28" t="s">
        <v>50</v>
      </c>
      <c r="F15" s="28">
        <f>D11-(C11*F14)</f>
        <v>16.509646302250793</v>
      </c>
      <c r="G15" s="16"/>
      <c r="H15" s="16"/>
      <c r="I15" s="16"/>
      <c r="N15" s="7"/>
      <c r="O15" s="7" t="s">
        <v>57</v>
      </c>
      <c r="P15" s="7">
        <f>(P11-((N11^2)/7))</f>
        <v>11715.714285714283</v>
      </c>
      <c r="Q15" s="7"/>
      <c r="R15" s="7"/>
      <c r="S15" s="7"/>
      <c r="Y15" s="7"/>
      <c r="Z15" s="7" t="s">
        <v>56</v>
      </c>
      <c r="AA15" s="7">
        <f>(AC13-((Y13*Z13)/8))</f>
        <v>41027.275000000009</v>
      </c>
      <c r="AB15" s="7"/>
      <c r="AC15" s="7"/>
    </row>
    <row r="16" spans="2:43" ht="21">
      <c r="C16" s="16"/>
      <c r="D16" s="16"/>
      <c r="E16" s="16"/>
      <c r="F16" s="78" t="s">
        <v>91</v>
      </c>
      <c r="G16" s="78"/>
      <c r="H16" s="78"/>
      <c r="I16" s="78"/>
      <c r="N16" s="7"/>
      <c r="O16" s="7" t="s">
        <v>48</v>
      </c>
      <c r="P16" s="7">
        <f>P14/P15</f>
        <v>-0.89824411657115</v>
      </c>
      <c r="Q16" s="7"/>
      <c r="R16" s="7"/>
      <c r="S16" s="7"/>
      <c r="Y16" s="7"/>
      <c r="Z16" s="7" t="s">
        <v>57</v>
      </c>
      <c r="AA16" s="7">
        <f>(AA13-((Y13^2)/8))</f>
        <v>2692.1187500000005</v>
      </c>
      <c r="AB16" s="7"/>
      <c r="AC16" s="7"/>
      <c r="AK16" s="61" t="s">
        <v>127</v>
      </c>
      <c r="AL16" s="61"/>
      <c r="AM16" s="61"/>
      <c r="AN16" s="1">
        <f>(AQ9/3)^0.5</f>
        <v>2.5751289886481614</v>
      </c>
    </row>
    <row r="17" spans="1:46">
      <c r="N17" s="7"/>
      <c r="O17" s="7" t="s">
        <v>50</v>
      </c>
      <c r="P17" s="7">
        <f>(O12-(P16*N12))</f>
        <v>144.41391293744664</v>
      </c>
      <c r="Q17" s="7"/>
      <c r="R17" s="7"/>
      <c r="S17" s="7"/>
      <c r="Y17" s="7"/>
      <c r="Z17" s="7" t="s">
        <v>48</v>
      </c>
      <c r="AA17" s="7">
        <f>AA15/AA16</f>
        <v>15.239771648260316</v>
      </c>
      <c r="AB17" s="7"/>
      <c r="AC17" s="7"/>
      <c r="AK17" s="82" t="s">
        <v>132</v>
      </c>
      <c r="AL17" s="82"/>
      <c r="AM17" s="82"/>
      <c r="AN17" s="82"/>
      <c r="AO17" s="82"/>
      <c r="AP17" s="82"/>
      <c r="AQ17" s="82"/>
      <c r="AR17" s="82"/>
      <c r="AS17" s="82"/>
      <c r="AT17" s="82"/>
    </row>
    <row r="18" spans="1:46" ht="19.5">
      <c r="N18" s="7"/>
      <c r="O18" s="7"/>
      <c r="P18" s="67" t="s">
        <v>58</v>
      </c>
      <c r="Q18" s="67"/>
      <c r="R18" s="67"/>
      <c r="S18" s="67"/>
      <c r="Y18" s="7"/>
      <c r="Z18" s="7" t="s">
        <v>50</v>
      </c>
      <c r="AA18" s="7">
        <f>Z14-(Y14*AA17)</f>
        <v>-46.291805478491654</v>
      </c>
      <c r="AB18" s="7"/>
      <c r="AC18" s="7"/>
    </row>
    <row r="19" spans="1:46" ht="18.75">
      <c r="D19" s="84" t="s">
        <v>115</v>
      </c>
      <c r="E19" s="84"/>
      <c r="F19" s="84"/>
      <c r="G19" s="39">
        <f>((J10)/5-2)^0.5</f>
        <v>2.7070231392670672</v>
      </c>
      <c r="Y19" s="7"/>
      <c r="Z19" s="7"/>
      <c r="AA19" s="64" t="s">
        <v>62</v>
      </c>
      <c r="AB19" s="64"/>
      <c r="AC19" s="64"/>
    </row>
    <row r="20" spans="1:46">
      <c r="O20" s="51" t="s">
        <v>115</v>
      </c>
      <c r="P20" s="51"/>
      <c r="Q20" s="51"/>
      <c r="R20" s="15">
        <f>(U11/5)^0.5</f>
        <v>7.3772762284572213</v>
      </c>
    </row>
    <row r="21" spans="1:46">
      <c r="A21" s="85" t="s">
        <v>116</v>
      </c>
      <c r="B21" s="85"/>
      <c r="C21" s="85"/>
      <c r="D21" s="85"/>
      <c r="Z21" s="61" t="s">
        <v>127</v>
      </c>
      <c r="AA21" s="61"/>
      <c r="AB21" s="61"/>
      <c r="AC21">
        <f>(AF13/6)^0.5</f>
        <v>108.75752667411176</v>
      </c>
    </row>
    <row r="22" spans="1:46" ht="21">
      <c r="A22" s="17" t="s">
        <v>117</v>
      </c>
      <c r="B22">
        <v>3</v>
      </c>
      <c r="O22" s="12" t="s">
        <v>121</v>
      </c>
      <c r="P22" s="12">
        <f>R20</f>
        <v>7.3772762284572213</v>
      </c>
      <c r="Q22" s="83" t="s">
        <v>123</v>
      </c>
      <c r="R22" s="83"/>
      <c r="S22" s="83"/>
      <c r="Z22" s="8" t="s">
        <v>128</v>
      </c>
      <c r="AA22" s="8">
        <f>AC21</f>
        <v>108.75752667411176</v>
      </c>
      <c r="AB22" s="16" t="s">
        <v>130</v>
      </c>
      <c r="AH22" s="72" t="s">
        <v>143</v>
      </c>
      <c r="AI22" s="72"/>
      <c r="AJ22" s="72"/>
    </row>
    <row r="23" spans="1:46">
      <c r="O23" s="12" t="s">
        <v>122</v>
      </c>
      <c r="P23" s="12">
        <f>2*P22</f>
        <v>14.754552456914443</v>
      </c>
      <c r="Q23" s="84" t="s">
        <v>124</v>
      </c>
      <c r="R23" s="84"/>
      <c r="S23" s="84"/>
      <c r="Z23" s="8" t="s">
        <v>129</v>
      </c>
      <c r="AA23" s="8">
        <f>2*AC21</f>
        <v>217.51505334822352</v>
      </c>
      <c r="AB23" s="29" t="s">
        <v>131</v>
      </c>
      <c r="AG23" s="27" t="s">
        <v>144</v>
      </c>
      <c r="AH23" s="27" t="s">
        <v>145</v>
      </c>
      <c r="AK23">
        <v>118.25700000000001</v>
      </c>
      <c r="AL23">
        <f>AI36</f>
        <v>-0.15040343505198059</v>
      </c>
    </row>
    <row r="24" spans="1:46">
      <c r="AG24" s="1" t="s">
        <v>0</v>
      </c>
      <c r="AH24" s="1" t="s">
        <v>1</v>
      </c>
      <c r="AI24" s="1" t="s">
        <v>2</v>
      </c>
      <c r="AJ24" s="1" t="s">
        <v>3</v>
      </c>
      <c r="AK24" s="1" t="s">
        <v>4</v>
      </c>
      <c r="AL24" s="1" t="s">
        <v>146</v>
      </c>
      <c r="AM24" s="1" t="s">
        <v>86</v>
      </c>
      <c r="AN24" s="1" t="s">
        <v>114</v>
      </c>
    </row>
    <row r="25" spans="1:46">
      <c r="AG25" s="22">
        <v>728.6</v>
      </c>
      <c r="AH25" s="22">
        <v>10.5</v>
      </c>
      <c r="AI25" s="22">
        <f>AG25^2</f>
        <v>530857.96000000008</v>
      </c>
      <c r="AJ25" s="22">
        <f>AH25^2</f>
        <v>110.25</v>
      </c>
      <c r="AK25" s="22">
        <f>AG25*AH25</f>
        <v>7650.3</v>
      </c>
      <c r="AL25" s="16">
        <f>($AK$23+($AL$23*AG25))</f>
        <v>8.673057221126939</v>
      </c>
      <c r="AM25" s="16">
        <f>AH25-AL25</f>
        <v>1.826942778873061</v>
      </c>
      <c r="AN25" s="29">
        <f>AM25^2</f>
        <v>3.3377199172764223</v>
      </c>
    </row>
    <row r="26" spans="1:46" ht="21">
      <c r="D26" s="69" t="s">
        <v>138</v>
      </c>
      <c r="E26" s="69"/>
      <c r="G26">
        <f>F39</f>
        <v>36.83901815946848</v>
      </c>
      <c r="H26">
        <f>F38</f>
        <v>7.7204135653052917E-4</v>
      </c>
      <c r="M26" s="74" t="s">
        <v>140</v>
      </c>
      <c r="N26" s="74"/>
      <c r="O26" s="11">
        <v>50.506</v>
      </c>
      <c r="P26" s="11">
        <v>-1.6459999999999999</v>
      </c>
      <c r="W26" s="72" t="s">
        <v>142</v>
      </c>
      <c r="X26" s="72"/>
      <c r="Y26" s="72"/>
      <c r="Z26">
        <f>X41</f>
        <v>2.225705871765947</v>
      </c>
      <c r="AA26">
        <f>X40</f>
        <v>2.5047849280993424E-4</v>
      </c>
      <c r="AG26" s="22">
        <v>497.9</v>
      </c>
      <c r="AH26" s="22">
        <v>48.1</v>
      </c>
      <c r="AI26" s="22">
        <f t="shared" ref="AI26:AI31" si="23">AG26^2</f>
        <v>247904.40999999997</v>
      </c>
      <c r="AJ26" s="22">
        <f t="shared" ref="AJ26:AJ31" si="24">AH26^2</f>
        <v>2313.61</v>
      </c>
      <c r="AK26" s="22">
        <f t="shared" ref="AK26:AK31" si="25">AG26*AH26</f>
        <v>23948.989999999998</v>
      </c>
      <c r="AL26" s="16">
        <f t="shared" ref="AL26:AL31" si="26">($AK$23+($AL$23*AG26))</f>
        <v>43.371129687618875</v>
      </c>
      <c r="AM26" s="16">
        <f t="shared" ref="AM26:AM31" si="27">AH26-AL26</f>
        <v>4.728870312381126</v>
      </c>
      <c r="AN26" s="29">
        <f t="shared" ref="AN26:AN31" si="28">AM26^2</f>
        <v>22.362214431319568</v>
      </c>
    </row>
    <row r="27" spans="1:46">
      <c r="C27" s="1" t="s">
        <v>71</v>
      </c>
      <c r="D27" s="1" t="s">
        <v>72</v>
      </c>
      <c r="E27" s="1" t="s">
        <v>2</v>
      </c>
      <c r="F27" s="1" t="s">
        <v>3</v>
      </c>
      <c r="G27" s="1" t="s">
        <v>4</v>
      </c>
      <c r="H27" s="1" t="s">
        <v>85</v>
      </c>
      <c r="I27" s="1" t="s">
        <v>86</v>
      </c>
      <c r="J27" s="1" t="s">
        <v>114</v>
      </c>
      <c r="M27" s="1" t="s">
        <v>0</v>
      </c>
      <c r="N27" s="1" t="s">
        <v>1</v>
      </c>
      <c r="O27" s="1" t="s">
        <v>85</v>
      </c>
      <c r="P27" s="1" t="s">
        <v>86</v>
      </c>
      <c r="Q27" s="1" t="s">
        <v>114</v>
      </c>
      <c r="V27" s="1" t="s">
        <v>1</v>
      </c>
      <c r="W27" s="1" t="s">
        <v>0</v>
      </c>
      <c r="X27" s="1" t="s">
        <v>3</v>
      </c>
      <c r="Y27" s="1" t="s">
        <v>2</v>
      </c>
      <c r="Z27" s="1" t="s">
        <v>104</v>
      </c>
      <c r="AA27" s="1" t="s">
        <v>92</v>
      </c>
      <c r="AB27" s="1" t="s">
        <v>86</v>
      </c>
      <c r="AC27" s="1" t="s">
        <v>114</v>
      </c>
      <c r="AG27" s="22">
        <v>439.1</v>
      </c>
      <c r="AH27" s="22">
        <v>64.8</v>
      </c>
      <c r="AI27" s="22">
        <f t="shared" si="23"/>
        <v>192808.81000000003</v>
      </c>
      <c r="AJ27" s="22">
        <f t="shared" si="24"/>
        <v>4199.04</v>
      </c>
      <c r="AK27" s="22">
        <f t="shared" si="25"/>
        <v>28453.68</v>
      </c>
      <c r="AL27" s="16">
        <f t="shared" si="26"/>
        <v>52.214851668675323</v>
      </c>
      <c r="AM27" s="16">
        <f t="shared" si="27"/>
        <v>12.585148331324675</v>
      </c>
      <c r="AN27" s="29">
        <f t="shared" si="28"/>
        <v>158.38595852144425</v>
      </c>
    </row>
    <row r="28" spans="1:46">
      <c r="C28" s="7">
        <v>58.1</v>
      </c>
      <c r="D28" s="7">
        <v>34.299999999999997</v>
      </c>
      <c r="E28" s="7">
        <f>C28^2</f>
        <v>3375.61</v>
      </c>
      <c r="F28" s="7">
        <f>D28^2</f>
        <v>1176.4899999999998</v>
      </c>
      <c r="G28" s="7">
        <f>C28*D28</f>
        <v>1992.83</v>
      </c>
      <c r="H28" s="24">
        <f>($G$26+($H$26*C28))</f>
        <v>36.883873762282903</v>
      </c>
      <c r="I28" s="14">
        <f>D28-H28</f>
        <v>-2.5838737622829058</v>
      </c>
      <c r="J28">
        <f>I28^2</f>
        <v>6.6764036194140184</v>
      </c>
      <c r="M28" s="15">
        <v>5</v>
      </c>
      <c r="N28" s="15">
        <v>47</v>
      </c>
      <c r="O28" s="28">
        <f>($O$26+($P$26*M28))</f>
        <v>42.275999999999996</v>
      </c>
      <c r="P28" s="14">
        <f>N28-O28</f>
        <v>4.7240000000000038</v>
      </c>
      <c r="Q28" s="15">
        <f>P28^2</f>
        <v>22.316176000000034</v>
      </c>
      <c r="V28" s="16">
        <v>2.64</v>
      </c>
      <c r="W28" s="16">
        <v>1245</v>
      </c>
      <c r="X28" s="16">
        <f>V28^2</f>
        <v>6.9696000000000007</v>
      </c>
      <c r="Y28" s="16">
        <f>W28^2</f>
        <v>1550025</v>
      </c>
      <c r="Z28" s="16">
        <f>V28*W28</f>
        <v>3286.8</v>
      </c>
      <c r="AA28" s="27">
        <f>($Z$26-($AA$26*W28))</f>
        <v>1.9138601482175788</v>
      </c>
      <c r="AB28" s="14">
        <f>V28-AA28</f>
        <v>0.72613985178242135</v>
      </c>
      <c r="AC28" s="11">
        <f>AB28^2</f>
        <v>0.52727908434659687</v>
      </c>
      <c r="AG28" s="22">
        <v>377.9</v>
      </c>
      <c r="AH28" s="22">
        <v>20.100000000000001</v>
      </c>
      <c r="AI28" s="22">
        <f t="shared" si="23"/>
        <v>142808.40999999997</v>
      </c>
      <c r="AJ28" s="22">
        <f t="shared" si="24"/>
        <v>404.01000000000005</v>
      </c>
      <c r="AK28" s="22">
        <f t="shared" si="25"/>
        <v>7595.79</v>
      </c>
      <c r="AL28" s="16">
        <f t="shared" si="26"/>
        <v>61.419541893856547</v>
      </c>
      <c r="AM28" s="16">
        <f t="shared" si="27"/>
        <v>-41.319541893856545</v>
      </c>
      <c r="AN28" s="29">
        <f t="shared" si="28"/>
        <v>1707.3045423181661</v>
      </c>
    </row>
    <row r="29" spans="1:46">
      <c r="C29" s="7">
        <v>55.4</v>
      </c>
      <c r="D29" s="7">
        <v>35</v>
      </c>
      <c r="E29" s="7">
        <f t="shared" ref="E29:F33" si="29">C29^2</f>
        <v>3069.16</v>
      </c>
      <c r="F29" s="7">
        <f t="shared" si="29"/>
        <v>1225</v>
      </c>
      <c r="G29" s="7">
        <f t="shared" ref="G29:G33" si="30">C29*D29</f>
        <v>1939</v>
      </c>
      <c r="H29" s="24">
        <f t="shared" ref="H29:H33" si="31">($G$26+($H$26*C29))</f>
        <v>36.881789250620272</v>
      </c>
      <c r="I29" s="14">
        <f t="shared" ref="I29:I33" si="32">D29-H29</f>
        <v>-1.8817892506202725</v>
      </c>
      <c r="J29">
        <f t="shared" ref="J29:J33" si="33">I29^2</f>
        <v>3.5411307837500066</v>
      </c>
      <c r="M29" s="15">
        <v>7</v>
      </c>
      <c r="N29" s="15">
        <v>38</v>
      </c>
      <c r="O29" s="28">
        <f t="shared" ref="O29:O33" si="34">($O$26+($P$26*M29))</f>
        <v>38.984000000000002</v>
      </c>
      <c r="P29" s="14">
        <f t="shared" ref="P29:P33" si="35">N29-O29</f>
        <v>-0.98400000000000176</v>
      </c>
      <c r="Q29" s="15">
        <f t="shared" ref="Q29:Q33" si="36">P29^2</f>
        <v>0.96825600000000345</v>
      </c>
      <c r="V29" s="16">
        <v>2.31</v>
      </c>
      <c r="W29" s="16">
        <v>425</v>
      </c>
      <c r="X29" s="16">
        <f t="shared" ref="X29:Y35" si="37">V29^2</f>
        <v>5.3361000000000001</v>
      </c>
      <c r="Y29" s="16">
        <f t="shared" si="37"/>
        <v>180625</v>
      </c>
      <c r="Z29" s="16">
        <f t="shared" ref="Z29:Z35" si="38">V29*W29</f>
        <v>981.75</v>
      </c>
      <c r="AA29" s="27">
        <f t="shared" ref="AA29:AA35" si="39">($Z$26-($AA$26*W29))</f>
        <v>2.119252512321725</v>
      </c>
      <c r="AB29" s="14">
        <f t="shared" ref="AB29:AB35" si="40">V29-AA29</f>
        <v>0.1907474876782751</v>
      </c>
      <c r="AC29" s="11">
        <f t="shared" ref="AC29:AC35" si="41">AB29^2</f>
        <v>3.6384604055573706E-2</v>
      </c>
      <c r="AG29" s="22">
        <v>375.5</v>
      </c>
      <c r="AH29" s="22">
        <v>11.4</v>
      </c>
      <c r="AI29" s="22">
        <f t="shared" si="23"/>
        <v>141000.25</v>
      </c>
      <c r="AJ29" s="22">
        <f t="shared" si="24"/>
        <v>129.96</v>
      </c>
      <c r="AK29" s="22">
        <f t="shared" si="25"/>
        <v>4280.7</v>
      </c>
      <c r="AL29" s="16">
        <f t="shared" si="26"/>
        <v>61.780510137981295</v>
      </c>
      <c r="AM29" s="16">
        <f t="shared" si="27"/>
        <v>-50.380510137981297</v>
      </c>
      <c r="AN29" s="29">
        <f t="shared" si="28"/>
        <v>2538.1958017632364</v>
      </c>
    </row>
    <row r="30" spans="1:46">
      <c r="C30" s="7">
        <v>57</v>
      </c>
      <c r="D30" s="7">
        <v>38.5</v>
      </c>
      <c r="E30" s="7">
        <f t="shared" si="29"/>
        <v>3249</v>
      </c>
      <c r="F30" s="7">
        <f t="shared" si="29"/>
        <v>1482.25</v>
      </c>
      <c r="G30" s="7">
        <f t="shared" si="30"/>
        <v>2194.5</v>
      </c>
      <c r="H30" s="24">
        <f t="shared" si="31"/>
        <v>36.883024516790719</v>
      </c>
      <c r="I30" s="14">
        <f t="shared" si="32"/>
        <v>1.6169754832092806</v>
      </c>
      <c r="J30">
        <f t="shared" si="33"/>
        <v>2.6146097132998865</v>
      </c>
      <c r="M30" s="15">
        <v>11</v>
      </c>
      <c r="N30" s="15">
        <v>32</v>
      </c>
      <c r="O30" s="28">
        <f t="shared" si="34"/>
        <v>32.400000000000006</v>
      </c>
      <c r="P30" s="14">
        <f t="shared" si="35"/>
        <v>-0.40000000000000568</v>
      </c>
      <c r="Q30" s="15">
        <f t="shared" si="36"/>
        <v>0.16000000000000456</v>
      </c>
      <c r="V30" s="16">
        <v>2.4500000000000002</v>
      </c>
      <c r="W30" s="16">
        <v>1346</v>
      </c>
      <c r="X30" s="16">
        <f t="shared" si="37"/>
        <v>6.0025000000000013</v>
      </c>
      <c r="Y30" s="16">
        <f t="shared" si="37"/>
        <v>1811716</v>
      </c>
      <c r="Z30" s="16">
        <f t="shared" si="38"/>
        <v>3297.7000000000003</v>
      </c>
      <c r="AA30" s="27">
        <f t="shared" si="39"/>
        <v>1.8885618204437755</v>
      </c>
      <c r="AB30" s="14">
        <f t="shared" si="40"/>
        <v>0.56143817955622466</v>
      </c>
      <c r="AC30" s="11">
        <f t="shared" si="41"/>
        <v>0.31521282946340756</v>
      </c>
      <c r="AG30" s="22">
        <v>363.8</v>
      </c>
      <c r="AH30" s="22">
        <v>123.8</v>
      </c>
      <c r="AI30" s="22">
        <f t="shared" si="23"/>
        <v>132350.44</v>
      </c>
      <c r="AJ30" s="22">
        <f t="shared" si="24"/>
        <v>15326.439999999999</v>
      </c>
      <c r="AK30" s="22">
        <f t="shared" si="25"/>
        <v>45038.44</v>
      </c>
      <c r="AL30" s="16">
        <f t="shared" si="26"/>
        <v>63.540230328089464</v>
      </c>
      <c r="AM30" s="16">
        <f t="shared" si="27"/>
        <v>60.259769671910533</v>
      </c>
      <c r="AN30" s="29">
        <f t="shared" si="28"/>
        <v>3631.2398409117086</v>
      </c>
    </row>
    <row r="31" spans="1:46">
      <c r="C31" s="7">
        <v>58.5</v>
      </c>
      <c r="D31" s="7">
        <v>40.1</v>
      </c>
      <c r="E31" s="7">
        <f t="shared" si="29"/>
        <v>3422.25</v>
      </c>
      <c r="F31" s="7">
        <f t="shared" si="29"/>
        <v>1608.0100000000002</v>
      </c>
      <c r="G31" s="7">
        <f t="shared" si="30"/>
        <v>2345.85</v>
      </c>
      <c r="H31" s="24">
        <f t="shared" si="31"/>
        <v>36.884182578825516</v>
      </c>
      <c r="I31" s="14">
        <f t="shared" si="32"/>
        <v>3.215817421174485</v>
      </c>
      <c r="J31">
        <f t="shared" si="33"/>
        <v>10.341481686329315</v>
      </c>
      <c r="M31" s="15">
        <v>12</v>
      </c>
      <c r="N31" s="15">
        <v>24</v>
      </c>
      <c r="O31" s="28">
        <f t="shared" si="34"/>
        <v>30.754000000000001</v>
      </c>
      <c r="P31" s="14">
        <f t="shared" si="35"/>
        <v>-6.7540000000000013</v>
      </c>
      <c r="Q31" s="15">
        <f t="shared" si="36"/>
        <v>45.616516000000018</v>
      </c>
      <c r="V31" s="16">
        <v>2.52</v>
      </c>
      <c r="W31" s="16">
        <v>973</v>
      </c>
      <c r="X31" s="16">
        <f t="shared" si="37"/>
        <v>6.3504000000000005</v>
      </c>
      <c r="Y31" s="16">
        <f t="shared" si="37"/>
        <v>946729</v>
      </c>
      <c r="Z31" s="16">
        <f t="shared" si="38"/>
        <v>2451.96</v>
      </c>
      <c r="AA31" s="27">
        <f t="shared" si="39"/>
        <v>1.9819902982618811</v>
      </c>
      <c r="AB31" s="14">
        <f t="shared" si="40"/>
        <v>0.53800970173811891</v>
      </c>
      <c r="AC31" s="11">
        <f t="shared" si="41"/>
        <v>0.28945443916433966</v>
      </c>
      <c r="AG31" s="22">
        <v>276.3</v>
      </c>
      <c r="AH31" s="22">
        <v>89</v>
      </c>
      <c r="AI31" s="22">
        <f t="shared" si="23"/>
        <v>76341.69</v>
      </c>
      <c r="AJ31" s="22">
        <f t="shared" si="24"/>
        <v>7921</v>
      </c>
      <c r="AK31" s="22">
        <f t="shared" si="25"/>
        <v>24590.7</v>
      </c>
      <c r="AL31" s="16">
        <f t="shared" si="26"/>
        <v>76.700530895137774</v>
      </c>
      <c r="AM31" s="16">
        <f t="shared" si="27"/>
        <v>12.299469104862226</v>
      </c>
      <c r="AN31" s="29">
        <f t="shared" si="28"/>
        <v>151.2769402614604</v>
      </c>
    </row>
    <row r="32" spans="1:46">
      <c r="C32" s="7">
        <v>57.4</v>
      </c>
      <c r="D32" s="7">
        <v>35.5</v>
      </c>
      <c r="E32" s="7">
        <f t="shared" si="29"/>
        <v>3294.7599999999998</v>
      </c>
      <c r="F32" s="7">
        <f t="shared" si="29"/>
        <v>1260.25</v>
      </c>
      <c r="G32" s="7">
        <f t="shared" si="30"/>
        <v>2037.7</v>
      </c>
      <c r="H32" s="24">
        <f t="shared" si="31"/>
        <v>36.883333333333333</v>
      </c>
      <c r="I32" s="14">
        <f t="shared" si="32"/>
        <v>-1.3833333333333329</v>
      </c>
      <c r="J32">
        <f t="shared" si="33"/>
        <v>1.9136111111111098</v>
      </c>
      <c r="M32" s="15">
        <v>19</v>
      </c>
      <c r="N32" s="15">
        <v>22</v>
      </c>
      <c r="O32" s="28">
        <f t="shared" si="34"/>
        <v>19.232000000000003</v>
      </c>
      <c r="P32" s="14">
        <f t="shared" si="35"/>
        <v>2.7679999999999971</v>
      </c>
      <c r="Q32" s="15">
        <f t="shared" si="36"/>
        <v>7.6618239999999842</v>
      </c>
      <c r="V32" s="16">
        <v>2.19</v>
      </c>
      <c r="W32" s="16">
        <v>255</v>
      </c>
      <c r="X32" s="16">
        <f t="shared" si="37"/>
        <v>4.7961</v>
      </c>
      <c r="Y32" s="16">
        <f t="shared" si="37"/>
        <v>65025</v>
      </c>
      <c r="Z32" s="16">
        <f t="shared" si="38"/>
        <v>558.44999999999993</v>
      </c>
      <c r="AA32" s="27">
        <f t="shared" si="39"/>
        <v>2.1618338560994137</v>
      </c>
      <c r="AB32" s="14">
        <f t="shared" si="40"/>
        <v>2.8166143900586249E-2</v>
      </c>
      <c r="AC32" s="11">
        <f t="shared" si="41"/>
        <v>7.9333166222853198E-4</v>
      </c>
      <c r="AF32" s="14" t="s">
        <v>5</v>
      </c>
      <c r="AG32" s="1">
        <f>SUM(AG25:AG31)</f>
        <v>3059.1000000000004</v>
      </c>
      <c r="AH32" s="1">
        <f>SUM(AH25:AH31)</f>
        <v>367.7</v>
      </c>
      <c r="AI32" s="1">
        <f t="shared" ref="AI32:AK32" si="42">SUM(AI25:AI31)</f>
        <v>1464071.97</v>
      </c>
      <c r="AJ32" s="1">
        <f t="shared" si="42"/>
        <v>30404.309999999998</v>
      </c>
      <c r="AK32" s="1">
        <f t="shared" si="42"/>
        <v>141558.6</v>
      </c>
      <c r="AL32" s="1"/>
      <c r="AM32" s="1">
        <f>SUM(AM25:AM31)</f>
        <v>1.4816751377111359E-4</v>
      </c>
      <c r="AN32" s="1">
        <f>SUM(AN25:AN31)</f>
        <v>8212.1030181246115</v>
      </c>
    </row>
    <row r="33" spans="2:40">
      <c r="C33" s="7">
        <v>58</v>
      </c>
      <c r="D33" s="7">
        <v>37.9</v>
      </c>
      <c r="E33" s="7">
        <f t="shared" si="29"/>
        <v>3364</v>
      </c>
      <c r="F33" s="7">
        <f t="shared" si="29"/>
        <v>1436.4099999999999</v>
      </c>
      <c r="G33" s="7">
        <f t="shared" si="30"/>
        <v>2198.1999999999998</v>
      </c>
      <c r="H33" s="24">
        <f t="shared" si="31"/>
        <v>36.883796558147253</v>
      </c>
      <c r="I33" s="14">
        <f t="shared" si="32"/>
        <v>1.0162034418527455</v>
      </c>
      <c r="J33">
        <f t="shared" si="33"/>
        <v>1.0326694352333663</v>
      </c>
      <c r="M33" s="15">
        <v>25</v>
      </c>
      <c r="N33" s="15">
        <v>10</v>
      </c>
      <c r="O33" s="28">
        <f t="shared" si="34"/>
        <v>9.3560000000000016</v>
      </c>
      <c r="P33" s="14">
        <f t="shared" si="35"/>
        <v>0.64399999999999835</v>
      </c>
      <c r="Q33" s="15">
        <f t="shared" si="36"/>
        <v>0.41473599999999788</v>
      </c>
      <c r="V33" s="16">
        <v>2.5499999999999998</v>
      </c>
      <c r="W33" s="16">
        <v>865</v>
      </c>
      <c r="X33" s="16">
        <f t="shared" si="37"/>
        <v>6.5024999999999995</v>
      </c>
      <c r="Y33" s="16">
        <f t="shared" si="37"/>
        <v>748225</v>
      </c>
      <c r="Z33" s="16">
        <f t="shared" si="38"/>
        <v>2205.75</v>
      </c>
      <c r="AA33" s="27">
        <f t="shared" si="39"/>
        <v>2.0090419754853537</v>
      </c>
      <c r="AB33" s="14">
        <f t="shared" si="40"/>
        <v>0.54095802451464614</v>
      </c>
      <c r="AC33" s="11">
        <f t="shared" si="41"/>
        <v>0.29263558428678849</v>
      </c>
      <c r="AF33" s="14" t="s">
        <v>54</v>
      </c>
      <c r="AG33" s="4">
        <f>AVERAGE(AG25:AG31)</f>
        <v>437.01428571428579</v>
      </c>
      <c r="AH33" s="4">
        <f>AVERAGE(AH25:AH31)</f>
        <v>52.528571428571425</v>
      </c>
    </row>
    <row r="34" spans="2:40">
      <c r="B34" s="19" t="s">
        <v>5</v>
      </c>
      <c r="C34" s="1">
        <f>SUM(C28:C33)</f>
        <v>344.4</v>
      </c>
      <c r="D34" s="1">
        <f t="shared" ref="D34:G34" si="43">SUM(D28:D33)</f>
        <v>221.3</v>
      </c>
      <c r="E34" s="1">
        <f t="shared" si="43"/>
        <v>19774.78</v>
      </c>
      <c r="F34" s="1">
        <f t="shared" si="43"/>
        <v>8188.41</v>
      </c>
      <c r="G34" s="1">
        <f t="shared" si="43"/>
        <v>12708.080000000002</v>
      </c>
      <c r="I34" s="14">
        <f>SUM(I28:I33)</f>
        <v>0</v>
      </c>
      <c r="J34" s="1">
        <f>SUM(J28:J33)</f>
        <v>26.1199063491377</v>
      </c>
      <c r="Q34" s="1">
        <f>SUM(Q28:Q33)</f>
        <v>77.137508000000039</v>
      </c>
      <c r="V34" s="16">
        <v>2.4</v>
      </c>
      <c r="W34" s="16">
        <v>1080</v>
      </c>
      <c r="X34" s="16">
        <f t="shared" si="37"/>
        <v>5.76</v>
      </c>
      <c r="Y34" s="16">
        <f t="shared" si="37"/>
        <v>1166400</v>
      </c>
      <c r="Z34" s="16">
        <f t="shared" si="38"/>
        <v>2592</v>
      </c>
      <c r="AA34" s="27">
        <f t="shared" si="39"/>
        <v>1.955189099531218</v>
      </c>
      <c r="AB34" s="14">
        <f t="shared" si="40"/>
        <v>0.44481090046878191</v>
      </c>
      <c r="AC34" s="11">
        <f t="shared" si="41"/>
        <v>0.19785673717584862</v>
      </c>
      <c r="AG34" s="11"/>
      <c r="AH34" s="11" t="s">
        <v>47</v>
      </c>
      <c r="AI34" s="11">
        <f>(AK32-((AG32*AH32)/7))</f>
        <v>-19131.552857142873</v>
      </c>
      <c r="AJ34" s="11"/>
      <c r="AK34" s="11"/>
      <c r="AL34" s="11"/>
      <c r="AM34" s="11"/>
      <c r="AN34" s="11"/>
    </row>
    <row r="35" spans="2:40" ht="18.75">
      <c r="B35" s="19" t="s">
        <v>54</v>
      </c>
      <c r="C35" s="5">
        <f>AVERAGE(C28:C33)</f>
        <v>57.4</v>
      </c>
      <c r="D35" s="5">
        <f>AVERAGE(D28:D33)</f>
        <v>36.883333333333333</v>
      </c>
      <c r="N35" s="17" t="s">
        <v>100</v>
      </c>
      <c r="O35" s="64" t="s">
        <v>99</v>
      </c>
      <c r="P35" s="64"/>
      <c r="Q35" s="64"/>
      <c r="V35" s="16">
        <v>2.37</v>
      </c>
      <c r="W35" s="16">
        <v>296</v>
      </c>
      <c r="X35" s="16">
        <f t="shared" si="37"/>
        <v>5.6169000000000002</v>
      </c>
      <c r="Y35" s="16">
        <f t="shared" si="37"/>
        <v>87616</v>
      </c>
      <c r="Z35" s="16">
        <f t="shared" si="38"/>
        <v>701.52</v>
      </c>
      <c r="AA35" s="27">
        <f t="shared" si="39"/>
        <v>2.1515642378942066</v>
      </c>
      <c r="AB35" s="14">
        <f t="shared" si="40"/>
        <v>0.21843576210579352</v>
      </c>
      <c r="AC35" s="11">
        <f t="shared" si="41"/>
        <v>4.7714182166738818E-2</v>
      </c>
      <c r="AG35" s="11"/>
      <c r="AH35" s="11" t="s">
        <v>57</v>
      </c>
      <c r="AI35" s="11">
        <f>(AI32-((AG32^2)/7))</f>
        <v>127201.5685714283</v>
      </c>
      <c r="AJ35" s="11"/>
      <c r="AK35" s="11"/>
      <c r="AL35" s="11"/>
      <c r="AM35" s="11"/>
      <c r="AN35" s="11"/>
    </row>
    <row r="36" spans="2:40">
      <c r="C36" s="7"/>
      <c r="D36" s="7"/>
      <c r="E36" s="7" t="s">
        <v>73</v>
      </c>
      <c r="F36" s="7">
        <f>(G34-((C34*D34)/6))</f>
        <v>5.4600000000009459</v>
      </c>
      <c r="G36" s="7"/>
      <c r="U36" s="12" t="s">
        <v>103</v>
      </c>
      <c r="V36" s="1">
        <f>SUM(V28:V35)</f>
        <v>19.43</v>
      </c>
      <c r="W36" s="1">
        <f t="shared" ref="W36:Z36" si="44">SUM(W28:W35)</f>
        <v>6485</v>
      </c>
      <c r="X36" s="1">
        <f t="shared" si="44"/>
        <v>47.334099999999999</v>
      </c>
      <c r="Y36" s="1">
        <f t="shared" si="44"/>
        <v>6556361</v>
      </c>
      <c r="Z36" s="1">
        <f t="shared" si="44"/>
        <v>16075.93</v>
      </c>
      <c r="AC36" s="1">
        <f>SUM(AC28:AC35)</f>
        <v>1.7073307923215224</v>
      </c>
      <c r="AG36" s="11"/>
      <c r="AH36" s="9" t="s">
        <v>48</v>
      </c>
      <c r="AI36" s="9">
        <f>AI34/AI35</f>
        <v>-0.15040343505198059</v>
      </c>
      <c r="AJ36" s="11"/>
      <c r="AK36" s="11"/>
      <c r="AL36" s="11"/>
      <c r="AM36" s="11"/>
      <c r="AN36" s="11"/>
    </row>
    <row r="37" spans="2:40">
      <c r="C37" s="7"/>
      <c r="D37" s="7"/>
      <c r="E37" s="7" t="s">
        <v>74</v>
      </c>
      <c r="F37" s="7">
        <f>(E34-((C34*D34)/6))</f>
        <v>7072.159999999998</v>
      </c>
      <c r="G37" s="7"/>
      <c r="N37" s="51" t="s">
        <v>139</v>
      </c>
      <c r="O37" s="51"/>
      <c r="P37" s="51"/>
      <c r="Q37" s="27">
        <f>(Q34/4)^0.5</f>
        <v>4.3913980689525305</v>
      </c>
      <c r="U37" s="12" t="s">
        <v>54</v>
      </c>
      <c r="V37" s="7">
        <f>AVERAGE(V28:V35)</f>
        <v>2.42875</v>
      </c>
      <c r="W37" s="7">
        <f>AVERAGE(W28:W35)</f>
        <v>810.625</v>
      </c>
      <c r="AG37" s="11"/>
      <c r="AH37" s="9" t="s">
        <v>50</v>
      </c>
      <c r="AI37" s="38">
        <v>118.25700000000001</v>
      </c>
      <c r="AJ37" s="11"/>
      <c r="AK37" s="11"/>
      <c r="AL37" s="11"/>
      <c r="AM37" s="11"/>
      <c r="AN37" s="11"/>
    </row>
    <row r="38" spans="2:40" ht="19.5">
      <c r="C38" s="7"/>
      <c r="D38" s="7"/>
      <c r="E38" s="7" t="s">
        <v>55</v>
      </c>
      <c r="F38" s="7">
        <f>F36/F37</f>
        <v>7.7204135653052917E-4</v>
      </c>
      <c r="G38" s="7"/>
      <c r="V38" s="16"/>
      <c r="W38" s="16" t="s">
        <v>47</v>
      </c>
      <c r="X38" s="16">
        <f>(Z36-((V36*W36)/8))</f>
        <v>325.48624999999993</v>
      </c>
      <c r="Y38" s="16"/>
      <c r="Z38" s="16"/>
      <c r="AA38" s="16"/>
      <c r="AB38" s="16"/>
      <c r="AG38" s="11"/>
      <c r="AH38" s="79" t="s">
        <v>147</v>
      </c>
      <c r="AI38" s="79"/>
      <c r="AJ38" s="79"/>
      <c r="AK38" s="79"/>
      <c r="AL38" s="11"/>
      <c r="AM38" s="11"/>
      <c r="AN38" s="11"/>
    </row>
    <row r="39" spans="2:40">
      <c r="C39" s="7"/>
      <c r="D39" s="7"/>
      <c r="E39" s="7" t="s">
        <v>66</v>
      </c>
      <c r="F39" s="7">
        <f>(D35-(F38*C35))</f>
        <v>36.83901815946848</v>
      </c>
      <c r="G39" s="7"/>
      <c r="V39" s="16"/>
      <c r="W39" s="16" t="s">
        <v>57</v>
      </c>
      <c r="X39" s="16">
        <f>(Y36-((W36^2)/8))</f>
        <v>1299457.875</v>
      </c>
      <c r="Y39" s="16"/>
      <c r="Z39" s="16"/>
      <c r="AA39" s="16"/>
      <c r="AB39" s="16"/>
      <c r="AG39" s="11"/>
      <c r="AH39" s="11"/>
      <c r="AI39" s="11"/>
      <c r="AJ39" s="11"/>
      <c r="AK39" s="11"/>
      <c r="AL39" s="11"/>
      <c r="AM39" s="11"/>
      <c r="AN39" s="11"/>
    </row>
    <row r="40" spans="2:40" ht="21">
      <c r="C40" s="7"/>
      <c r="D40" s="7"/>
      <c r="E40" s="7"/>
      <c r="F40" s="63" t="s">
        <v>76</v>
      </c>
      <c r="G40" s="63"/>
      <c r="H40" s="63"/>
      <c r="V40" s="16"/>
      <c r="W40" s="16" t="s">
        <v>48</v>
      </c>
      <c r="X40" s="16">
        <f>X38/X39</f>
        <v>2.5047849280993424E-4</v>
      </c>
      <c r="Y40" s="16"/>
      <c r="Z40" s="16"/>
      <c r="AA40" s="16"/>
      <c r="AB40" s="16"/>
      <c r="AF40" s="80" t="s">
        <v>127</v>
      </c>
      <c r="AG40" s="80"/>
      <c r="AH40" s="80"/>
      <c r="AI40" s="8">
        <f>(AN32/5)^0.5</f>
        <v>40.526788715921256</v>
      </c>
    </row>
    <row r="41" spans="2:40">
      <c r="V41" s="16"/>
      <c r="W41" s="16" t="s">
        <v>50</v>
      </c>
      <c r="X41" s="16">
        <f>V37-(W37*X40)</f>
        <v>2.225705871765947</v>
      </c>
      <c r="Y41" s="16"/>
      <c r="Z41" s="16"/>
      <c r="AA41" s="16"/>
      <c r="AB41" s="16"/>
    </row>
    <row r="42" spans="2:40" ht="18.75">
      <c r="E42" s="61" t="s">
        <v>134</v>
      </c>
      <c r="F42" s="61"/>
      <c r="G42" s="61"/>
      <c r="H42">
        <f>(J34/4)^0.5</f>
        <v>2.5553818867802178</v>
      </c>
      <c r="V42" s="16"/>
      <c r="W42" s="16"/>
      <c r="X42" s="76" t="s">
        <v>105</v>
      </c>
      <c r="Y42" s="76"/>
      <c r="Z42" s="76"/>
      <c r="AA42" s="16"/>
      <c r="AB42" s="16"/>
    </row>
    <row r="43" spans="2:40">
      <c r="E43" s="13" t="s">
        <v>135</v>
      </c>
      <c r="F43" s="13">
        <f>H42</f>
        <v>2.5553818867802178</v>
      </c>
      <c r="G43" s="51" t="s">
        <v>137</v>
      </c>
      <c r="H43" s="51"/>
      <c r="I43" s="51"/>
      <c r="J43" s="51"/>
      <c r="K43" s="51"/>
    </row>
    <row r="44" spans="2:40">
      <c r="E44" s="13" t="s">
        <v>129</v>
      </c>
      <c r="F44" s="13">
        <f>2*H42</f>
        <v>5.1107637735604357</v>
      </c>
      <c r="G44" s="81" t="s">
        <v>136</v>
      </c>
      <c r="H44" s="81"/>
      <c r="I44" s="81"/>
      <c r="J44" s="81"/>
      <c r="K44" s="81"/>
      <c r="X44" s="58" t="s">
        <v>141</v>
      </c>
      <c r="Y44" s="58"/>
      <c r="Z44" s="58"/>
      <c r="AA44" s="19">
        <f>(AC36/6)^0.5</f>
        <v>0.53343709287373997</v>
      </c>
    </row>
  </sheetData>
  <mergeCells count="30">
    <mergeCell ref="Y1:AA1"/>
    <mergeCell ref="AA19:AC19"/>
    <mergeCell ref="Z21:AB21"/>
    <mergeCell ref="B3:D3"/>
    <mergeCell ref="F16:I16"/>
    <mergeCell ref="A21:D21"/>
    <mergeCell ref="N2:P2"/>
    <mergeCell ref="P18:S18"/>
    <mergeCell ref="D19:F19"/>
    <mergeCell ref="O20:Q20"/>
    <mergeCell ref="G1:L1"/>
    <mergeCell ref="AK16:AM16"/>
    <mergeCell ref="AK17:AT17"/>
    <mergeCell ref="D26:E26"/>
    <mergeCell ref="F40:H40"/>
    <mergeCell ref="Q22:S22"/>
    <mergeCell ref="Q23:S23"/>
    <mergeCell ref="AI2:AK2"/>
    <mergeCell ref="AH22:AJ22"/>
    <mergeCell ref="W26:Y26"/>
    <mergeCell ref="G44:K44"/>
    <mergeCell ref="G43:K43"/>
    <mergeCell ref="M26:N26"/>
    <mergeCell ref="O35:Q35"/>
    <mergeCell ref="N37:P37"/>
    <mergeCell ref="E42:G42"/>
    <mergeCell ref="X44:Z44"/>
    <mergeCell ref="AH38:AK38"/>
    <mergeCell ref="AF40:AH40"/>
    <mergeCell ref="X42:Z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3"/>
  <sheetViews>
    <sheetView topLeftCell="D1" zoomScale="70" zoomScaleNormal="70" workbookViewId="0">
      <selection activeCell="AC31" sqref="AC31:AE31"/>
    </sheetView>
  </sheetViews>
  <sheetFormatPr defaultRowHeight="15"/>
  <cols>
    <col min="13" max="13" width="12" bestFit="1" customWidth="1"/>
    <col min="29" max="29" width="11" bestFit="1" customWidth="1"/>
  </cols>
  <sheetData>
    <row r="1" spans="1:37" ht="23.25">
      <c r="I1" s="65" t="s">
        <v>183</v>
      </c>
      <c r="J1" s="65"/>
      <c r="K1" s="65"/>
      <c r="L1" s="65"/>
      <c r="M1" s="65"/>
      <c r="N1" s="65"/>
      <c r="O1" s="65"/>
      <c r="V1" s="72" t="s">
        <v>177</v>
      </c>
      <c r="W1" s="72"/>
      <c r="X1" s="72"/>
      <c r="Y1" s="72"/>
      <c r="Z1" s="72"/>
      <c r="AA1" s="72"/>
      <c r="AB1" s="72"/>
    </row>
    <row r="2" spans="1:37">
      <c r="A2" s="15"/>
      <c r="B2" s="15"/>
      <c r="C2" s="15"/>
      <c r="D2" s="15"/>
      <c r="E2" s="15"/>
    </row>
    <row r="3" spans="1:37">
      <c r="A3" s="15"/>
      <c r="B3" s="15"/>
      <c r="C3" s="15"/>
      <c r="D3" s="15"/>
      <c r="E3" s="15"/>
    </row>
    <row r="4" spans="1:37">
      <c r="A4" s="15"/>
      <c r="B4" s="15"/>
      <c r="C4" s="15"/>
      <c r="D4" s="15"/>
      <c r="E4" s="15"/>
    </row>
    <row r="5" spans="1:37">
      <c r="A5" s="15"/>
      <c r="B5" s="15"/>
      <c r="C5" s="15"/>
      <c r="D5" s="15"/>
      <c r="E5" s="15"/>
    </row>
    <row r="6" spans="1:37" ht="21">
      <c r="A6" s="15"/>
      <c r="B6" s="15"/>
      <c r="C6" s="15"/>
      <c r="D6" s="15"/>
      <c r="E6" s="15"/>
      <c r="I6" s="72" t="s">
        <v>149</v>
      </c>
      <c r="J6" s="72"/>
      <c r="K6" s="72"/>
      <c r="M6">
        <f>L18</f>
        <v>16.509646302250793</v>
      </c>
      <c r="N6">
        <f>L17</f>
        <v>0.16237942122186536</v>
      </c>
      <c r="T6" s="72" t="s">
        <v>165</v>
      </c>
      <c r="U6" s="72"/>
      <c r="V6" s="72"/>
      <c r="X6" s="7">
        <v>144.41390000000001</v>
      </c>
      <c r="Y6" s="12">
        <v>-0.89824000000000004</v>
      </c>
      <c r="AD6" s="72" t="s">
        <v>166</v>
      </c>
      <c r="AE6" s="72"/>
      <c r="AF6" s="72"/>
    </row>
    <row r="7" spans="1:37">
      <c r="A7" s="15"/>
      <c r="B7" s="15"/>
      <c r="C7" s="15"/>
      <c r="D7" s="15"/>
      <c r="E7" s="15"/>
      <c r="I7" s="1" t="s">
        <v>0</v>
      </c>
      <c r="J7" s="1" t="s">
        <v>1</v>
      </c>
      <c r="K7" s="1" t="s">
        <v>2</v>
      </c>
      <c r="L7" s="1" t="s">
        <v>3</v>
      </c>
      <c r="M7" s="1" t="s">
        <v>4</v>
      </c>
      <c r="N7" s="1" t="s">
        <v>85</v>
      </c>
      <c r="O7" s="1" t="s">
        <v>86</v>
      </c>
      <c r="P7" s="1" t="s">
        <v>114</v>
      </c>
      <c r="T7" s="1" t="s">
        <v>0</v>
      </c>
      <c r="U7" s="1" t="s">
        <v>1</v>
      </c>
      <c r="V7" s="1" t="s">
        <v>2</v>
      </c>
      <c r="W7" s="1" t="s">
        <v>3</v>
      </c>
      <c r="X7" s="1" t="s">
        <v>4</v>
      </c>
      <c r="Y7" s="1" t="s">
        <v>92</v>
      </c>
      <c r="Z7" s="1" t="s">
        <v>86</v>
      </c>
      <c r="AA7" s="1" t="s">
        <v>114</v>
      </c>
      <c r="AD7" s="1" t="s">
        <v>60</v>
      </c>
      <c r="AE7" s="1" t="s">
        <v>61</v>
      </c>
      <c r="AH7">
        <v>-46.291805478491654</v>
      </c>
      <c r="AI7">
        <v>15.239771648260316</v>
      </c>
    </row>
    <row r="8" spans="1:37">
      <c r="A8" s="15"/>
      <c r="B8" s="15"/>
      <c r="C8" s="15"/>
      <c r="D8" s="15"/>
      <c r="E8" s="15"/>
      <c r="I8" s="16">
        <v>12</v>
      </c>
      <c r="J8" s="16">
        <v>17</v>
      </c>
      <c r="K8" s="16">
        <f>I8^2</f>
        <v>144</v>
      </c>
      <c r="L8" s="16">
        <f>J8^2</f>
        <v>289</v>
      </c>
      <c r="M8" s="16">
        <f>I8*J8</f>
        <v>204</v>
      </c>
      <c r="N8" s="7">
        <f>$M$6+($N$6*I8)</f>
        <v>18.458199356913177</v>
      </c>
      <c r="O8" s="14">
        <f>J8-N8</f>
        <v>-1.4581993569131768</v>
      </c>
      <c r="P8">
        <f>O8^2</f>
        <v>2.1263453645020025</v>
      </c>
      <c r="T8" s="16">
        <v>140</v>
      </c>
      <c r="U8" s="16">
        <v>25</v>
      </c>
      <c r="V8" s="16">
        <f>T8^2</f>
        <v>19600</v>
      </c>
      <c r="W8" s="16">
        <f>U8^2</f>
        <v>625</v>
      </c>
      <c r="X8" s="16">
        <f>T8*U8</f>
        <v>3500</v>
      </c>
      <c r="Y8" s="11">
        <f>($X$6+($Y$6*T8))</f>
        <v>18.660300000000007</v>
      </c>
      <c r="Z8" s="14">
        <f>U8-Y8</f>
        <v>6.3396999999999935</v>
      </c>
      <c r="AA8">
        <f>Z8^2</f>
        <v>40.191796089999919</v>
      </c>
      <c r="AD8" s="1" t="s">
        <v>0</v>
      </c>
      <c r="AE8" s="1" t="s">
        <v>1</v>
      </c>
      <c r="AF8" s="1" t="s">
        <v>2</v>
      </c>
      <c r="AG8" s="1" t="s">
        <v>3</v>
      </c>
      <c r="AH8" s="1" t="s">
        <v>4</v>
      </c>
      <c r="AI8" s="1" t="s">
        <v>92</v>
      </c>
      <c r="AJ8" s="1" t="s">
        <v>86</v>
      </c>
      <c r="AK8" s="1" t="s">
        <v>114</v>
      </c>
    </row>
    <row r="9" spans="1:37">
      <c r="A9" s="15"/>
      <c r="B9" s="15"/>
      <c r="C9" s="15"/>
      <c r="D9" s="15"/>
      <c r="E9" s="15"/>
      <c r="I9" s="16">
        <v>21</v>
      </c>
      <c r="J9" s="16">
        <v>15</v>
      </c>
      <c r="K9" s="16">
        <f t="shared" ref="K9:L12" si="0">I9^2</f>
        <v>441</v>
      </c>
      <c r="L9" s="16">
        <f t="shared" si="0"/>
        <v>225</v>
      </c>
      <c r="M9" s="16">
        <f t="shared" ref="M9:M12" si="1">I9*J9</f>
        <v>315</v>
      </c>
      <c r="N9" s="7">
        <f t="shared" ref="N9:N12" si="2">$M$6+($N$6*I9)</f>
        <v>19.919614147909964</v>
      </c>
      <c r="O9" s="14">
        <f t="shared" ref="O9:O12" si="3">J9-N9</f>
        <v>-4.9196141479099644</v>
      </c>
      <c r="P9">
        <f t="shared" ref="P9:P12" si="4">O9^2</f>
        <v>24.202603364315884</v>
      </c>
      <c r="T9" s="16">
        <v>119</v>
      </c>
      <c r="U9" s="16">
        <v>29</v>
      </c>
      <c r="V9" s="16">
        <f t="shared" ref="V9:W14" si="5">T9^2</f>
        <v>14161</v>
      </c>
      <c r="W9" s="16">
        <f t="shared" si="5"/>
        <v>841</v>
      </c>
      <c r="X9" s="16">
        <f t="shared" ref="X9:X14" si="6">T9*U9</f>
        <v>3451</v>
      </c>
      <c r="Y9" s="11">
        <f t="shared" ref="Y9:Y14" si="7">($X$6+($Y$6*T9))</f>
        <v>37.523340000000005</v>
      </c>
      <c r="Z9" s="14">
        <f t="shared" ref="Z9:Z14" si="8">U9-Y9</f>
        <v>-8.5233400000000046</v>
      </c>
      <c r="AA9">
        <f t="shared" ref="AA9:AA14" si="9">Z9^2</f>
        <v>72.647324755600081</v>
      </c>
      <c r="AD9" s="16">
        <v>12.5</v>
      </c>
      <c r="AE9" s="16">
        <v>148</v>
      </c>
      <c r="AF9" s="16">
        <f>AD9^2</f>
        <v>156.25</v>
      </c>
      <c r="AG9" s="16">
        <f>AE9^2</f>
        <v>21904</v>
      </c>
      <c r="AH9" s="16">
        <f>AD9*AE9</f>
        <v>1850</v>
      </c>
      <c r="AI9" s="7">
        <f>($AH$7+($AI$7*AD9))</f>
        <v>144.2053401247623</v>
      </c>
      <c r="AJ9" s="14">
        <f>AE9-AI9</f>
        <v>3.7946598752376985</v>
      </c>
      <c r="AK9">
        <f>AJ9^2</f>
        <v>14.399443568738986</v>
      </c>
    </row>
    <row r="10" spans="1:37">
      <c r="A10" s="15"/>
      <c r="B10" s="15"/>
      <c r="C10" s="15"/>
      <c r="D10" s="15"/>
      <c r="E10" s="15"/>
      <c r="I10" s="16">
        <v>28</v>
      </c>
      <c r="J10" s="16">
        <v>22</v>
      </c>
      <c r="K10" s="16">
        <f t="shared" si="0"/>
        <v>784</v>
      </c>
      <c r="L10" s="16">
        <f t="shared" si="0"/>
        <v>484</v>
      </c>
      <c r="M10" s="16">
        <f t="shared" si="1"/>
        <v>616</v>
      </c>
      <c r="N10" s="7">
        <f t="shared" si="2"/>
        <v>21.056270096463024</v>
      </c>
      <c r="O10" s="14">
        <f t="shared" si="3"/>
        <v>0.94372990353697617</v>
      </c>
      <c r="P10">
        <f t="shared" si="4"/>
        <v>0.89062613082991038</v>
      </c>
      <c r="T10" s="16">
        <v>103</v>
      </c>
      <c r="U10" s="16">
        <v>46</v>
      </c>
      <c r="V10" s="16">
        <f t="shared" si="5"/>
        <v>10609</v>
      </c>
      <c r="W10" s="16">
        <f t="shared" si="5"/>
        <v>2116</v>
      </c>
      <c r="X10" s="16">
        <f t="shared" si="6"/>
        <v>4738</v>
      </c>
      <c r="Y10" s="11">
        <f t="shared" si="7"/>
        <v>51.895180000000011</v>
      </c>
      <c r="Z10" s="14">
        <f t="shared" si="8"/>
        <v>-5.8951800000000105</v>
      </c>
      <c r="AA10">
        <f t="shared" si="9"/>
        <v>34.753147232400124</v>
      </c>
      <c r="AD10" s="16">
        <v>3.7</v>
      </c>
      <c r="AE10" s="16">
        <v>55</v>
      </c>
      <c r="AF10" s="16">
        <f t="shared" ref="AF10:AG16" si="10">AD10^2</f>
        <v>13.690000000000001</v>
      </c>
      <c r="AG10" s="16">
        <f t="shared" si="10"/>
        <v>3025</v>
      </c>
      <c r="AH10" s="16">
        <f t="shared" ref="AH10:AH16" si="11">AD10*AE10</f>
        <v>203.5</v>
      </c>
      <c r="AI10" s="7">
        <f t="shared" ref="AI10:AI16" si="12">($AH$7+($AI$7*AD10))</f>
        <v>10.095349620071516</v>
      </c>
      <c r="AJ10" s="14">
        <f t="shared" ref="AJ10:AJ16" si="13">AE10-AI10</f>
        <v>44.904650379928484</v>
      </c>
      <c r="AK10">
        <f t="shared" ref="AK10:AK16" si="14">AJ10^2</f>
        <v>2016.4276257436113</v>
      </c>
    </row>
    <row r="11" spans="1:37">
      <c r="A11" s="15"/>
      <c r="B11" s="15"/>
      <c r="C11" s="15"/>
      <c r="D11" s="15"/>
      <c r="E11" s="15"/>
      <c r="I11" s="16">
        <v>8</v>
      </c>
      <c r="J11" s="16">
        <v>19</v>
      </c>
      <c r="K11" s="16">
        <f t="shared" si="0"/>
        <v>64</v>
      </c>
      <c r="L11" s="16">
        <f t="shared" si="0"/>
        <v>361</v>
      </c>
      <c r="M11" s="16">
        <f t="shared" si="1"/>
        <v>152</v>
      </c>
      <c r="N11" s="7">
        <f t="shared" si="2"/>
        <v>17.808681672025717</v>
      </c>
      <c r="O11" s="14">
        <f t="shared" si="3"/>
        <v>1.1913183279742832</v>
      </c>
      <c r="P11">
        <f t="shared" si="4"/>
        <v>1.4192393585674417</v>
      </c>
      <c r="T11" s="16">
        <v>91</v>
      </c>
      <c r="U11" s="16">
        <v>70</v>
      </c>
      <c r="V11" s="16">
        <f t="shared" si="5"/>
        <v>8281</v>
      </c>
      <c r="W11" s="16">
        <f t="shared" si="5"/>
        <v>4900</v>
      </c>
      <c r="X11" s="16">
        <f t="shared" si="6"/>
        <v>6370</v>
      </c>
      <c r="Y11" s="11">
        <f t="shared" si="7"/>
        <v>62.674060000000011</v>
      </c>
      <c r="Z11" s="14">
        <f t="shared" si="8"/>
        <v>7.3259399999999886</v>
      </c>
      <c r="AA11">
        <f t="shared" si="9"/>
        <v>53.669396883599831</v>
      </c>
      <c r="AD11" s="16">
        <v>21.6</v>
      </c>
      <c r="AE11" s="16">
        <v>338</v>
      </c>
      <c r="AF11" s="16">
        <f t="shared" si="10"/>
        <v>466.56000000000006</v>
      </c>
      <c r="AG11" s="16">
        <f t="shared" si="10"/>
        <v>114244</v>
      </c>
      <c r="AH11" s="16">
        <f t="shared" si="11"/>
        <v>7300.8</v>
      </c>
      <c r="AI11" s="7">
        <f t="shared" si="12"/>
        <v>282.88726212393118</v>
      </c>
      <c r="AJ11" s="14">
        <f t="shared" si="13"/>
        <v>55.11273787606882</v>
      </c>
      <c r="AK11">
        <f t="shared" si="14"/>
        <v>3037.4138761962708</v>
      </c>
    </row>
    <row r="12" spans="1:37">
      <c r="I12" s="16">
        <v>20</v>
      </c>
      <c r="J12" s="16">
        <v>24</v>
      </c>
      <c r="K12" s="16">
        <f t="shared" si="0"/>
        <v>400</v>
      </c>
      <c r="L12" s="16">
        <f t="shared" si="0"/>
        <v>576</v>
      </c>
      <c r="M12" s="16">
        <f t="shared" si="1"/>
        <v>480</v>
      </c>
      <c r="N12" s="7">
        <f t="shared" si="2"/>
        <v>19.7572347266881</v>
      </c>
      <c r="O12" s="14">
        <f t="shared" si="3"/>
        <v>4.2427652733118997</v>
      </c>
      <c r="P12">
        <f t="shared" si="4"/>
        <v>18.0010571644214</v>
      </c>
      <c r="T12" s="16">
        <v>65</v>
      </c>
      <c r="U12" s="16">
        <v>88</v>
      </c>
      <c r="V12" s="16">
        <f t="shared" si="5"/>
        <v>4225</v>
      </c>
      <c r="W12" s="16">
        <f t="shared" si="5"/>
        <v>7744</v>
      </c>
      <c r="X12" s="16">
        <f t="shared" si="6"/>
        <v>5720</v>
      </c>
      <c r="Y12" s="11">
        <f t="shared" si="7"/>
        <v>86.028300000000002</v>
      </c>
      <c r="Z12" s="14">
        <f t="shared" si="8"/>
        <v>1.9716999999999985</v>
      </c>
      <c r="AA12">
        <f t="shared" si="9"/>
        <v>3.8876008899999941</v>
      </c>
      <c r="AD12" s="16">
        <v>60</v>
      </c>
      <c r="AE12" s="16">
        <v>994</v>
      </c>
      <c r="AF12" s="16">
        <f t="shared" si="10"/>
        <v>3600</v>
      </c>
      <c r="AG12" s="16">
        <f t="shared" si="10"/>
        <v>988036</v>
      </c>
      <c r="AH12" s="16">
        <f t="shared" si="11"/>
        <v>59640</v>
      </c>
      <c r="AI12" s="7">
        <f t="shared" si="12"/>
        <v>868.0944934171273</v>
      </c>
      <c r="AJ12" s="14">
        <f t="shared" si="13"/>
        <v>125.9055065828727</v>
      </c>
      <c r="AK12">
        <f t="shared" si="14"/>
        <v>15852.196587889801</v>
      </c>
    </row>
    <row r="13" spans="1:37" ht="20.100000000000001" customHeight="1">
      <c r="A13" s="57" t="s">
        <v>154</v>
      </c>
      <c r="B13" s="57"/>
      <c r="H13" s="19" t="s">
        <v>5</v>
      </c>
      <c r="I13" s="1">
        <f>SUM(I8:I12)</f>
        <v>89</v>
      </c>
      <c r="J13" s="1">
        <f t="shared" ref="J13:M13" si="15">SUM(J8:J12)</f>
        <v>97</v>
      </c>
      <c r="K13" s="1">
        <f t="shared" si="15"/>
        <v>1833</v>
      </c>
      <c r="L13" s="1">
        <f t="shared" si="15"/>
        <v>1935</v>
      </c>
      <c r="M13" s="1">
        <f t="shared" si="15"/>
        <v>1767</v>
      </c>
      <c r="N13" s="1">
        <f>SUM(N8:N12)</f>
        <v>96.999999999999972</v>
      </c>
      <c r="O13" s="1"/>
      <c r="P13" s="1">
        <f>SUM(P8:P12)</f>
        <v>46.639871382636642</v>
      </c>
      <c r="T13" s="16">
        <v>29</v>
      </c>
      <c r="U13" s="16">
        <v>112</v>
      </c>
      <c r="V13" s="16">
        <f t="shared" si="5"/>
        <v>841</v>
      </c>
      <c r="W13" s="16">
        <f t="shared" si="5"/>
        <v>12544</v>
      </c>
      <c r="X13" s="16">
        <f t="shared" si="6"/>
        <v>3248</v>
      </c>
      <c r="Y13" s="11">
        <f t="shared" si="7"/>
        <v>118.36494000000002</v>
      </c>
      <c r="Z13" s="14">
        <f t="shared" si="8"/>
        <v>-6.3649400000000185</v>
      </c>
      <c r="AA13">
        <f t="shared" si="9"/>
        <v>40.512461203600232</v>
      </c>
      <c r="AD13" s="16">
        <v>37.6</v>
      </c>
      <c r="AE13" s="16">
        <v>541</v>
      </c>
      <c r="AF13" s="16">
        <f t="shared" si="10"/>
        <v>1413.7600000000002</v>
      </c>
      <c r="AG13" s="16">
        <f t="shared" si="10"/>
        <v>292681</v>
      </c>
      <c r="AH13" s="16">
        <f t="shared" si="11"/>
        <v>20341.600000000002</v>
      </c>
      <c r="AI13" s="7">
        <f t="shared" si="12"/>
        <v>526.72360849609618</v>
      </c>
      <c r="AJ13" s="14">
        <f t="shared" si="13"/>
        <v>14.276391503903824</v>
      </c>
      <c r="AK13">
        <f t="shared" si="14"/>
        <v>203.81535437273729</v>
      </c>
    </row>
    <row r="14" spans="1:37">
      <c r="H14" s="19" t="s">
        <v>54</v>
      </c>
      <c r="I14" s="4">
        <f>AVERAGE(I8:I12)</f>
        <v>17.8</v>
      </c>
      <c r="J14" s="4">
        <f>AVERAGE(J8:J12)</f>
        <v>19.399999999999999</v>
      </c>
      <c r="K14" s="4"/>
      <c r="T14" s="16">
        <v>24</v>
      </c>
      <c r="U14" s="16">
        <v>128</v>
      </c>
      <c r="V14" s="16">
        <f t="shared" si="5"/>
        <v>576</v>
      </c>
      <c r="W14" s="16">
        <f t="shared" si="5"/>
        <v>16384</v>
      </c>
      <c r="X14" s="16">
        <f t="shared" si="6"/>
        <v>3072</v>
      </c>
      <c r="Y14" s="11">
        <f t="shared" si="7"/>
        <v>122.85614000000001</v>
      </c>
      <c r="Z14" s="14">
        <f t="shared" si="8"/>
        <v>5.1438599999999894</v>
      </c>
      <c r="AA14">
        <f t="shared" si="9"/>
        <v>26.459295699599892</v>
      </c>
      <c r="AD14" s="16">
        <v>6.1</v>
      </c>
      <c r="AE14" s="16">
        <v>89</v>
      </c>
      <c r="AF14" s="16">
        <f t="shared" si="10"/>
        <v>37.209999999999994</v>
      </c>
      <c r="AG14" s="16">
        <f t="shared" si="10"/>
        <v>7921</v>
      </c>
      <c r="AH14" s="16">
        <f t="shared" si="11"/>
        <v>542.9</v>
      </c>
      <c r="AI14" s="7">
        <f t="shared" si="12"/>
        <v>46.670801575896263</v>
      </c>
      <c r="AJ14" s="14">
        <f t="shared" si="13"/>
        <v>42.329198424103737</v>
      </c>
      <c r="AK14">
        <f t="shared" si="14"/>
        <v>1791.7610392271463</v>
      </c>
    </row>
    <row r="15" spans="1:37">
      <c r="I15" s="16"/>
      <c r="J15" s="16"/>
      <c r="K15" s="16" t="s">
        <v>47</v>
      </c>
      <c r="L15" s="16">
        <f>(M13-((I13*J13)/5))</f>
        <v>40.400000000000091</v>
      </c>
      <c r="M15" s="16"/>
      <c r="N15" s="16"/>
      <c r="O15" s="16"/>
      <c r="S15" s="36" t="s">
        <v>5</v>
      </c>
      <c r="T15" s="1">
        <f>SUM(T8:T14)</f>
        <v>571</v>
      </c>
      <c r="U15" s="1">
        <f t="shared" ref="U15:X15" si="16">SUM(U8:U14)</f>
        <v>498</v>
      </c>
      <c r="V15" s="1">
        <f t="shared" si="16"/>
        <v>58293</v>
      </c>
      <c r="W15" s="1">
        <f t="shared" si="16"/>
        <v>45154</v>
      </c>
      <c r="X15" s="1">
        <f t="shared" si="16"/>
        <v>30099</v>
      </c>
      <c r="Z15" s="14">
        <f>SUM(Z8:Z14)</f>
        <v>-2.2600000000636555E-3</v>
      </c>
      <c r="AA15" s="1">
        <f>SUM(AA8:AA14)</f>
        <v>272.12102275480004</v>
      </c>
      <c r="AD15" s="16">
        <v>16.8</v>
      </c>
      <c r="AE15" s="16">
        <v>126</v>
      </c>
      <c r="AF15" s="16">
        <f t="shared" si="10"/>
        <v>282.24</v>
      </c>
      <c r="AG15" s="16">
        <f t="shared" si="10"/>
        <v>15876</v>
      </c>
      <c r="AH15" s="16">
        <f t="shared" si="11"/>
        <v>2116.8000000000002</v>
      </c>
      <c r="AI15" s="7">
        <f t="shared" si="12"/>
        <v>209.73635821228169</v>
      </c>
      <c r="AJ15" s="14">
        <f t="shared" si="13"/>
        <v>-83.736358212281687</v>
      </c>
      <c r="AK15">
        <f t="shared" si="14"/>
        <v>7011.777686655555</v>
      </c>
    </row>
    <row r="16" spans="1:37">
      <c r="I16" s="16"/>
      <c r="J16" s="16"/>
      <c r="K16" s="16" t="s">
        <v>57</v>
      </c>
      <c r="L16" s="16">
        <f>(K13-((I13^2)/5))</f>
        <v>248.79999999999995</v>
      </c>
      <c r="M16" s="16"/>
      <c r="N16" s="16"/>
      <c r="O16" s="16"/>
      <c r="S16" s="36" t="s">
        <v>54</v>
      </c>
      <c r="T16" s="4">
        <f>AVERAGE(T8:T14)</f>
        <v>81.571428571428569</v>
      </c>
      <c r="U16" s="4">
        <f>AVERAGE(U8:U14)</f>
        <v>71.142857142857139</v>
      </c>
      <c r="AD16" s="16">
        <v>41.2</v>
      </c>
      <c r="AE16" s="16">
        <v>379</v>
      </c>
      <c r="AF16" s="16">
        <f t="shared" si="10"/>
        <v>1697.4400000000003</v>
      </c>
      <c r="AG16" s="16">
        <f t="shared" si="10"/>
        <v>143641</v>
      </c>
      <c r="AH16" s="16">
        <f t="shared" si="11"/>
        <v>15614.800000000001</v>
      </c>
      <c r="AI16" s="7">
        <f t="shared" si="12"/>
        <v>581.58678642983341</v>
      </c>
      <c r="AJ16" s="14">
        <f t="shared" si="13"/>
        <v>-202.58678642983341</v>
      </c>
      <c r="AK16">
        <f t="shared" si="14"/>
        <v>41041.406035966931</v>
      </c>
    </row>
    <row r="17" spans="2:38">
      <c r="I17" s="16"/>
      <c r="J17" s="16"/>
      <c r="K17" s="28" t="s">
        <v>48</v>
      </c>
      <c r="L17" s="28">
        <f>L15/L16</f>
        <v>0.16237942122186536</v>
      </c>
      <c r="M17" s="16"/>
      <c r="N17" s="16"/>
      <c r="O17" s="16"/>
      <c r="T17" s="7"/>
      <c r="U17" s="7"/>
      <c r="V17" s="7"/>
      <c r="W17" s="7"/>
      <c r="X17" s="7"/>
      <c r="Y17" s="7"/>
      <c r="AD17" s="1">
        <f>SUM(AD9:AD16)</f>
        <v>199.5</v>
      </c>
      <c r="AE17" s="1">
        <f t="shared" ref="AE17:AH17" si="17">SUM(AE9:AE16)</f>
        <v>2670</v>
      </c>
      <c r="AF17" s="1">
        <f t="shared" si="17"/>
        <v>7667.1500000000005</v>
      </c>
      <c r="AG17" s="1">
        <f t="shared" si="17"/>
        <v>1587328</v>
      </c>
      <c r="AH17" s="1">
        <f t="shared" si="17"/>
        <v>107610.40000000001</v>
      </c>
      <c r="AJ17" s="14">
        <f>SUM(AJ9:AJ16)</f>
        <v>0</v>
      </c>
      <c r="AK17" s="1">
        <f>SUM(AK9:AK16)</f>
        <v>70969.197649620794</v>
      </c>
    </row>
    <row r="18" spans="2:38">
      <c r="I18" s="16"/>
      <c r="J18" s="16"/>
      <c r="K18" s="28" t="s">
        <v>50</v>
      </c>
      <c r="L18" s="28">
        <f>J14-(I14*L17)</f>
        <v>16.509646302250793</v>
      </c>
      <c r="M18" s="16"/>
      <c r="N18" s="16"/>
      <c r="O18" s="16"/>
      <c r="T18" s="7"/>
      <c r="U18" s="7" t="s">
        <v>56</v>
      </c>
      <c r="V18" s="7">
        <f>(X15-((T15*U15)/7))</f>
        <v>-10523.571428571428</v>
      </c>
      <c r="W18" s="7"/>
      <c r="X18" s="7"/>
      <c r="Y18" s="7"/>
      <c r="AD18" s="4">
        <f>AVERAGE(AD9:AD16)</f>
        <v>24.9375</v>
      </c>
      <c r="AE18" s="4">
        <f>AVERAGE(AE9:AE16)</f>
        <v>333.75</v>
      </c>
    </row>
    <row r="19" spans="2:38" ht="21">
      <c r="I19" s="16"/>
      <c r="J19" s="16"/>
      <c r="K19" s="16"/>
      <c r="L19" s="78" t="s">
        <v>91</v>
      </c>
      <c r="M19" s="78"/>
      <c r="N19" s="78"/>
      <c r="O19" s="78"/>
      <c r="T19" s="7"/>
      <c r="U19" s="7" t="s">
        <v>57</v>
      </c>
      <c r="V19" s="7">
        <f>(V15-((T15^2)/7))</f>
        <v>11715.714285714283</v>
      </c>
      <c r="W19" s="7"/>
      <c r="X19" s="7"/>
      <c r="Y19" s="7"/>
      <c r="Z19" s="40" t="s">
        <v>157</v>
      </c>
      <c r="AA19" s="40">
        <f>(W15-(U15^2)/7)</f>
        <v>9724.8571428571449</v>
      </c>
      <c r="AB19" s="40"/>
      <c r="AD19" s="7"/>
      <c r="AE19" s="7" t="s">
        <v>56</v>
      </c>
      <c r="AF19" s="7">
        <f>(AH17-((AD17*AE17)/8))</f>
        <v>41027.275000000009</v>
      </c>
      <c r="AG19" s="7"/>
      <c r="AH19" s="7"/>
      <c r="AI19" s="29" t="s">
        <v>162</v>
      </c>
      <c r="AJ19" s="29">
        <f>(AG17-(AE17^2)/8)</f>
        <v>696215.5</v>
      </c>
      <c r="AK19" s="29"/>
    </row>
    <row r="20" spans="2:38">
      <c r="T20" s="7"/>
      <c r="U20" s="7" t="s">
        <v>48</v>
      </c>
      <c r="V20" s="7">
        <f>V18/V19</f>
        <v>-0.89824411657115</v>
      </c>
      <c r="W20" s="7"/>
      <c r="X20" s="7"/>
      <c r="Y20" s="7"/>
      <c r="Z20" s="40" t="s">
        <v>151</v>
      </c>
      <c r="AA20" s="40">
        <f>(V20^2)*V19</f>
        <v>9452.7361210305371</v>
      </c>
      <c r="AB20" s="40"/>
      <c r="AD20" s="7"/>
      <c r="AE20" s="7" t="s">
        <v>57</v>
      </c>
      <c r="AF20" s="7">
        <f>(AF17-((AD17^2)/8))</f>
        <v>2692.1187500000005</v>
      </c>
      <c r="AG20" s="7"/>
      <c r="AH20" s="7"/>
      <c r="AI20" s="29" t="s">
        <v>151</v>
      </c>
      <c r="AJ20" s="29">
        <f>(AF21^2)*AF20</f>
        <v>625246.30235037941</v>
      </c>
      <c r="AK20" s="29"/>
    </row>
    <row r="21" spans="2:38">
      <c r="G21" s="14" t="s">
        <v>153</v>
      </c>
      <c r="H21" s="14">
        <f>(L13-(J13^2)/5)</f>
        <v>53.200000000000045</v>
      </c>
      <c r="T21" s="7"/>
      <c r="U21" s="7" t="s">
        <v>50</v>
      </c>
      <c r="V21" s="7">
        <f>(U16-(V20*T16))</f>
        <v>144.41391293744664</v>
      </c>
      <c r="W21" s="7"/>
      <c r="X21" s="7"/>
      <c r="Y21" s="7"/>
      <c r="Z21" s="40" t="s">
        <v>152</v>
      </c>
      <c r="AA21" s="40">
        <f>AA20/AA19</f>
        <v>0.97201799287854018</v>
      </c>
      <c r="AB21" s="40" t="s">
        <v>158</v>
      </c>
      <c r="AD21" s="7"/>
      <c r="AE21" s="7" t="s">
        <v>48</v>
      </c>
      <c r="AF21" s="7">
        <f>AF19/AF20</f>
        <v>15.239771648260316</v>
      </c>
      <c r="AG21" s="7"/>
      <c r="AH21" s="7"/>
      <c r="AI21" s="29" t="s">
        <v>152</v>
      </c>
      <c r="AJ21" s="29">
        <f>AJ20/AJ19</f>
        <v>0.89806432397781921</v>
      </c>
      <c r="AK21" s="29"/>
    </row>
    <row r="22" spans="2:38" ht="19.5">
      <c r="G22" s="14" t="s">
        <v>151</v>
      </c>
      <c r="H22" s="14">
        <f>(L17^2)*L16</f>
        <v>6.5601286173633762</v>
      </c>
      <c r="J22" s="84" t="s">
        <v>115</v>
      </c>
      <c r="K22" s="84"/>
      <c r="L22" s="84"/>
      <c r="M22" s="39">
        <f>((P13)/5-2)^0.5</f>
        <v>2.7070231392670672</v>
      </c>
      <c r="T22" s="7"/>
      <c r="U22" s="7"/>
      <c r="V22" s="67" t="s">
        <v>58</v>
      </c>
      <c r="W22" s="67"/>
      <c r="X22" s="67"/>
      <c r="Y22" s="67"/>
      <c r="Z22" s="40" t="s">
        <v>152</v>
      </c>
      <c r="AA22" s="40">
        <f>(1-AA15/AA19)</f>
        <v>0.97201799278309486</v>
      </c>
      <c r="AB22" s="40" t="s">
        <v>159</v>
      </c>
      <c r="AD22" s="7"/>
      <c r="AE22" s="7" t="s">
        <v>50</v>
      </c>
      <c r="AF22" s="7">
        <f>AE18-(AD18*AF21)</f>
        <v>-46.291805478491654</v>
      </c>
      <c r="AG22" s="7"/>
      <c r="AH22" s="7"/>
      <c r="AI22" s="29" t="s">
        <v>152</v>
      </c>
      <c r="AJ22" s="29">
        <f>(1-AK17/AJ19)</f>
        <v>0.89806432397781899</v>
      </c>
      <c r="AK22" s="29"/>
    </row>
    <row r="23" spans="2:38" ht="18.75">
      <c r="G23" s="14" t="s">
        <v>152</v>
      </c>
      <c r="H23" s="14">
        <f>H22/H21</f>
        <v>0.12331068829630396</v>
      </c>
      <c r="Z23" s="88" t="s">
        <v>160</v>
      </c>
      <c r="AA23" s="88"/>
      <c r="AB23" s="88"/>
      <c r="AC23" s="88"/>
      <c r="AD23" s="7"/>
      <c r="AE23" s="7"/>
      <c r="AF23" s="64" t="s">
        <v>62</v>
      </c>
      <c r="AG23" s="64"/>
      <c r="AH23" s="64"/>
      <c r="AI23" s="88" t="s">
        <v>163</v>
      </c>
      <c r="AJ23" s="88"/>
      <c r="AK23" s="88"/>
      <c r="AL23" s="88"/>
    </row>
    <row r="24" spans="2:38">
      <c r="J24" s="27" t="s">
        <v>150</v>
      </c>
      <c r="K24" s="27"/>
      <c r="L24" s="27"/>
      <c r="M24" s="30" t="s">
        <v>156</v>
      </c>
      <c r="U24" s="51" t="s">
        <v>115</v>
      </c>
      <c r="V24" s="51"/>
      <c r="W24" s="51"/>
      <c r="X24" s="15">
        <f>(AA15/5)^0.5</f>
        <v>7.3772762284572213</v>
      </c>
      <c r="Z24" s="88" t="s">
        <v>161</v>
      </c>
      <c r="AA24" s="88"/>
      <c r="AB24" s="88"/>
      <c r="AC24" s="88"/>
      <c r="AI24" s="88" t="s">
        <v>161</v>
      </c>
      <c r="AJ24" s="88"/>
      <c r="AK24" s="88"/>
      <c r="AL24" s="88"/>
    </row>
    <row r="25" spans="2:38">
      <c r="J25" s="27"/>
      <c r="K25" s="27"/>
      <c r="L25" s="27" t="s">
        <v>152</v>
      </c>
      <c r="M25" s="14">
        <f>(1-P13/H21)</f>
        <v>0.12331068829630443</v>
      </c>
      <c r="AE25" s="61" t="s">
        <v>127</v>
      </c>
      <c r="AF25" s="61"/>
      <c r="AG25" s="61"/>
      <c r="AH25">
        <f>(AK17/6)^0.5</f>
        <v>108.75752667411176</v>
      </c>
    </row>
    <row r="26" spans="2:38">
      <c r="J26" s="57" t="s">
        <v>155</v>
      </c>
      <c r="K26" s="57"/>
      <c r="L26" s="57"/>
      <c r="M26" s="57"/>
      <c r="N26" s="57"/>
      <c r="O26" s="57"/>
      <c r="U26" s="12" t="s">
        <v>121</v>
      </c>
      <c r="V26" s="12">
        <f>X24</f>
        <v>7.3772762284572213</v>
      </c>
      <c r="W26" s="83" t="s">
        <v>123</v>
      </c>
      <c r="X26" s="83"/>
      <c r="Y26" s="83"/>
      <c r="AE26" s="8" t="s">
        <v>128</v>
      </c>
      <c r="AF26" s="8">
        <f>AH25</f>
        <v>108.75752667411176</v>
      </c>
      <c r="AG26" s="16" t="s">
        <v>130</v>
      </c>
    </row>
    <row r="27" spans="2:38">
      <c r="U27" s="12" t="s">
        <v>122</v>
      </c>
      <c r="V27" s="12">
        <f>2*V26</f>
        <v>14.754552456914443</v>
      </c>
      <c r="W27" s="84" t="s">
        <v>124</v>
      </c>
      <c r="X27" s="84"/>
      <c r="Y27" s="84"/>
      <c r="AE27" s="8" t="s">
        <v>129</v>
      </c>
      <c r="AF27" s="8">
        <f>2*AH25</f>
        <v>217.51505334822352</v>
      </c>
      <c r="AG27" s="29" t="s">
        <v>131</v>
      </c>
    </row>
    <row r="30" spans="2:38" ht="18.75">
      <c r="B30" s="68" t="s">
        <v>167</v>
      </c>
      <c r="C30" s="68"/>
      <c r="G30">
        <f>E41</f>
        <v>15.459905660377359</v>
      </c>
      <c r="H30">
        <f>E40</f>
        <v>-0.71462264150943411</v>
      </c>
    </row>
    <row r="31" spans="2:38" ht="23.25">
      <c r="C31" s="1" t="s">
        <v>64</v>
      </c>
      <c r="D31" s="1" t="s">
        <v>65</v>
      </c>
      <c r="E31" s="1" t="s">
        <v>2</v>
      </c>
      <c r="F31" s="1" t="s">
        <v>3</v>
      </c>
      <c r="G31" s="1" t="s">
        <v>4</v>
      </c>
      <c r="H31" s="1" t="s">
        <v>85</v>
      </c>
      <c r="I31" s="1" t="s">
        <v>86</v>
      </c>
      <c r="J31" s="1" t="s">
        <v>114</v>
      </c>
      <c r="R31" s="41" t="s">
        <v>169</v>
      </c>
      <c r="S31" s="41"/>
      <c r="T31" s="20"/>
      <c r="U31">
        <f>T44</f>
        <v>36.83901815946848</v>
      </c>
      <c r="V31">
        <f>T43</f>
        <v>7.7204135653052917E-4</v>
      </c>
      <c r="AC31" s="103" t="s">
        <v>171</v>
      </c>
      <c r="AD31" s="103"/>
      <c r="AE31" s="103"/>
    </row>
    <row r="32" spans="2:38">
      <c r="C32" s="15">
        <v>16</v>
      </c>
      <c r="D32" s="15">
        <v>5</v>
      </c>
      <c r="E32" s="15">
        <f>C32^2</f>
        <v>256</v>
      </c>
      <c r="F32" s="15">
        <f>D32^2</f>
        <v>25</v>
      </c>
      <c r="G32" s="15">
        <f>C32*D32</f>
        <v>80</v>
      </c>
      <c r="H32" s="7">
        <f>($G$30+($H$30*C32))</f>
        <v>4.0259433962264133</v>
      </c>
      <c r="I32" s="14">
        <f>D32-H32</f>
        <v>0.97405660377358672</v>
      </c>
      <c r="J32" s="24">
        <f>I32^2</f>
        <v>0.9487862673549341</v>
      </c>
      <c r="Q32" s="1" t="s">
        <v>71</v>
      </c>
      <c r="R32" s="1" t="s">
        <v>72</v>
      </c>
      <c r="S32" s="1" t="s">
        <v>2</v>
      </c>
      <c r="T32" s="1" t="s">
        <v>3</v>
      </c>
      <c r="U32" s="1" t="s">
        <v>4</v>
      </c>
      <c r="V32" s="1" t="s">
        <v>85</v>
      </c>
      <c r="W32" s="1" t="s">
        <v>86</v>
      </c>
      <c r="X32" s="1" t="s">
        <v>114</v>
      </c>
      <c r="AA32" s="38"/>
      <c r="AB32" s="38"/>
      <c r="AC32" s="38"/>
      <c r="AD32" s="38"/>
      <c r="AE32" s="38">
        <f>AC49</f>
        <v>-314.94043016196298</v>
      </c>
      <c r="AF32" s="38">
        <f>AC48</f>
        <v>11.379574378003337</v>
      </c>
      <c r="AG32" s="38"/>
      <c r="AH32" s="38"/>
    </row>
    <row r="33" spans="2:34">
      <c r="C33" s="15">
        <v>6</v>
      </c>
      <c r="D33" s="15">
        <v>12</v>
      </c>
      <c r="E33" s="15">
        <f t="shared" ref="E33:F36" si="18">C33^2</f>
        <v>36</v>
      </c>
      <c r="F33" s="15">
        <f t="shared" si="18"/>
        <v>144</v>
      </c>
      <c r="G33" s="15">
        <f t="shared" ref="G33:G36" si="19">C33*D33</f>
        <v>72</v>
      </c>
      <c r="H33" s="7">
        <f t="shared" ref="H33:H36" si="20">($G$30+($H$30*C33))</f>
        <v>11.172169811320755</v>
      </c>
      <c r="I33" s="14">
        <f t="shared" ref="I33:I36" si="21">D33-H33</f>
        <v>0.82783018867924518</v>
      </c>
      <c r="J33" s="24">
        <f t="shared" ref="J33:J36" si="22">I33^2</f>
        <v>0.68530282128871467</v>
      </c>
      <c r="Q33" s="7">
        <v>58.1</v>
      </c>
      <c r="R33" s="7">
        <v>34.299999999999997</v>
      </c>
      <c r="S33" s="7">
        <f>Q33^2</f>
        <v>3375.61</v>
      </c>
      <c r="T33" s="7">
        <f>R33^2</f>
        <v>1176.4899999999998</v>
      </c>
      <c r="U33" s="7">
        <f>Q33*R33</f>
        <v>1992.83</v>
      </c>
      <c r="V33" s="24">
        <f>($U$31+($V$31*Q33))</f>
        <v>36.883873762282903</v>
      </c>
      <c r="W33" s="14">
        <f>R33-V33</f>
        <v>-2.5838737622829058</v>
      </c>
      <c r="X33">
        <f>W33^2</f>
        <v>6.6764036194140184</v>
      </c>
      <c r="AA33" s="38" t="s">
        <v>0</v>
      </c>
      <c r="AB33" s="38" t="s">
        <v>172</v>
      </c>
      <c r="AC33" s="38" t="s">
        <v>2</v>
      </c>
      <c r="AD33" s="38" t="s">
        <v>3</v>
      </c>
      <c r="AE33" s="38" t="s">
        <v>4</v>
      </c>
      <c r="AF33" s="38" t="s">
        <v>97</v>
      </c>
      <c r="AG33" s="38" t="s">
        <v>86</v>
      </c>
      <c r="AH33" s="38" t="s">
        <v>114</v>
      </c>
    </row>
    <row r="34" spans="2:34">
      <c r="C34" s="15">
        <v>8</v>
      </c>
      <c r="D34" s="15">
        <v>9</v>
      </c>
      <c r="E34" s="15">
        <f t="shared" si="18"/>
        <v>64</v>
      </c>
      <c r="F34" s="15">
        <f t="shared" si="18"/>
        <v>81</v>
      </c>
      <c r="G34" s="15">
        <f t="shared" si="19"/>
        <v>72</v>
      </c>
      <c r="H34" s="7">
        <f t="shared" si="20"/>
        <v>9.7429245283018862</v>
      </c>
      <c r="I34" s="14">
        <f t="shared" si="21"/>
        <v>-0.74292452830188616</v>
      </c>
      <c r="J34" s="24">
        <f t="shared" si="22"/>
        <v>0.55193685475258003</v>
      </c>
      <c r="Q34" s="7">
        <v>55.4</v>
      </c>
      <c r="R34" s="7">
        <v>35</v>
      </c>
      <c r="S34" s="7">
        <f t="shared" ref="S34:T38" si="23">Q34^2</f>
        <v>3069.16</v>
      </c>
      <c r="T34" s="7">
        <f t="shared" si="23"/>
        <v>1225</v>
      </c>
      <c r="U34" s="7">
        <f t="shared" ref="U34:U38" si="24">Q34*R34</f>
        <v>1939</v>
      </c>
      <c r="V34" s="24">
        <f t="shared" ref="V34:V38" si="25">($U$31+($V$31*Q34))</f>
        <v>36.881789250620272</v>
      </c>
      <c r="W34" s="14">
        <f t="shared" ref="W34:W38" si="26">R34-V34</f>
        <v>-1.8817892506202725</v>
      </c>
      <c r="X34">
        <f t="shared" ref="X34:X38" si="27">W34^2</f>
        <v>3.5411307837500066</v>
      </c>
      <c r="AA34" s="38">
        <v>37.414999999999999</v>
      </c>
      <c r="AB34" s="38">
        <v>116.8</v>
      </c>
      <c r="AC34" s="38">
        <f>AA34^2</f>
        <v>1399.8822249999998</v>
      </c>
      <c r="AD34" s="38">
        <f>AB34^2</f>
        <v>13642.24</v>
      </c>
      <c r="AE34" s="38">
        <f>AA34*AB34</f>
        <v>4370.0720000000001</v>
      </c>
      <c r="AF34" s="38">
        <f>($AE$32+($AF$32*AA34))</f>
        <v>110.82634519103186</v>
      </c>
      <c r="AG34" s="38">
        <f t="shared" ref="AG34:AG42" si="28">AB34-AF34</f>
        <v>5.9736548089681349</v>
      </c>
      <c r="AH34" s="38">
        <f>AG34^2</f>
        <v>35.684551776708126</v>
      </c>
    </row>
    <row r="35" spans="2:34">
      <c r="C35" s="15">
        <v>4</v>
      </c>
      <c r="D35" s="15">
        <v>15</v>
      </c>
      <c r="E35" s="15">
        <f t="shared" si="18"/>
        <v>16</v>
      </c>
      <c r="F35" s="15">
        <f t="shared" si="18"/>
        <v>225</v>
      </c>
      <c r="G35" s="15">
        <f t="shared" si="19"/>
        <v>60</v>
      </c>
      <c r="H35" s="7">
        <f t="shared" si="20"/>
        <v>12.601415094339622</v>
      </c>
      <c r="I35" s="14">
        <f t="shared" si="21"/>
        <v>2.3985849056603783</v>
      </c>
      <c r="J35" s="24">
        <f t="shared" si="22"/>
        <v>5.7532095496618059</v>
      </c>
      <c r="Q35" s="7">
        <v>57</v>
      </c>
      <c r="R35" s="7">
        <v>38.5</v>
      </c>
      <c r="S35" s="7">
        <f t="shared" si="23"/>
        <v>3249</v>
      </c>
      <c r="T35" s="7">
        <f t="shared" si="23"/>
        <v>1482.25</v>
      </c>
      <c r="U35" s="7">
        <f t="shared" si="24"/>
        <v>2194.5</v>
      </c>
      <c r="V35" s="24">
        <f t="shared" si="25"/>
        <v>36.883024516790719</v>
      </c>
      <c r="W35" s="14">
        <f t="shared" si="26"/>
        <v>1.6169754832092806</v>
      </c>
      <c r="X35">
        <f t="shared" si="27"/>
        <v>2.6146097132998865</v>
      </c>
      <c r="AA35" s="38">
        <v>36.770000000000003</v>
      </c>
      <c r="AB35" s="38">
        <v>91.5</v>
      </c>
      <c r="AC35" s="38">
        <f t="shared" ref="AC35:AC42" si="29">AA35^2</f>
        <v>1352.0329000000002</v>
      </c>
      <c r="AD35" s="38">
        <f t="shared" ref="AD35:AD42" si="30">AB35^2</f>
        <v>8372.25</v>
      </c>
      <c r="AE35" s="38">
        <f t="shared" ref="AE35:AE42" si="31">AA35*AB35</f>
        <v>3364.4550000000004</v>
      </c>
      <c r="AF35" s="38">
        <f t="shared" ref="AF35:AF42" si="32">($AE$32+($AF$32*AA35))</f>
        <v>103.48651971721978</v>
      </c>
      <c r="AG35" s="38">
        <f t="shared" si="28"/>
        <v>-11.986519717219778</v>
      </c>
      <c r="AH35" s="38">
        <f t="shared" ref="AH35:AH42" si="33">AG35^2</f>
        <v>143.67665493129851</v>
      </c>
    </row>
    <row r="36" spans="2:34">
      <c r="C36" s="15">
        <v>7</v>
      </c>
      <c r="D36" s="15">
        <v>7</v>
      </c>
      <c r="E36" s="15">
        <f t="shared" si="18"/>
        <v>49</v>
      </c>
      <c r="F36" s="15">
        <f t="shared" si="18"/>
        <v>49</v>
      </c>
      <c r="G36" s="15">
        <f t="shared" si="19"/>
        <v>49</v>
      </c>
      <c r="H36" s="7">
        <f t="shared" si="20"/>
        <v>10.45754716981132</v>
      </c>
      <c r="I36" s="14">
        <f t="shared" si="21"/>
        <v>-3.4575471698113205</v>
      </c>
      <c r="J36" s="24">
        <f t="shared" si="22"/>
        <v>11.954632431470273</v>
      </c>
      <c r="Q36" s="7">
        <v>58.5</v>
      </c>
      <c r="R36" s="7">
        <v>40.1</v>
      </c>
      <c r="S36" s="7">
        <f t="shared" si="23"/>
        <v>3422.25</v>
      </c>
      <c r="T36" s="7">
        <f t="shared" si="23"/>
        <v>1608.0100000000002</v>
      </c>
      <c r="U36" s="7">
        <f t="shared" si="24"/>
        <v>2345.85</v>
      </c>
      <c r="V36" s="24">
        <f t="shared" si="25"/>
        <v>36.884182578825516</v>
      </c>
      <c r="W36" s="14">
        <f t="shared" si="26"/>
        <v>3.215817421174485</v>
      </c>
      <c r="X36">
        <f t="shared" si="27"/>
        <v>10.341481686329315</v>
      </c>
      <c r="AA36" s="38">
        <v>35.500999999999998</v>
      </c>
      <c r="AB36" s="38">
        <v>68.5</v>
      </c>
      <c r="AC36" s="38">
        <f t="shared" si="29"/>
        <v>1260.3210009999998</v>
      </c>
      <c r="AD36" s="38">
        <f t="shared" si="30"/>
        <v>4692.25</v>
      </c>
      <c r="AE36" s="38">
        <f t="shared" si="31"/>
        <v>2431.8184999999999</v>
      </c>
      <c r="AF36" s="38">
        <f t="shared" si="32"/>
        <v>89.045839831533442</v>
      </c>
      <c r="AG36" s="38">
        <f t="shared" si="28"/>
        <v>-20.545839831533442</v>
      </c>
      <c r="AH36" s="38">
        <f t="shared" si="33"/>
        <v>422.13153438302612</v>
      </c>
    </row>
    <row r="37" spans="2:34">
      <c r="B37" t="s">
        <v>5</v>
      </c>
      <c r="C37" s="1">
        <f>SUM(C32:C36)</f>
        <v>41</v>
      </c>
      <c r="D37" s="1">
        <f>SUM(D32:D36)</f>
        <v>48</v>
      </c>
      <c r="E37" s="1">
        <f>SUM(E32:E36)</f>
        <v>421</v>
      </c>
      <c r="F37" s="1">
        <f>SUM(F32:F36)</f>
        <v>524</v>
      </c>
      <c r="G37" s="1">
        <f>SUM(G32:G36)</f>
        <v>333</v>
      </c>
      <c r="I37" s="37"/>
      <c r="J37" s="1">
        <f>SUM(J32:J36)</f>
        <v>19.893867924528308</v>
      </c>
      <c r="Q37" s="7">
        <v>57.4</v>
      </c>
      <c r="R37" s="7">
        <v>35.5</v>
      </c>
      <c r="S37" s="7">
        <f t="shared" si="23"/>
        <v>3294.7599999999998</v>
      </c>
      <c r="T37" s="7">
        <f t="shared" si="23"/>
        <v>1260.25</v>
      </c>
      <c r="U37" s="7">
        <f t="shared" si="24"/>
        <v>2037.7</v>
      </c>
      <c r="V37" s="24">
        <f t="shared" si="25"/>
        <v>36.883333333333333</v>
      </c>
      <c r="W37" s="14">
        <f t="shared" si="26"/>
        <v>-1.3833333333333329</v>
      </c>
      <c r="X37">
        <f t="shared" si="27"/>
        <v>1.9136111111111098</v>
      </c>
      <c r="AA37" s="38">
        <v>35.046999999999997</v>
      </c>
      <c r="AB37" s="38">
        <v>61.6</v>
      </c>
      <c r="AC37" s="38">
        <f t="shared" si="29"/>
        <v>1228.2922089999997</v>
      </c>
      <c r="AD37" s="38">
        <f t="shared" si="30"/>
        <v>3794.5600000000004</v>
      </c>
      <c r="AE37" s="38">
        <f t="shared" si="31"/>
        <v>2158.8951999999999</v>
      </c>
      <c r="AF37" s="38">
        <f t="shared" si="32"/>
        <v>83.879513063919944</v>
      </c>
      <c r="AG37" s="38">
        <f t="shared" si="28"/>
        <v>-22.279513063919943</v>
      </c>
      <c r="AH37" s="38">
        <f t="shared" si="33"/>
        <v>496.3767023653794</v>
      </c>
    </row>
    <row r="38" spans="2:34">
      <c r="B38" s="24" t="s">
        <v>68</v>
      </c>
      <c r="C38" s="24">
        <f>AVERAGE(C32:C36)</f>
        <v>8.1999999999999993</v>
      </c>
      <c r="D38" s="27" t="s">
        <v>47</v>
      </c>
      <c r="E38" s="27">
        <f>(G37-((C37*D37)/5))</f>
        <v>-60.600000000000023</v>
      </c>
      <c r="F38" s="27"/>
      <c r="G38" s="27"/>
      <c r="H38" s="27"/>
      <c r="Q38" s="7">
        <v>58</v>
      </c>
      <c r="R38" s="7">
        <v>37.9</v>
      </c>
      <c r="S38" s="7">
        <f t="shared" si="23"/>
        <v>3364</v>
      </c>
      <c r="T38" s="7">
        <f t="shared" si="23"/>
        <v>1436.4099999999999</v>
      </c>
      <c r="U38" s="7">
        <f t="shared" si="24"/>
        <v>2198.1999999999998</v>
      </c>
      <c r="V38" s="24">
        <f t="shared" si="25"/>
        <v>36.883796558147253</v>
      </c>
      <c r="W38" s="14">
        <f t="shared" si="26"/>
        <v>1.0162034418527455</v>
      </c>
      <c r="X38">
        <f t="shared" si="27"/>
        <v>1.0326694352333663</v>
      </c>
      <c r="AA38" s="38">
        <v>34.700000000000003</v>
      </c>
      <c r="AB38" s="38">
        <v>65.900000000000006</v>
      </c>
      <c r="AC38" s="38">
        <f t="shared" si="29"/>
        <v>1204.0900000000001</v>
      </c>
      <c r="AD38" s="38">
        <f t="shared" si="30"/>
        <v>4342.8100000000004</v>
      </c>
      <c r="AE38" s="38">
        <f t="shared" si="31"/>
        <v>2286.7300000000005</v>
      </c>
      <c r="AF38" s="38">
        <f t="shared" si="32"/>
        <v>79.930800754752852</v>
      </c>
      <c r="AG38" s="38">
        <f t="shared" si="28"/>
        <v>-14.030800754752846</v>
      </c>
      <c r="AH38" s="38">
        <f t="shared" si="33"/>
        <v>196.86336981957302</v>
      </c>
    </row>
    <row r="39" spans="2:34">
      <c r="B39" s="24" t="s">
        <v>67</v>
      </c>
      <c r="C39" s="24">
        <f>AVERAGE(D32:D36)</f>
        <v>9.6</v>
      </c>
      <c r="D39" s="27" t="s">
        <v>57</v>
      </c>
      <c r="E39" s="27">
        <f>(E37-((C37^2)/5))</f>
        <v>84.800000000000011</v>
      </c>
      <c r="F39" s="27"/>
      <c r="G39" s="27"/>
      <c r="H39" s="27"/>
      <c r="I39" s="29" t="s">
        <v>162</v>
      </c>
      <c r="J39" s="29">
        <f>(F37-(D37^2)/5)</f>
        <v>63.199999999999989</v>
      </c>
      <c r="K39" s="29"/>
      <c r="P39" s="19" t="s">
        <v>5</v>
      </c>
      <c r="Q39" s="1">
        <f>SUM(Q33:Q38)</f>
        <v>344.4</v>
      </c>
      <c r="R39" s="1">
        <f t="shared" ref="R39:U39" si="34">SUM(R33:R38)</f>
        <v>221.3</v>
      </c>
      <c r="S39" s="1">
        <f t="shared" si="34"/>
        <v>19774.78</v>
      </c>
      <c r="T39" s="1">
        <f t="shared" si="34"/>
        <v>8188.41</v>
      </c>
      <c r="U39" s="1">
        <f t="shared" si="34"/>
        <v>12708.080000000002</v>
      </c>
      <c r="W39" s="14">
        <f>SUM(W33:W38)</f>
        <v>0</v>
      </c>
      <c r="X39" s="1">
        <f>SUM(X33:X38)</f>
        <v>26.1199063491377</v>
      </c>
      <c r="AA39" s="38">
        <v>34.942</v>
      </c>
      <c r="AB39" s="38">
        <v>90.6</v>
      </c>
      <c r="AC39" s="38">
        <f t="shared" si="29"/>
        <v>1220.943364</v>
      </c>
      <c r="AD39" s="38">
        <f t="shared" si="30"/>
        <v>8208.3599999999988</v>
      </c>
      <c r="AE39" s="38">
        <f t="shared" si="31"/>
        <v>3165.7451999999998</v>
      </c>
      <c r="AF39" s="38">
        <f t="shared" si="32"/>
        <v>82.684657754229647</v>
      </c>
      <c r="AG39" s="38">
        <f t="shared" si="28"/>
        <v>7.9153422457703471</v>
      </c>
      <c r="AH39" s="38">
        <f t="shared" si="33"/>
        <v>62.652642867676761</v>
      </c>
    </row>
    <row r="40" spans="2:34">
      <c r="D40" s="27" t="s">
        <v>48</v>
      </c>
      <c r="E40" s="27">
        <f>E38/E39</f>
        <v>-0.71462264150943411</v>
      </c>
      <c r="F40" s="27"/>
      <c r="G40" s="27"/>
      <c r="H40" s="27"/>
      <c r="I40" s="29" t="s">
        <v>151</v>
      </c>
      <c r="J40" s="29">
        <f>(E40^2)*E39</f>
        <v>43.306132075471723</v>
      </c>
      <c r="K40" s="29"/>
      <c r="P40" s="19" t="s">
        <v>54</v>
      </c>
      <c r="Q40" s="5">
        <f>AVERAGE(Q33:Q38)</f>
        <v>57.4</v>
      </c>
      <c r="R40" s="5">
        <f>AVERAGE(R33:R38)</f>
        <v>36.883333333333333</v>
      </c>
      <c r="AA40" s="38">
        <v>35.887</v>
      </c>
      <c r="AB40" s="38">
        <v>100</v>
      </c>
      <c r="AC40" s="38">
        <f t="shared" si="29"/>
        <v>1287.876769</v>
      </c>
      <c r="AD40" s="38">
        <f t="shared" si="30"/>
        <v>10000</v>
      </c>
      <c r="AE40" s="38">
        <f t="shared" si="31"/>
        <v>3588.7</v>
      </c>
      <c r="AF40" s="38">
        <f t="shared" si="32"/>
        <v>93.438355541442775</v>
      </c>
      <c r="AG40" s="38">
        <f t="shared" si="28"/>
        <v>6.5616444585572253</v>
      </c>
      <c r="AH40" s="38">
        <f t="shared" si="33"/>
        <v>43.055178000514744</v>
      </c>
    </row>
    <row r="41" spans="2:34">
      <c r="D41" s="27" t="s">
        <v>66</v>
      </c>
      <c r="E41" s="27">
        <f>(C39-(C38*E40))</f>
        <v>15.459905660377359</v>
      </c>
      <c r="F41" s="27"/>
      <c r="G41" s="27"/>
      <c r="H41" s="27"/>
      <c r="I41" s="29" t="s">
        <v>152</v>
      </c>
      <c r="J41" s="29">
        <f>J40/J39</f>
        <v>0.68522360878910971</v>
      </c>
      <c r="K41" s="29"/>
      <c r="Q41" s="7"/>
      <c r="R41" s="7"/>
      <c r="S41" s="7" t="s">
        <v>73</v>
      </c>
      <c r="T41" s="7">
        <f>(U39-((Q39*R39)/6))</f>
        <v>5.4600000000009459</v>
      </c>
      <c r="U41" s="7"/>
      <c r="V41" s="20" t="s">
        <v>157</v>
      </c>
      <c r="W41" s="20">
        <f>(T39-((R39^2)/6))</f>
        <v>26.128333333333103</v>
      </c>
      <c r="X41" s="20"/>
      <c r="AA41" s="38">
        <v>36.305999999999997</v>
      </c>
      <c r="AB41" s="38">
        <v>104.6</v>
      </c>
      <c r="AC41" s="38">
        <f t="shared" si="29"/>
        <v>1318.1256359999998</v>
      </c>
      <c r="AD41" s="38">
        <f t="shared" si="30"/>
        <v>10941.159999999998</v>
      </c>
      <c r="AE41" s="38">
        <f t="shared" si="31"/>
        <v>3797.6075999999994</v>
      </c>
      <c r="AF41" s="38">
        <f t="shared" si="32"/>
        <v>98.206397205826136</v>
      </c>
      <c r="AG41" s="38">
        <f t="shared" si="28"/>
        <v>6.3936027941738587</v>
      </c>
      <c r="AH41" s="38">
        <f t="shared" si="33"/>
        <v>40.878156689667776</v>
      </c>
    </row>
    <row r="42" spans="2:34" ht="21">
      <c r="D42" s="27"/>
      <c r="E42" s="27"/>
      <c r="F42" s="26" t="s">
        <v>69</v>
      </c>
      <c r="G42" s="26"/>
      <c r="H42" s="24"/>
      <c r="I42" s="29" t="s">
        <v>152</v>
      </c>
      <c r="J42" s="29">
        <f>(1-J37/J39)</f>
        <v>0.68522360878910904</v>
      </c>
      <c r="K42" s="29"/>
      <c r="Q42" s="7"/>
      <c r="R42" s="7"/>
      <c r="S42" s="7" t="s">
        <v>74</v>
      </c>
      <c r="T42" s="7">
        <f>(S39-((Q39*R39)/6))</f>
        <v>7072.159999999998</v>
      </c>
      <c r="U42" s="7"/>
      <c r="V42" s="20" t="s">
        <v>168</v>
      </c>
      <c r="W42" s="20">
        <f>(T43^2)*T42</f>
        <v>4.2153458066574194E-3</v>
      </c>
      <c r="X42" s="20"/>
      <c r="AA42" s="38">
        <v>35.005000000000003</v>
      </c>
      <c r="AB42" s="38">
        <v>125.4</v>
      </c>
      <c r="AC42" s="38">
        <f t="shared" si="29"/>
        <v>1225.3500250000002</v>
      </c>
      <c r="AD42" s="38">
        <f t="shared" si="30"/>
        <v>15725.160000000002</v>
      </c>
      <c r="AE42" s="38">
        <f t="shared" si="31"/>
        <v>4389.6270000000004</v>
      </c>
      <c r="AF42" s="38">
        <f t="shared" si="32"/>
        <v>83.401570940043882</v>
      </c>
      <c r="AG42" s="38">
        <f t="shared" si="28"/>
        <v>41.998429059956123</v>
      </c>
      <c r="AH42" s="38">
        <f t="shared" si="33"/>
        <v>1763.868043504167</v>
      </c>
    </row>
    <row r="43" spans="2:34">
      <c r="I43" s="20" t="s">
        <v>164</v>
      </c>
      <c r="J43" s="20"/>
      <c r="K43" s="20"/>
      <c r="L43" s="20"/>
      <c r="M43" s="20"/>
      <c r="Q43" s="7"/>
      <c r="R43" s="7"/>
      <c r="S43" s="7" t="s">
        <v>55</v>
      </c>
      <c r="T43" s="7">
        <f>T41/T42</f>
        <v>7.7204135653052917E-4</v>
      </c>
      <c r="U43" s="7"/>
      <c r="V43" s="20" t="s">
        <v>152</v>
      </c>
      <c r="W43" s="20">
        <f>W42/W41</f>
        <v>1.6133236486537436E-4</v>
      </c>
      <c r="X43" s="20"/>
      <c r="AA43" s="38">
        <f>SUM(AA34:AA42)</f>
        <v>321.57299999999998</v>
      </c>
      <c r="AB43" s="38">
        <f t="shared" ref="AB43:AE43" si="35">SUM(AB34:AB42)</f>
        <v>824.90000000000009</v>
      </c>
      <c r="AC43" s="38">
        <f t="shared" si="35"/>
        <v>11496.914128999997</v>
      </c>
      <c r="AD43" s="38">
        <f t="shared" si="35"/>
        <v>79718.789999999994</v>
      </c>
      <c r="AE43" s="38">
        <f t="shared" si="35"/>
        <v>29553.6505</v>
      </c>
      <c r="AF43" s="38"/>
      <c r="AG43" s="38"/>
      <c r="AH43" s="38">
        <f>SUM(AH34:AH42)</f>
        <v>3205.186834338012</v>
      </c>
    </row>
    <row r="44" spans="2:34">
      <c r="D44" s="61" t="s">
        <v>127</v>
      </c>
      <c r="E44" s="61"/>
      <c r="F44" s="61"/>
      <c r="G44" s="1">
        <f>(J37/3)^0.5</f>
        <v>2.5751289886481614</v>
      </c>
      <c r="Q44" s="7"/>
      <c r="R44" s="7"/>
      <c r="S44" s="7" t="s">
        <v>66</v>
      </c>
      <c r="T44" s="7">
        <f>(R40-(T43*Q40))</f>
        <v>36.83901815946848</v>
      </c>
      <c r="U44" s="7"/>
      <c r="V44" s="42" t="s">
        <v>170</v>
      </c>
      <c r="W44" s="42"/>
      <c r="X44" s="42"/>
      <c r="Y44" s="42"/>
      <c r="Z44" s="42"/>
      <c r="AA44" s="38">
        <f>AVERAGE(AA34:AA42)</f>
        <v>35.730333333333334</v>
      </c>
      <c r="AB44" s="38">
        <f>AVERAGE(AB34:AB42)</f>
        <v>91.655555555555566</v>
      </c>
      <c r="AC44" s="38"/>
      <c r="AD44" s="38"/>
      <c r="AE44" s="38"/>
      <c r="AF44" s="38"/>
      <c r="AG44" s="38"/>
      <c r="AH44" s="38"/>
    </row>
    <row r="45" spans="2:34" ht="21">
      <c r="D45" s="82" t="s">
        <v>132</v>
      </c>
      <c r="E45" s="82"/>
      <c r="F45" s="82"/>
      <c r="G45" s="82"/>
      <c r="H45" s="82"/>
      <c r="I45" s="82"/>
      <c r="J45" s="82"/>
      <c r="K45" s="82"/>
      <c r="L45" s="82"/>
      <c r="M45" s="82"/>
      <c r="Q45" s="7"/>
      <c r="R45" s="7"/>
      <c r="S45" s="7"/>
      <c r="T45" s="63" t="s">
        <v>76</v>
      </c>
      <c r="U45" s="63"/>
      <c r="V45" s="63"/>
      <c r="AA45" s="38"/>
      <c r="AB45" s="38"/>
      <c r="AC45" s="38"/>
      <c r="AD45" s="38"/>
      <c r="AE45" s="38"/>
      <c r="AF45" s="38"/>
      <c r="AG45" s="38"/>
      <c r="AH45" s="38"/>
    </row>
    <row r="46" spans="2:34">
      <c r="AA46" s="38"/>
      <c r="AB46" s="38" t="s">
        <v>57</v>
      </c>
      <c r="AC46" s="38">
        <f>(AC43-((AA43^2)/9))</f>
        <v>7.0036479999980656</v>
      </c>
      <c r="AD46" s="38"/>
      <c r="AE46" s="38"/>
      <c r="AF46" s="38" t="s">
        <v>157</v>
      </c>
      <c r="AG46" s="38">
        <f>(AD43-((AB43^2)/9))</f>
        <v>4112.1222222221986</v>
      </c>
      <c r="AH46" s="38"/>
    </row>
    <row r="47" spans="2:34">
      <c r="AA47" s="38"/>
      <c r="AB47" s="38" t="s">
        <v>47</v>
      </c>
      <c r="AC47" s="38">
        <f>(AE43-((AA43*AB43)/9))</f>
        <v>79.698533333332307</v>
      </c>
      <c r="AD47" s="38"/>
      <c r="AE47" s="38"/>
      <c r="AF47" s="38" t="s">
        <v>46</v>
      </c>
      <c r="AG47" s="38">
        <f>AC46</f>
        <v>7.0036479999980656</v>
      </c>
      <c r="AH47" s="38"/>
    </row>
    <row r="48" spans="2:34">
      <c r="AA48" s="38"/>
      <c r="AB48" s="38" t="s">
        <v>48</v>
      </c>
      <c r="AC48" s="38">
        <f>AC47/AC46</f>
        <v>11.379574378003337</v>
      </c>
      <c r="AD48" s="38"/>
      <c r="AE48" s="38"/>
      <c r="AF48" s="38" t="s">
        <v>151</v>
      </c>
      <c r="AG48" s="38">
        <f>(AC48^2)*AC46</f>
        <v>906.93538788443311</v>
      </c>
      <c r="AH48" s="38"/>
    </row>
    <row r="49" spans="20:34">
      <c r="AA49" s="38"/>
      <c r="AB49" s="38" t="s">
        <v>50</v>
      </c>
      <c r="AC49" s="38">
        <f>(AB44-(AC48*AA44))</f>
        <v>-314.94043016196298</v>
      </c>
      <c r="AD49" s="38"/>
      <c r="AE49" s="38"/>
      <c r="AF49" s="38" t="s">
        <v>152</v>
      </c>
      <c r="AG49" s="38">
        <f>AG48/AG46</f>
        <v>0.22055166137409299</v>
      </c>
      <c r="AH49" s="38"/>
    </row>
    <row r="50" spans="20:34" ht="18.75">
      <c r="AA50" s="38"/>
      <c r="AB50" s="86" t="s">
        <v>75</v>
      </c>
      <c r="AC50" s="86"/>
      <c r="AD50" s="86"/>
      <c r="AE50" s="86"/>
      <c r="AF50" s="38" t="s">
        <v>152</v>
      </c>
      <c r="AG50" s="38">
        <f>1-AH43/AG46</f>
        <v>0.22055166137403304</v>
      </c>
      <c r="AH50" s="38"/>
    </row>
    <row r="51" spans="20:34">
      <c r="AA51" s="38"/>
      <c r="AB51" s="38"/>
      <c r="AC51" s="38"/>
      <c r="AD51" s="38"/>
      <c r="AE51" s="38"/>
      <c r="AF51" s="38"/>
      <c r="AG51" s="38"/>
      <c r="AH51" s="38"/>
    </row>
    <row r="52" spans="20:34">
      <c r="AA52" s="38"/>
      <c r="AB52" s="87" t="s">
        <v>173</v>
      </c>
      <c r="AC52" s="87"/>
      <c r="AD52" s="87"/>
      <c r="AE52" s="38">
        <f>(AH43/7)^0.5</f>
        <v>21.398220334337594</v>
      </c>
      <c r="AF52" s="38"/>
      <c r="AG52" s="38"/>
      <c r="AH52" s="38"/>
    </row>
    <row r="53" spans="20:34">
      <c r="AA53" s="38"/>
      <c r="AB53" s="38"/>
      <c r="AC53" s="38"/>
      <c r="AD53" s="38"/>
      <c r="AE53" s="38"/>
      <c r="AF53" s="38"/>
      <c r="AG53" s="38"/>
      <c r="AH53" s="38"/>
    </row>
    <row r="63" spans="20:34">
      <c r="T63" t="s">
        <v>48</v>
      </c>
      <c r="U63" t="e">
        <f>U61/U62</f>
        <v>#DIV/0!</v>
      </c>
    </row>
  </sheetData>
  <mergeCells count="26">
    <mergeCell ref="A13:B13"/>
    <mergeCell ref="J26:O26"/>
    <mergeCell ref="T6:V6"/>
    <mergeCell ref="V22:Y22"/>
    <mergeCell ref="U24:W24"/>
    <mergeCell ref="W26:Y26"/>
    <mergeCell ref="I6:K6"/>
    <mergeCell ref="L19:O19"/>
    <mergeCell ref="J22:L22"/>
    <mergeCell ref="B30:C30"/>
    <mergeCell ref="D44:F44"/>
    <mergeCell ref="D45:M45"/>
    <mergeCell ref="T45:V45"/>
    <mergeCell ref="AC31:AE31"/>
    <mergeCell ref="AB50:AE50"/>
    <mergeCell ref="AB52:AD52"/>
    <mergeCell ref="V1:AB1"/>
    <mergeCell ref="I1:O1"/>
    <mergeCell ref="AI23:AL23"/>
    <mergeCell ref="AI24:AL24"/>
    <mergeCell ref="W27:Y27"/>
    <mergeCell ref="Z24:AC24"/>
    <mergeCell ref="Z23:AC23"/>
    <mergeCell ref="AD6:AF6"/>
    <mergeCell ref="AF23:AH23"/>
    <mergeCell ref="AE25:AG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5"/>
  <sheetViews>
    <sheetView topLeftCell="S1" zoomScale="90" zoomScaleNormal="90" workbookViewId="0">
      <selection activeCell="F40" sqref="F40"/>
    </sheetView>
  </sheetViews>
  <sheetFormatPr defaultRowHeight="15"/>
  <cols>
    <col min="5" max="5" width="11.42578125" bestFit="1" customWidth="1"/>
  </cols>
  <sheetData>
    <row r="1" spans="7:38" ht="21">
      <c r="I1" s="70" t="s">
        <v>176</v>
      </c>
      <c r="J1" s="70"/>
      <c r="K1" s="70"/>
      <c r="L1" s="70"/>
      <c r="M1" s="70"/>
      <c r="N1" s="70"/>
      <c r="O1" s="70"/>
      <c r="P1" s="70"/>
      <c r="Q1" s="70"/>
    </row>
    <row r="2" spans="7:38" ht="18.75">
      <c r="AE2" s="68" t="s">
        <v>234</v>
      </c>
      <c r="AF2" s="68"/>
      <c r="AG2" s="68"/>
    </row>
    <row r="3" spans="7:38" ht="18.75">
      <c r="G3" s="95"/>
      <c r="H3" s="95"/>
      <c r="I3" s="95"/>
      <c r="S3" s="68" t="s">
        <v>220</v>
      </c>
      <c r="T3" s="68"/>
      <c r="U3" s="68"/>
      <c r="W3" s="7">
        <v>144.41390000000001</v>
      </c>
      <c r="X3" s="12">
        <v>-0.89824000000000004</v>
      </c>
      <c r="AE3" s="1" t="s">
        <v>60</v>
      </c>
      <c r="AF3" s="1" t="s">
        <v>61</v>
      </c>
      <c r="AI3">
        <v>-46.291805478491654</v>
      </c>
      <c r="AJ3">
        <v>15.239771648260316</v>
      </c>
    </row>
    <row r="4" spans="7:38" ht="18.75">
      <c r="H4" s="68" t="s">
        <v>211</v>
      </c>
      <c r="I4" s="68"/>
      <c r="J4" s="68"/>
      <c r="M4">
        <f>L16</f>
        <v>16.509646302250793</v>
      </c>
      <c r="N4">
        <f>L15</f>
        <v>0.16237942122186536</v>
      </c>
      <c r="S4" s="1" t="s">
        <v>0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92</v>
      </c>
      <c r="Y4" s="1" t="s">
        <v>86</v>
      </c>
      <c r="Z4" s="1" t="s">
        <v>114</v>
      </c>
      <c r="AE4" s="1" t="s">
        <v>0</v>
      </c>
      <c r="AF4" s="1" t="s">
        <v>1</v>
      </c>
      <c r="AG4" s="1" t="s">
        <v>2</v>
      </c>
      <c r="AH4" s="1" t="s">
        <v>3</v>
      </c>
      <c r="AI4" s="1" t="s">
        <v>4</v>
      </c>
      <c r="AJ4" s="1" t="s">
        <v>92</v>
      </c>
      <c r="AK4" s="1" t="s">
        <v>86</v>
      </c>
      <c r="AL4" s="1" t="s">
        <v>114</v>
      </c>
    </row>
    <row r="5" spans="7:38">
      <c r="I5" s="1" t="s">
        <v>0</v>
      </c>
      <c r="J5" s="1" t="s">
        <v>1</v>
      </c>
      <c r="K5" s="1" t="s">
        <v>2</v>
      </c>
      <c r="L5" s="1" t="s">
        <v>3</v>
      </c>
      <c r="M5" s="1" t="s">
        <v>4</v>
      </c>
      <c r="N5" s="1" t="s">
        <v>85</v>
      </c>
      <c r="O5" s="1" t="s">
        <v>86</v>
      </c>
      <c r="P5" s="1" t="s">
        <v>114</v>
      </c>
      <c r="S5" s="16">
        <v>140</v>
      </c>
      <c r="T5" s="16">
        <v>25</v>
      </c>
      <c r="U5" s="16">
        <f>S5^2</f>
        <v>19600</v>
      </c>
      <c r="V5" s="16">
        <f>T5^2</f>
        <v>625</v>
      </c>
      <c r="W5" s="16">
        <f>S5*T5</f>
        <v>3500</v>
      </c>
      <c r="X5" s="11">
        <f>($W$3+($X$3*S5))</f>
        <v>18.660300000000007</v>
      </c>
      <c r="Y5" s="14">
        <f>T5-X5</f>
        <v>6.3396999999999935</v>
      </c>
      <c r="Z5">
        <f>Y5^2</f>
        <v>40.191796089999919</v>
      </c>
      <c r="AE5" s="16">
        <v>12.5</v>
      </c>
      <c r="AF5" s="16">
        <v>148</v>
      </c>
      <c r="AG5" s="16">
        <f>AE5^2</f>
        <v>156.25</v>
      </c>
      <c r="AH5" s="16">
        <f>AF5^2</f>
        <v>21904</v>
      </c>
      <c r="AI5" s="16">
        <f>AE5*AF5</f>
        <v>1850</v>
      </c>
      <c r="AJ5" s="7">
        <f>($AI$3+($AJ$3*AE5))</f>
        <v>144.2053401247623</v>
      </c>
      <c r="AK5" s="14">
        <f>AF5-AJ5</f>
        <v>3.7946598752376985</v>
      </c>
      <c r="AL5">
        <f>AK5^2</f>
        <v>14.399443568738986</v>
      </c>
    </row>
    <row r="6" spans="7:38">
      <c r="I6" s="16">
        <v>12</v>
      </c>
      <c r="J6" s="16">
        <v>17</v>
      </c>
      <c r="K6" s="16">
        <f>I6^2</f>
        <v>144</v>
      </c>
      <c r="L6" s="16">
        <f>J6^2</f>
        <v>289</v>
      </c>
      <c r="M6" s="16">
        <f>I6*J6</f>
        <v>204</v>
      </c>
      <c r="N6" s="7">
        <f>$M$4 +($N$4*I6)</f>
        <v>18.458199356913177</v>
      </c>
      <c r="O6" s="14">
        <f>J6-N6</f>
        <v>-1.4581993569131768</v>
      </c>
      <c r="P6">
        <f>O6^2</f>
        <v>2.1263453645020025</v>
      </c>
      <c r="S6" s="16">
        <v>119</v>
      </c>
      <c r="T6" s="16">
        <v>29</v>
      </c>
      <c r="U6" s="16">
        <f t="shared" ref="U6:V11" si="0">S6^2</f>
        <v>14161</v>
      </c>
      <c r="V6" s="16">
        <f t="shared" si="0"/>
        <v>841</v>
      </c>
      <c r="W6" s="16">
        <f t="shared" ref="W6:W11" si="1">S6*T6</f>
        <v>3451</v>
      </c>
      <c r="X6" s="11">
        <f t="shared" ref="X6:X11" si="2">($W$3+($X$3*S6))</f>
        <v>37.523340000000005</v>
      </c>
      <c r="Y6" s="14">
        <f t="shared" ref="Y6:Y11" si="3">T6-X6</f>
        <v>-8.5233400000000046</v>
      </c>
      <c r="Z6">
        <f t="shared" ref="Z6:Z11" si="4">Y6^2</f>
        <v>72.647324755600081</v>
      </c>
      <c r="AE6" s="16">
        <v>3.7</v>
      </c>
      <c r="AF6" s="16">
        <v>55</v>
      </c>
      <c r="AG6" s="16">
        <f t="shared" ref="AG6:AH12" si="5">AE6^2</f>
        <v>13.690000000000001</v>
      </c>
      <c r="AH6" s="16">
        <f t="shared" si="5"/>
        <v>3025</v>
      </c>
      <c r="AI6" s="16">
        <f t="shared" ref="AI6:AI12" si="6">AE6*AF6</f>
        <v>203.5</v>
      </c>
      <c r="AJ6" s="7">
        <f t="shared" ref="AJ6:AJ12" si="7">($AI$3+($AJ$3*AE6))</f>
        <v>10.095349620071516</v>
      </c>
      <c r="AK6" s="14">
        <f t="shared" ref="AK6:AK12" si="8">AF6-AJ6</f>
        <v>44.904650379928484</v>
      </c>
      <c r="AL6">
        <f t="shared" ref="AL6:AL12" si="9">AK6^2</f>
        <v>2016.4276257436113</v>
      </c>
    </row>
    <row r="7" spans="7:38">
      <c r="I7" s="16">
        <v>21</v>
      </c>
      <c r="J7" s="16">
        <v>15</v>
      </c>
      <c r="K7" s="16">
        <f t="shared" ref="K7:L10" si="10">I7^2</f>
        <v>441</v>
      </c>
      <c r="L7" s="16">
        <f t="shared" si="10"/>
        <v>225</v>
      </c>
      <c r="M7" s="16">
        <f t="shared" ref="M7:M10" si="11">I7*J7</f>
        <v>315</v>
      </c>
      <c r="N7" s="7">
        <f t="shared" ref="N7:N10" si="12">$M$4 +($N$4*I7)</f>
        <v>19.919614147909964</v>
      </c>
      <c r="O7" s="14">
        <f t="shared" ref="O7:O10" si="13">J7-N7</f>
        <v>-4.9196141479099644</v>
      </c>
      <c r="P7">
        <f t="shared" ref="P7:P10" si="14">O7^2</f>
        <v>24.202603364315884</v>
      </c>
      <c r="S7" s="16">
        <v>103</v>
      </c>
      <c r="T7" s="16">
        <v>46</v>
      </c>
      <c r="U7" s="16">
        <f t="shared" si="0"/>
        <v>10609</v>
      </c>
      <c r="V7" s="16">
        <f t="shared" si="0"/>
        <v>2116</v>
      </c>
      <c r="W7" s="16">
        <f t="shared" si="1"/>
        <v>4738</v>
      </c>
      <c r="X7" s="11">
        <f t="shared" si="2"/>
        <v>51.895180000000011</v>
      </c>
      <c r="Y7" s="14">
        <f t="shared" si="3"/>
        <v>-5.8951800000000105</v>
      </c>
      <c r="Z7">
        <f t="shared" si="4"/>
        <v>34.753147232400124</v>
      </c>
      <c r="AE7" s="16">
        <v>21.6</v>
      </c>
      <c r="AF7" s="16">
        <v>338</v>
      </c>
      <c r="AG7" s="16">
        <f t="shared" si="5"/>
        <v>466.56000000000006</v>
      </c>
      <c r="AH7" s="16">
        <f t="shared" si="5"/>
        <v>114244</v>
      </c>
      <c r="AI7" s="16">
        <f t="shared" si="6"/>
        <v>7300.8</v>
      </c>
      <c r="AJ7" s="7">
        <f t="shared" si="7"/>
        <v>282.88726212393118</v>
      </c>
      <c r="AK7" s="14">
        <f t="shared" si="8"/>
        <v>55.11273787606882</v>
      </c>
      <c r="AL7">
        <f t="shared" si="9"/>
        <v>3037.4138761962708</v>
      </c>
    </row>
    <row r="8" spans="7:38">
      <c r="I8" s="16">
        <v>28</v>
      </c>
      <c r="J8" s="16">
        <v>22</v>
      </c>
      <c r="K8" s="16">
        <f t="shared" si="10"/>
        <v>784</v>
      </c>
      <c r="L8" s="16">
        <f t="shared" si="10"/>
        <v>484</v>
      </c>
      <c r="M8" s="16">
        <f t="shared" si="11"/>
        <v>616</v>
      </c>
      <c r="N8" s="7">
        <f t="shared" si="12"/>
        <v>21.056270096463024</v>
      </c>
      <c r="O8" s="14">
        <f t="shared" si="13"/>
        <v>0.94372990353697617</v>
      </c>
      <c r="P8">
        <f t="shared" si="14"/>
        <v>0.89062613082991038</v>
      </c>
      <c r="S8" s="16">
        <v>91</v>
      </c>
      <c r="T8" s="16">
        <v>70</v>
      </c>
      <c r="U8" s="16">
        <f t="shared" si="0"/>
        <v>8281</v>
      </c>
      <c r="V8" s="16">
        <f t="shared" si="0"/>
        <v>4900</v>
      </c>
      <c r="W8" s="16">
        <f t="shared" si="1"/>
        <v>6370</v>
      </c>
      <c r="X8" s="11">
        <f t="shared" si="2"/>
        <v>62.674060000000011</v>
      </c>
      <c r="Y8" s="14">
        <f t="shared" si="3"/>
        <v>7.3259399999999886</v>
      </c>
      <c r="Z8">
        <f t="shared" si="4"/>
        <v>53.669396883599831</v>
      </c>
      <c r="AE8" s="16">
        <v>60</v>
      </c>
      <c r="AF8" s="16">
        <v>994</v>
      </c>
      <c r="AG8" s="16">
        <f t="shared" si="5"/>
        <v>3600</v>
      </c>
      <c r="AH8" s="16">
        <f t="shared" si="5"/>
        <v>988036</v>
      </c>
      <c r="AI8" s="16">
        <f t="shared" si="6"/>
        <v>59640</v>
      </c>
      <c r="AJ8" s="7">
        <f t="shared" si="7"/>
        <v>868.0944934171273</v>
      </c>
      <c r="AK8" s="14">
        <f t="shared" si="8"/>
        <v>125.9055065828727</v>
      </c>
      <c r="AL8">
        <f t="shared" si="9"/>
        <v>15852.196587889801</v>
      </c>
    </row>
    <row r="9" spans="7:38">
      <c r="I9" s="16">
        <v>8</v>
      </c>
      <c r="J9" s="16">
        <v>19</v>
      </c>
      <c r="K9" s="16">
        <f t="shared" si="10"/>
        <v>64</v>
      </c>
      <c r="L9" s="16">
        <f t="shared" si="10"/>
        <v>361</v>
      </c>
      <c r="M9" s="16">
        <f t="shared" si="11"/>
        <v>152</v>
      </c>
      <c r="N9" s="7">
        <f t="shared" si="12"/>
        <v>17.808681672025717</v>
      </c>
      <c r="O9" s="14">
        <f t="shared" si="13"/>
        <v>1.1913183279742832</v>
      </c>
      <c r="P9">
        <f t="shared" si="14"/>
        <v>1.4192393585674417</v>
      </c>
      <c r="S9" s="16">
        <v>65</v>
      </c>
      <c r="T9" s="16">
        <v>88</v>
      </c>
      <c r="U9" s="16">
        <f t="shared" si="0"/>
        <v>4225</v>
      </c>
      <c r="V9" s="16">
        <f t="shared" si="0"/>
        <v>7744</v>
      </c>
      <c r="W9" s="16">
        <f t="shared" si="1"/>
        <v>5720</v>
      </c>
      <c r="X9" s="11">
        <f t="shared" si="2"/>
        <v>86.028300000000002</v>
      </c>
      <c r="Y9" s="14">
        <f t="shared" si="3"/>
        <v>1.9716999999999985</v>
      </c>
      <c r="Z9">
        <f t="shared" si="4"/>
        <v>3.8876008899999941</v>
      </c>
      <c r="AE9" s="16">
        <v>37.6</v>
      </c>
      <c r="AF9" s="16">
        <v>541</v>
      </c>
      <c r="AG9" s="16">
        <f t="shared" si="5"/>
        <v>1413.7600000000002</v>
      </c>
      <c r="AH9" s="16">
        <f t="shared" si="5"/>
        <v>292681</v>
      </c>
      <c r="AI9" s="16">
        <f t="shared" si="6"/>
        <v>20341.600000000002</v>
      </c>
      <c r="AJ9" s="7">
        <f t="shared" si="7"/>
        <v>526.72360849609618</v>
      </c>
      <c r="AK9" s="14">
        <f t="shared" si="8"/>
        <v>14.276391503903824</v>
      </c>
      <c r="AL9">
        <f t="shared" si="9"/>
        <v>203.81535437273729</v>
      </c>
    </row>
    <row r="10" spans="7:38">
      <c r="I10" s="16">
        <v>20</v>
      </c>
      <c r="J10" s="16">
        <v>24</v>
      </c>
      <c r="K10" s="16">
        <f t="shared" si="10"/>
        <v>400</v>
      </c>
      <c r="L10" s="16">
        <f t="shared" si="10"/>
        <v>576</v>
      </c>
      <c r="M10" s="16">
        <f t="shared" si="11"/>
        <v>480</v>
      </c>
      <c r="N10" s="7">
        <f t="shared" si="12"/>
        <v>19.7572347266881</v>
      </c>
      <c r="O10" s="14">
        <f t="shared" si="13"/>
        <v>4.2427652733118997</v>
      </c>
      <c r="P10">
        <f t="shared" si="14"/>
        <v>18.0010571644214</v>
      </c>
      <c r="S10" s="16">
        <v>29</v>
      </c>
      <c r="T10" s="16">
        <v>112</v>
      </c>
      <c r="U10" s="16">
        <f t="shared" si="0"/>
        <v>841</v>
      </c>
      <c r="V10" s="16">
        <f t="shared" si="0"/>
        <v>12544</v>
      </c>
      <c r="W10" s="16">
        <f t="shared" si="1"/>
        <v>3248</v>
      </c>
      <c r="X10" s="11">
        <f t="shared" si="2"/>
        <v>118.36494000000002</v>
      </c>
      <c r="Y10" s="14">
        <f t="shared" si="3"/>
        <v>-6.3649400000000185</v>
      </c>
      <c r="Z10">
        <f t="shared" si="4"/>
        <v>40.512461203600232</v>
      </c>
      <c r="AE10" s="16">
        <v>6.1</v>
      </c>
      <c r="AF10" s="16">
        <v>89</v>
      </c>
      <c r="AG10" s="16">
        <f t="shared" si="5"/>
        <v>37.209999999999994</v>
      </c>
      <c r="AH10" s="16">
        <f t="shared" si="5"/>
        <v>7921</v>
      </c>
      <c r="AI10" s="16">
        <f t="shared" si="6"/>
        <v>542.9</v>
      </c>
      <c r="AJ10" s="7">
        <f t="shared" si="7"/>
        <v>46.670801575896263</v>
      </c>
      <c r="AK10" s="14">
        <f t="shared" si="8"/>
        <v>42.329198424103737</v>
      </c>
      <c r="AL10">
        <f t="shared" si="9"/>
        <v>1791.7610392271463</v>
      </c>
    </row>
    <row r="11" spans="7:38">
      <c r="H11" s="19" t="s">
        <v>5</v>
      </c>
      <c r="I11" s="1">
        <f>SUM(I6:I10)</f>
        <v>89</v>
      </c>
      <c r="J11" s="1">
        <f t="shared" ref="J11:M11" si="15">SUM(J6:J10)</f>
        <v>97</v>
      </c>
      <c r="K11" s="1">
        <f t="shared" si="15"/>
        <v>1833</v>
      </c>
      <c r="L11" s="1">
        <f t="shared" si="15"/>
        <v>1935</v>
      </c>
      <c r="M11" s="1">
        <f t="shared" si="15"/>
        <v>1767</v>
      </c>
      <c r="N11" s="1">
        <f>SUM(N6:N10)</f>
        <v>96.999999999999972</v>
      </c>
      <c r="O11" s="1"/>
      <c r="P11" s="1">
        <f>SUM(P6:P10)</f>
        <v>46.639871382636642</v>
      </c>
      <c r="S11" s="16">
        <v>24</v>
      </c>
      <c r="T11" s="16">
        <v>128</v>
      </c>
      <c r="U11" s="16">
        <f t="shared" si="0"/>
        <v>576</v>
      </c>
      <c r="V11" s="16">
        <f t="shared" si="0"/>
        <v>16384</v>
      </c>
      <c r="W11" s="16">
        <f t="shared" si="1"/>
        <v>3072</v>
      </c>
      <c r="X11" s="11">
        <f t="shared" si="2"/>
        <v>122.85614000000001</v>
      </c>
      <c r="Y11" s="14">
        <f t="shared" si="3"/>
        <v>5.1438599999999894</v>
      </c>
      <c r="Z11">
        <f t="shared" si="4"/>
        <v>26.459295699599892</v>
      </c>
      <c r="AE11" s="16">
        <v>16.8</v>
      </c>
      <c r="AF11" s="16">
        <v>126</v>
      </c>
      <c r="AG11" s="16">
        <f t="shared" si="5"/>
        <v>282.24</v>
      </c>
      <c r="AH11" s="16">
        <f t="shared" si="5"/>
        <v>15876</v>
      </c>
      <c r="AI11" s="16">
        <f t="shared" si="6"/>
        <v>2116.8000000000002</v>
      </c>
      <c r="AJ11" s="7">
        <f t="shared" si="7"/>
        <v>209.73635821228169</v>
      </c>
      <c r="AK11" s="14">
        <f t="shared" si="8"/>
        <v>-83.736358212281687</v>
      </c>
      <c r="AL11">
        <f t="shared" si="9"/>
        <v>7011.777686655555</v>
      </c>
    </row>
    <row r="12" spans="7:38">
      <c r="H12" s="19" t="s">
        <v>54</v>
      </c>
      <c r="I12" s="4">
        <f>AVERAGE(I6:I10)</f>
        <v>17.8</v>
      </c>
      <c r="J12" s="4">
        <f>AVERAGE(J6:J10)</f>
        <v>19.399999999999999</v>
      </c>
      <c r="K12" s="4"/>
      <c r="S12" s="1">
        <f>SUM(S5:S11)</f>
        <v>571</v>
      </c>
      <c r="T12" s="1">
        <f t="shared" ref="T12:W12" si="16">SUM(T5:T11)</f>
        <v>498</v>
      </c>
      <c r="U12" s="1">
        <f t="shared" si="16"/>
        <v>58293</v>
      </c>
      <c r="V12" s="1">
        <f t="shared" si="16"/>
        <v>45154</v>
      </c>
      <c r="W12" s="1">
        <f t="shared" si="16"/>
        <v>30099</v>
      </c>
      <c r="Y12" s="14">
        <f>SUM(Y5:Y11)</f>
        <v>-2.2600000000636555E-3</v>
      </c>
      <c r="Z12" s="1">
        <f>SUM(Z5:Z11)</f>
        <v>272.12102275480004</v>
      </c>
      <c r="AE12" s="16">
        <v>41.2</v>
      </c>
      <c r="AF12" s="16">
        <v>379</v>
      </c>
      <c r="AG12" s="16">
        <f t="shared" si="5"/>
        <v>1697.4400000000003</v>
      </c>
      <c r="AH12" s="16">
        <f t="shared" si="5"/>
        <v>143641</v>
      </c>
      <c r="AI12" s="16">
        <f t="shared" si="6"/>
        <v>15614.800000000001</v>
      </c>
      <c r="AJ12" s="7">
        <f t="shared" si="7"/>
        <v>581.58678642983341</v>
      </c>
      <c r="AK12" s="14">
        <f t="shared" si="8"/>
        <v>-202.58678642983341</v>
      </c>
      <c r="AL12">
        <f t="shared" si="9"/>
        <v>41041.406035966931</v>
      </c>
    </row>
    <row r="13" spans="7:38">
      <c r="I13" s="16"/>
      <c r="J13" s="16"/>
      <c r="K13" s="16" t="s">
        <v>47</v>
      </c>
      <c r="L13" s="16">
        <f>(M11-((I11*J11)/5))</f>
        <v>40.400000000000091</v>
      </c>
      <c r="M13" s="16"/>
      <c r="N13" s="16"/>
      <c r="O13" s="16"/>
      <c r="S13" s="4">
        <f>AVERAGE(S5:S11)</f>
        <v>81.571428571428569</v>
      </c>
      <c r="T13" s="4">
        <f>AVERAGE(T5:T11)</f>
        <v>71.142857142857139</v>
      </c>
      <c r="AE13" s="1">
        <f>SUM(AE5:AE12)</f>
        <v>199.5</v>
      </c>
      <c r="AF13" s="1">
        <f t="shared" ref="AF13:AI13" si="17">SUM(AF5:AF12)</f>
        <v>2670</v>
      </c>
      <c r="AG13" s="1">
        <f t="shared" si="17"/>
        <v>7667.1500000000005</v>
      </c>
      <c r="AH13" s="1">
        <f t="shared" si="17"/>
        <v>1587328</v>
      </c>
      <c r="AI13" s="1">
        <f t="shared" si="17"/>
        <v>107610.40000000001</v>
      </c>
      <c r="AK13" s="14">
        <f>SUM(AK5:AK12)</f>
        <v>0</v>
      </c>
      <c r="AL13" s="1">
        <f>SUM(AL5:AL12)</f>
        <v>70969.197649620794</v>
      </c>
    </row>
    <row r="14" spans="7:38">
      <c r="I14" s="16"/>
      <c r="J14" s="16"/>
      <c r="K14" s="16" t="s">
        <v>57</v>
      </c>
      <c r="L14" s="16">
        <f>(K11-((I11^2)/5))</f>
        <v>248.79999999999995</v>
      </c>
      <c r="M14" s="16"/>
      <c r="N14" s="16"/>
      <c r="O14" s="16"/>
      <c r="S14" s="7"/>
      <c r="T14" s="7"/>
      <c r="U14" s="7"/>
      <c r="V14" s="7"/>
      <c r="W14" s="7"/>
      <c r="X14" s="7"/>
      <c r="AE14" s="4">
        <f>AVERAGE(AE5:AE12)</f>
        <v>24.9375</v>
      </c>
      <c r="AF14" s="4">
        <f>AVERAGE(AF5:AF12)</f>
        <v>333.75</v>
      </c>
    </row>
    <row r="15" spans="7:38">
      <c r="I15" s="16"/>
      <c r="J15" s="16"/>
      <c r="K15" s="28" t="s">
        <v>48</v>
      </c>
      <c r="L15" s="28">
        <f>L13/L14</f>
        <v>0.16237942122186536</v>
      </c>
      <c r="M15" s="16"/>
      <c r="N15" s="16"/>
      <c r="O15" s="16"/>
      <c r="S15" s="7"/>
      <c r="T15" s="7" t="s">
        <v>56</v>
      </c>
      <c r="U15" s="7">
        <f>(W12-((S12*T12)/7))</f>
        <v>-10523.571428571428</v>
      </c>
      <c r="V15" s="7"/>
      <c r="W15" s="7"/>
      <c r="X15" s="7"/>
      <c r="AE15" s="7"/>
      <c r="AF15" s="7" t="s">
        <v>56</v>
      </c>
      <c r="AG15" s="7">
        <f>(AI13-((AE13*AF13)/8))</f>
        <v>41027.275000000009</v>
      </c>
      <c r="AH15" s="7"/>
      <c r="AI15" s="7"/>
    </row>
    <row r="16" spans="7:38">
      <c r="I16" s="16"/>
      <c r="J16" s="16"/>
      <c r="K16" s="28" t="s">
        <v>50</v>
      </c>
      <c r="L16" s="28">
        <f>J12-(I12*L15)</f>
        <v>16.509646302250793</v>
      </c>
      <c r="M16" s="16"/>
      <c r="N16" s="16"/>
      <c r="O16" s="16"/>
      <c r="S16" s="7"/>
      <c r="T16" s="7" t="s">
        <v>57</v>
      </c>
      <c r="U16" s="7">
        <f>(U12-((S12^2)/7))</f>
        <v>11715.714285714283</v>
      </c>
      <c r="V16" s="7"/>
      <c r="W16" s="7"/>
      <c r="X16" s="7"/>
      <c r="Y16" s="40" t="s">
        <v>157</v>
      </c>
      <c r="Z16" s="40">
        <f>(V12-(T12^2)/7)</f>
        <v>9724.8571428571449</v>
      </c>
      <c r="AA16" s="40"/>
      <c r="AE16" s="7"/>
      <c r="AF16" s="7" t="s">
        <v>57</v>
      </c>
      <c r="AG16" s="7">
        <f>(AG13-((AE13^2)/8))</f>
        <v>2692.1187500000005</v>
      </c>
      <c r="AH16" s="7"/>
      <c r="AI16" s="7"/>
    </row>
    <row r="17" spans="1:40" ht="21">
      <c r="I17" s="16"/>
      <c r="J17" s="16"/>
      <c r="K17" s="16"/>
      <c r="L17" s="78" t="s">
        <v>91</v>
      </c>
      <c r="M17" s="78"/>
      <c r="N17" s="78"/>
      <c r="O17" s="78"/>
      <c r="S17" s="7"/>
      <c r="T17" s="7" t="s">
        <v>48</v>
      </c>
      <c r="U17" s="7">
        <f>U15/U16</f>
        <v>-0.89824411657115</v>
      </c>
      <c r="V17" s="7"/>
      <c r="W17" s="7"/>
      <c r="X17" s="7"/>
      <c r="Y17" s="40" t="s">
        <v>151</v>
      </c>
      <c r="Z17" s="40">
        <f>(U17^2)*U16</f>
        <v>9452.7361210305371</v>
      </c>
      <c r="AA17" s="40"/>
      <c r="AE17" s="7"/>
      <c r="AF17" s="7" t="s">
        <v>48</v>
      </c>
      <c r="AG17" s="7">
        <f>AG15/AG16</f>
        <v>15.239771648260316</v>
      </c>
      <c r="AH17" s="7"/>
      <c r="AI17" s="7"/>
    </row>
    <row r="18" spans="1:40">
      <c r="S18" s="7"/>
      <c r="T18" s="7" t="s">
        <v>50</v>
      </c>
      <c r="U18" s="7">
        <f>(T13-(U17*S13))</f>
        <v>144.41391293744664</v>
      </c>
      <c r="V18" s="7"/>
      <c r="W18" s="7"/>
      <c r="X18" s="7"/>
      <c r="Y18" s="40" t="s">
        <v>152</v>
      </c>
      <c r="Z18" s="40">
        <f>Z17/Z16</f>
        <v>0.97201799287854018</v>
      </c>
      <c r="AA18" s="40" t="s">
        <v>158</v>
      </c>
      <c r="AE18" s="7"/>
      <c r="AF18" s="7" t="s">
        <v>50</v>
      </c>
      <c r="AG18" s="7">
        <f>AF14-(AE14*AG17)</f>
        <v>-46.291805478491654</v>
      </c>
      <c r="AH18" s="7"/>
      <c r="AI18" s="7"/>
    </row>
    <row r="19" spans="1:40" ht="19.5">
      <c r="S19" s="7"/>
      <c r="T19" s="7"/>
      <c r="U19" s="67" t="s">
        <v>58</v>
      </c>
      <c r="V19" s="67"/>
      <c r="W19" s="67"/>
      <c r="X19" s="67"/>
      <c r="Y19" s="40" t="s">
        <v>152</v>
      </c>
      <c r="Z19" s="40">
        <f>(1-Z12/Z16)</f>
        <v>0.97201799278309486</v>
      </c>
      <c r="AA19" s="40" t="s">
        <v>159</v>
      </c>
      <c r="AE19" s="7"/>
      <c r="AF19" s="7"/>
      <c r="AG19" s="64" t="s">
        <v>62</v>
      </c>
      <c r="AH19" s="64"/>
      <c r="AI19" s="64"/>
    </row>
    <row r="20" spans="1:40">
      <c r="A20" s="93" t="s">
        <v>181</v>
      </c>
      <c r="B20" s="93"/>
      <c r="J20" s="84" t="s">
        <v>115</v>
      </c>
      <c r="K20" s="84"/>
      <c r="L20" s="84"/>
      <c r="M20" s="39">
        <f>((P11)/5-2)^0.5</f>
        <v>2.7070231392670672</v>
      </c>
      <c r="Y20" s="88" t="s">
        <v>160</v>
      </c>
      <c r="Z20" s="88"/>
      <c r="AA20" s="88"/>
      <c r="AB20" s="88"/>
    </row>
    <row r="21" spans="1:40">
      <c r="A21" s="94" t="s">
        <v>182</v>
      </c>
      <c r="B21" s="94"/>
      <c r="F21" s="38"/>
      <c r="G21" s="38"/>
      <c r="H21" s="38"/>
      <c r="I21" s="38"/>
      <c r="J21" s="38"/>
      <c r="T21" s="51" t="s">
        <v>115</v>
      </c>
      <c r="U21" s="51"/>
      <c r="V21" s="51"/>
      <c r="W21" s="15">
        <f>(Z12/5)^0.5</f>
        <v>7.3772762284572213</v>
      </c>
      <c r="Y21" s="88" t="s">
        <v>161</v>
      </c>
      <c r="Z21" s="88"/>
      <c r="AA21" s="88"/>
      <c r="AB21" s="88"/>
      <c r="AF21" s="61" t="s">
        <v>127</v>
      </c>
      <c r="AG21" s="61"/>
      <c r="AH21" s="61"/>
      <c r="AI21">
        <f>(AL13/6)^0.5</f>
        <v>108.75752667411176</v>
      </c>
    </row>
    <row r="22" spans="1:40">
      <c r="F22" s="38"/>
      <c r="G22" s="38" t="s">
        <v>212</v>
      </c>
      <c r="H22" s="45"/>
      <c r="I22" s="45"/>
      <c r="J22" s="45"/>
    </row>
    <row r="23" spans="1:40">
      <c r="F23" s="38"/>
      <c r="G23" s="46"/>
      <c r="H23" s="38" t="s">
        <v>213</v>
      </c>
      <c r="I23" s="38">
        <f>(M20/(L14^0.5))</f>
        <v>0.17161955837148724</v>
      </c>
      <c r="J23" s="38"/>
      <c r="T23" s="12" t="s">
        <v>121</v>
      </c>
      <c r="U23" s="12">
        <f>W21</f>
        <v>7.3772762284572213</v>
      </c>
      <c r="V23" s="83" t="s">
        <v>123</v>
      </c>
      <c r="W23" s="83"/>
      <c r="X23" s="83"/>
      <c r="AF23" s="7"/>
      <c r="AG23" s="7"/>
      <c r="AH23" s="7" t="s">
        <v>228</v>
      </c>
      <c r="AI23" s="7">
        <v>0.1</v>
      </c>
      <c r="AJ23" s="7"/>
      <c r="AK23" s="7"/>
      <c r="AL23" s="7"/>
    </row>
    <row r="24" spans="1:40">
      <c r="F24" s="38"/>
      <c r="G24" s="87" t="s">
        <v>214</v>
      </c>
      <c r="H24" s="87"/>
      <c r="I24" s="38">
        <f>((L15-0)/I23)</f>
        <v>0.94615918350272932</v>
      </c>
      <c r="J24" s="38"/>
      <c r="T24" s="12" t="s">
        <v>122</v>
      </c>
      <c r="U24" s="12">
        <f>2*U23</f>
        <v>14.754552456914443</v>
      </c>
      <c r="V24" s="84" t="s">
        <v>124</v>
      </c>
      <c r="W24" s="84"/>
      <c r="X24" s="84"/>
      <c r="AF24" s="7"/>
      <c r="AG24" s="7"/>
      <c r="AH24" s="7" t="s">
        <v>229</v>
      </c>
      <c r="AI24" s="7">
        <v>0.05</v>
      </c>
      <c r="AJ24" s="7"/>
      <c r="AK24" s="7"/>
      <c r="AL24" s="7"/>
    </row>
    <row r="25" spans="1:40">
      <c r="F25" s="38"/>
      <c r="G25" s="87" t="s">
        <v>215</v>
      </c>
      <c r="H25" s="87"/>
      <c r="I25" s="87"/>
      <c r="J25" s="38">
        <f>3.182</f>
        <v>3.1819999999999999</v>
      </c>
      <c r="L25" s="53"/>
      <c r="M25" s="53"/>
      <c r="AF25" s="7"/>
      <c r="AG25" s="7" t="s">
        <v>230</v>
      </c>
      <c r="AH25" s="7"/>
      <c r="AI25" s="7">
        <v>1.9430000000000001</v>
      </c>
      <c r="AJ25" s="7"/>
      <c r="AK25" s="7"/>
      <c r="AL25" s="7"/>
    </row>
    <row r="26" spans="1:40">
      <c r="F26" s="38"/>
      <c r="G26" s="87" t="s">
        <v>216</v>
      </c>
      <c r="H26" s="87"/>
      <c r="I26" s="38"/>
      <c r="J26" s="38"/>
      <c r="K26" s="92" t="s">
        <v>218</v>
      </c>
      <c r="L26" s="92"/>
      <c r="M26" s="92"/>
      <c r="N26" s="92"/>
      <c r="O26" s="92"/>
      <c r="P26" s="92"/>
      <c r="Q26" s="92"/>
      <c r="R26" s="92"/>
      <c r="S26" s="47"/>
      <c r="U26" s="7"/>
      <c r="V26" s="7" t="s">
        <v>222</v>
      </c>
      <c r="W26" s="7">
        <v>0.01</v>
      </c>
      <c r="X26" s="7"/>
      <c r="Y26" s="7"/>
      <c r="Z26" s="7"/>
      <c r="AA26" s="7"/>
      <c r="AB26" s="7"/>
      <c r="AC26" s="7"/>
      <c r="AD26" s="7"/>
      <c r="AF26" s="7"/>
      <c r="AG26" s="7" t="s">
        <v>148</v>
      </c>
      <c r="AH26" s="7"/>
      <c r="AI26" s="7">
        <v>108.75749999999999</v>
      </c>
      <c r="AJ26" s="7"/>
      <c r="AK26" s="7"/>
      <c r="AL26" s="7"/>
    </row>
    <row r="27" spans="1:40">
      <c r="F27" s="38"/>
      <c r="G27" s="38" t="s">
        <v>217</v>
      </c>
      <c r="H27" s="38"/>
      <c r="I27" s="38"/>
      <c r="J27" s="38"/>
      <c r="K27" s="47"/>
      <c r="L27" s="92" t="s">
        <v>219</v>
      </c>
      <c r="M27" s="92"/>
      <c r="N27" s="92"/>
      <c r="O27" s="92"/>
      <c r="P27" s="92"/>
      <c r="Q27" s="92"/>
      <c r="R27" s="92"/>
      <c r="S27" s="92"/>
      <c r="U27" s="7"/>
      <c r="V27" s="7" t="s">
        <v>221</v>
      </c>
      <c r="W27" s="7">
        <f>W26/2</f>
        <v>5.0000000000000001E-3</v>
      </c>
      <c r="X27" s="7"/>
      <c r="Y27" s="7"/>
      <c r="Z27" s="7"/>
      <c r="AA27" s="7"/>
      <c r="AB27" s="7"/>
      <c r="AC27" s="7"/>
      <c r="AD27" s="7"/>
      <c r="AF27" s="7"/>
      <c r="AG27" s="7" t="s">
        <v>224</v>
      </c>
      <c r="AH27" s="7"/>
      <c r="AI27" s="7">
        <f>(AI26/(2692.119^0.5))</f>
        <v>2.0961004411113802</v>
      </c>
      <c r="AJ27" s="7"/>
      <c r="AK27" s="7"/>
      <c r="AL27" s="7"/>
    </row>
    <row r="28" spans="1:40">
      <c r="U28" s="61" t="s">
        <v>223</v>
      </c>
      <c r="V28" s="61"/>
      <c r="W28" s="8">
        <v>4.032</v>
      </c>
      <c r="X28" s="7"/>
      <c r="Y28" s="7"/>
      <c r="Z28" s="7"/>
      <c r="AA28" s="7"/>
      <c r="AB28" s="7"/>
      <c r="AC28" s="7"/>
      <c r="AD28" s="7"/>
      <c r="AF28" s="7"/>
      <c r="AG28" s="61" t="s">
        <v>231</v>
      </c>
      <c r="AH28" s="61"/>
      <c r="AI28" s="7">
        <f>(15.23977/AI27)</f>
        <v>7.270534226842523</v>
      </c>
      <c r="AJ28" s="7"/>
      <c r="AK28" s="7"/>
      <c r="AL28" s="7"/>
    </row>
    <row r="29" spans="1:40">
      <c r="U29" s="7" t="s">
        <v>148</v>
      </c>
      <c r="V29" s="7"/>
      <c r="W29" s="7">
        <v>7.3772000000000002</v>
      </c>
      <c r="X29" s="7"/>
      <c r="Y29" s="7"/>
      <c r="Z29" s="7"/>
      <c r="AA29" s="7"/>
      <c r="AB29" s="7"/>
      <c r="AC29" s="7"/>
      <c r="AD29" s="7"/>
      <c r="AG29" s="91" t="s">
        <v>232</v>
      </c>
      <c r="AH29" s="91"/>
      <c r="AI29" s="91"/>
      <c r="AJ29" s="91"/>
      <c r="AK29" s="91"/>
      <c r="AL29" s="91"/>
      <c r="AM29" s="91"/>
    </row>
    <row r="30" spans="1:40">
      <c r="U30" s="7" t="s">
        <v>224</v>
      </c>
      <c r="V30" s="7"/>
      <c r="W30" s="7">
        <f>(W29/(11715.71^0.5))</f>
        <v>6.8156495419084473E-2</v>
      </c>
      <c r="X30" s="7"/>
      <c r="Y30" s="7"/>
      <c r="Z30" s="7"/>
      <c r="AA30" s="7"/>
      <c r="AB30" s="7"/>
      <c r="AC30" s="7"/>
      <c r="AD30" s="7"/>
      <c r="AG30" s="91" t="s">
        <v>233</v>
      </c>
      <c r="AH30" s="91"/>
      <c r="AI30" s="91"/>
      <c r="AJ30" s="91"/>
      <c r="AK30" s="91"/>
      <c r="AL30" s="91"/>
      <c r="AM30" s="91"/>
      <c r="AN30" s="91"/>
    </row>
    <row r="31" spans="1:40" ht="18.75">
      <c r="C31" s="68" t="s">
        <v>235</v>
      </c>
      <c r="D31" s="68"/>
      <c r="H31">
        <f>F42</f>
        <v>15.459905660377359</v>
      </c>
      <c r="I31">
        <f>F41</f>
        <v>-0.71462264150943411</v>
      </c>
      <c r="U31" s="61" t="s">
        <v>225</v>
      </c>
      <c r="V31" s="61"/>
      <c r="W31" s="25">
        <f>(-0.89824/0.068156)</f>
        <v>-13.179177181759494</v>
      </c>
      <c r="X31" s="7"/>
      <c r="Y31" s="7"/>
      <c r="Z31" s="7"/>
      <c r="AA31" s="7"/>
      <c r="AB31" s="7"/>
      <c r="AC31" s="7"/>
      <c r="AD31" s="7"/>
    </row>
    <row r="32" spans="1:40">
      <c r="D32" s="1" t="s">
        <v>64</v>
      </c>
      <c r="E32" s="1" t="s">
        <v>65</v>
      </c>
      <c r="F32" s="1" t="s">
        <v>2</v>
      </c>
      <c r="G32" s="1" t="s">
        <v>3</v>
      </c>
      <c r="H32" s="1" t="s">
        <v>4</v>
      </c>
      <c r="I32" s="1" t="s">
        <v>85</v>
      </c>
      <c r="J32" s="1" t="s">
        <v>86</v>
      </c>
      <c r="K32" s="1" t="s">
        <v>114</v>
      </c>
      <c r="U32" s="7"/>
      <c r="V32" s="7"/>
      <c r="W32" s="7"/>
      <c r="X32" s="91" t="s">
        <v>226</v>
      </c>
      <c r="Y32" s="91"/>
      <c r="Z32" s="91"/>
      <c r="AA32" s="91"/>
      <c r="AB32" s="91"/>
      <c r="AC32" s="91"/>
      <c r="AD32" s="91"/>
    </row>
    <row r="33" spans="3:38">
      <c r="D33" s="15">
        <v>16</v>
      </c>
      <c r="E33" s="15">
        <v>5</v>
      </c>
      <c r="F33" s="15">
        <f>D33^2</f>
        <v>256</v>
      </c>
      <c r="G33" s="15">
        <f>E33^2</f>
        <v>25</v>
      </c>
      <c r="H33" s="15">
        <f>D33*E33</f>
        <v>80</v>
      </c>
      <c r="I33" s="7">
        <f>($H$31+($I$31*D33))</f>
        <v>4.0259433962264133</v>
      </c>
      <c r="J33" s="14">
        <f>E33-I33</f>
        <v>0.97405660377358672</v>
      </c>
      <c r="K33" s="24">
        <f>J33^2</f>
        <v>0.9487862673549341</v>
      </c>
      <c r="U33" s="7"/>
      <c r="V33" s="7"/>
      <c r="W33" s="7"/>
      <c r="X33" s="91" t="s">
        <v>227</v>
      </c>
      <c r="Y33" s="91"/>
      <c r="Z33" s="91"/>
      <c r="AA33" s="91"/>
      <c r="AB33" s="91"/>
      <c r="AC33" s="91"/>
      <c r="AD33" s="91"/>
    </row>
    <row r="34" spans="3:38">
      <c r="D34" s="15">
        <v>6</v>
      </c>
      <c r="E34" s="15">
        <v>12</v>
      </c>
      <c r="F34" s="15">
        <f t="shared" ref="F34:G37" si="18">D34^2</f>
        <v>36</v>
      </c>
      <c r="G34" s="15">
        <f t="shared" si="18"/>
        <v>144</v>
      </c>
      <c r="H34" s="15">
        <f t="shared" ref="H34:H37" si="19">D34*E34</f>
        <v>72</v>
      </c>
      <c r="I34" s="7">
        <f t="shared" ref="I34:I37" si="20">($H$31+($I$31*D34))</f>
        <v>11.172169811320755</v>
      </c>
      <c r="J34" s="14">
        <f t="shared" ref="J34:J37" si="21">E34-I34</f>
        <v>0.82783018867924518</v>
      </c>
      <c r="K34" s="24">
        <f t="shared" ref="K34:K37" si="22">J34^2</f>
        <v>0.68530282128871467</v>
      </c>
    </row>
    <row r="35" spans="3:38">
      <c r="D35" s="15">
        <v>8</v>
      </c>
      <c r="E35" s="15">
        <v>9</v>
      </c>
      <c r="F35" s="15">
        <f t="shared" si="18"/>
        <v>64</v>
      </c>
      <c r="G35" s="15">
        <f t="shared" si="18"/>
        <v>81</v>
      </c>
      <c r="H35" s="15">
        <f t="shared" si="19"/>
        <v>72</v>
      </c>
      <c r="I35" s="7">
        <f t="shared" si="20"/>
        <v>9.7429245283018862</v>
      </c>
      <c r="J35" s="14">
        <f t="shared" si="21"/>
        <v>-0.74292452830188616</v>
      </c>
      <c r="K35" s="24">
        <f t="shared" si="22"/>
        <v>0.55193685475258003</v>
      </c>
    </row>
    <row r="36" spans="3:38">
      <c r="D36" s="15">
        <v>4</v>
      </c>
      <c r="E36" s="15">
        <v>15</v>
      </c>
      <c r="F36" s="15">
        <f t="shared" si="18"/>
        <v>16</v>
      </c>
      <c r="G36" s="15">
        <f t="shared" si="18"/>
        <v>225</v>
      </c>
      <c r="H36" s="15">
        <f t="shared" si="19"/>
        <v>60</v>
      </c>
      <c r="I36" s="7">
        <f t="shared" si="20"/>
        <v>12.601415094339622</v>
      </c>
      <c r="J36" s="14">
        <f t="shared" si="21"/>
        <v>2.3985849056603783</v>
      </c>
      <c r="K36" s="24">
        <f t="shared" si="22"/>
        <v>5.7532095496618059</v>
      </c>
    </row>
    <row r="37" spans="3:38">
      <c r="D37" s="15">
        <v>7</v>
      </c>
      <c r="E37" s="15">
        <v>7</v>
      </c>
      <c r="F37" s="15">
        <f t="shared" si="18"/>
        <v>49</v>
      </c>
      <c r="G37" s="15">
        <f t="shared" si="18"/>
        <v>49</v>
      </c>
      <c r="H37" s="15">
        <f t="shared" si="19"/>
        <v>49</v>
      </c>
      <c r="I37" s="7">
        <f t="shared" si="20"/>
        <v>10.45754716981132</v>
      </c>
      <c r="J37" s="14">
        <f t="shared" si="21"/>
        <v>-3.4575471698113205</v>
      </c>
      <c r="K37" s="24">
        <f t="shared" si="22"/>
        <v>11.954632431470273</v>
      </c>
    </row>
    <row r="38" spans="3:38" ht="18.75">
      <c r="C38" t="s">
        <v>5</v>
      </c>
      <c r="D38" s="1">
        <f>SUM(D33:D37)</f>
        <v>41</v>
      </c>
      <c r="E38" s="1">
        <f>SUM(E33:E37)</f>
        <v>48</v>
      </c>
      <c r="F38" s="1">
        <f>SUM(F33:F37)</f>
        <v>421</v>
      </c>
      <c r="G38" s="1">
        <f>SUM(G33:G37)</f>
        <v>524</v>
      </c>
      <c r="H38" s="1">
        <f>SUM(H33:H37)</f>
        <v>333</v>
      </c>
      <c r="J38" s="37"/>
      <c r="K38" s="1">
        <f>SUM(K33:K37)</f>
        <v>19.893867924528308</v>
      </c>
      <c r="T38" s="68" t="s">
        <v>245</v>
      </c>
      <c r="U38" s="68"/>
      <c r="W38">
        <f>V51</f>
        <v>36.83901815946848</v>
      </c>
      <c r="X38">
        <f>V50</f>
        <v>7.7204135653052917E-4</v>
      </c>
      <c r="AE38" s="68" t="s">
        <v>247</v>
      </c>
      <c r="AF38" s="68"/>
    </row>
    <row r="39" spans="3:38">
      <c r="C39" s="24" t="s">
        <v>68</v>
      </c>
      <c r="D39" s="24">
        <f>AVERAGE(D33:D37)</f>
        <v>8.1999999999999993</v>
      </c>
      <c r="E39" s="27" t="s">
        <v>47</v>
      </c>
      <c r="F39" s="27">
        <f>(H38-((D38*E38)/5))</f>
        <v>-60.600000000000023</v>
      </c>
      <c r="G39" s="27"/>
      <c r="H39" s="27"/>
      <c r="I39" s="27"/>
      <c r="S39" s="1" t="s">
        <v>71</v>
      </c>
      <c r="T39" s="1" t="s">
        <v>72</v>
      </c>
      <c r="U39" s="1" t="s">
        <v>2</v>
      </c>
      <c r="V39" s="1" t="s">
        <v>3</v>
      </c>
      <c r="W39" s="1" t="s">
        <v>4</v>
      </c>
      <c r="X39" s="1" t="s">
        <v>85</v>
      </c>
      <c r="Y39" s="1" t="s">
        <v>86</v>
      </c>
      <c r="Z39" s="1" t="s">
        <v>114</v>
      </c>
    </row>
    <row r="40" spans="3:38">
      <c r="C40" s="24" t="s">
        <v>67</v>
      </c>
      <c r="D40" s="24">
        <f>AVERAGE(E33:E37)</f>
        <v>9.6</v>
      </c>
      <c r="E40" s="27" t="s">
        <v>57</v>
      </c>
      <c r="F40" s="27">
        <f>(F38-((D38^2)/5))</f>
        <v>84.800000000000011</v>
      </c>
      <c r="G40" s="27"/>
      <c r="H40" s="27"/>
      <c r="I40" s="27"/>
      <c r="J40" s="29" t="s">
        <v>162</v>
      </c>
      <c r="K40" s="29">
        <f>(G38-(E38^2)/5)</f>
        <v>63.199999999999989</v>
      </c>
      <c r="L40" s="29"/>
      <c r="S40" s="7">
        <v>58.1</v>
      </c>
      <c r="T40" s="7">
        <v>34.299999999999997</v>
      </c>
      <c r="U40" s="7">
        <f>S40^2</f>
        <v>3375.61</v>
      </c>
      <c r="V40" s="7">
        <f>T40^2</f>
        <v>1176.4899999999998</v>
      </c>
      <c r="W40" s="7">
        <f>S40*T40</f>
        <v>1992.83</v>
      </c>
      <c r="X40" s="24">
        <f>($W$38+($X$38*S40))</f>
        <v>36.883873762282903</v>
      </c>
      <c r="Y40" s="14">
        <f>T40-X40</f>
        <v>-2.5838737622829058</v>
      </c>
      <c r="Z40">
        <f>Y40^2</f>
        <v>6.6764036194140184</v>
      </c>
    </row>
    <row r="41" spans="3:38">
      <c r="E41" s="27" t="s">
        <v>48</v>
      </c>
      <c r="F41" s="27">
        <f>F39/F40</f>
        <v>-0.71462264150943411</v>
      </c>
      <c r="G41" s="27"/>
      <c r="H41" s="27"/>
      <c r="I41" s="27"/>
      <c r="J41" s="29" t="s">
        <v>151</v>
      </c>
      <c r="K41" s="29">
        <f>(F41^2)*F40</f>
        <v>43.306132075471723</v>
      </c>
      <c r="L41" s="29"/>
      <c r="S41" s="7">
        <v>55.4</v>
      </c>
      <c r="T41" s="7">
        <v>35</v>
      </c>
      <c r="U41" s="7">
        <f t="shared" ref="U41:V45" si="23">S41^2</f>
        <v>3069.16</v>
      </c>
      <c r="V41" s="7">
        <f t="shared" si="23"/>
        <v>1225</v>
      </c>
      <c r="W41" s="7">
        <f t="shared" ref="W41:W45" si="24">S41*T41</f>
        <v>1939</v>
      </c>
      <c r="X41" s="24">
        <f t="shared" ref="X41:X45" si="25">($W$38+($X$38*S41))</f>
        <v>36.881789250620272</v>
      </c>
      <c r="Y41" s="14">
        <f t="shared" ref="Y41:Y45" si="26">T41-X41</f>
        <v>-1.8817892506202725</v>
      </c>
      <c r="Z41">
        <f t="shared" ref="Z41:Z45" si="27">Y41^2</f>
        <v>3.5411307837500066</v>
      </c>
    </row>
    <row r="42" spans="3:38">
      <c r="E42" s="27" t="s">
        <v>66</v>
      </c>
      <c r="F42" s="27">
        <f>(D40-(D39*F41))</f>
        <v>15.459905660377359</v>
      </c>
      <c r="G42" s="27"/>
      <c r="H42" s="27"/>
      <c r="I42" s="27"/>
      <c r="J42" s="29" t="s">
        <v>152</v>
      </c>
      <c r="K42" s="29">
        <f>K41/K40</f>
        <v>0.68522360878910971</v>
      </c>
      <c r="L42" s="29"/>
      <c r="S42" s="7">
        <v>57</v>
      </c>
      <c r="T42" s="7">
        <v>38.5</v>
      </c>
      <c r="U42" s="7">
        <f t="shared" si="23"/>
        <v>3249</v>
      </c>
      <c r="V42" s="7">
        <f t="shared" si="23"/>
        <v>1482.25</v>
      </c>
      <c r="W42" s="7">
        <f t="shared" si="24"/>
        <v>2194.5</v>
      </c>
      <c r="X42" s="24">
        <f t="shared" si="25"/>
        <v>36.883024516790719</v>
      </c>
      <c r="Y42" s="14">
        <f t="shared" si="26"/>
        <v>1.6169754832092806</v>
      </c>
      <c r="Z42">
        <f t="shared" si="27"/>
        <v>2.6146097132998865</v>
      </c>
    </row>
    <row r="43" spans="3:38" ht="21">
      <c r="E43" s="27"/>
      <c r="F43" s="27"/>
      <c r="G43" s="63" t="s">
        <v>69</v>
      </c>
      <c r="H43" s="63"/>
      <c r="I43" s="63"/>
      <c r="J43" s="29" t="s">
        <v>152</v>
      </c>
      <c r="K43" s="29">
        <f>(1-K38/K40)</f>
        <v>0.68522360878910904</v>
      </c>
      <c r="L43" s="29"/>
      <c r="S43" s="7">
        <v>58.5</v>
      </c>
      <c r="T43" s="7">
        <v>40.1</v>
      </c>
      <c r="U43" s="7">
        <f t="shared" si="23"/>
        <v>3422.25</v>
      </c>
      <c r="V43" s="7">
        <f t="shared" si="23"/>
        <v>1608.0100000000002</v>
      </c>
      <c r="W43" s="7">
        <f t="shared" si="24"/>
        <v>2345.85</v>
      </c>
      <c r="X43" s="24">
        <f t="shared" si="25"/>
        <v>36.884182578825516</v>
      </c>
      <c r="Y43" s="14">
        <f t="shared" si="26"/>
        <v>3.215817421174485</v>
      </c>
      <c r="Z43">
        <f t="shared" si="27"/>
        <v>10.341481686329315</v>
      </c>
    </row>
    <row r="44" spans="3:38">
      <c r="J44" s="20" t="s">
        <v>164</v>
      </c>
      <c r="K44" s="20"/>
      <c r="L44" s="20"/>
      <c r="M44" s="20"/>
      <c r="N44" s="20"/>
      <c r="S44" s="7">
        <v>57.4</v>
      </c>
      <c r="T44" s="7">
        <v>35.5</v>
      </c>
      <c r="U44" s="7">
        <f t="shared" si="23"/>
        <v>3294.7599999999998</v>
      </c>
      <c r="V44" s="7">
        <f t="shared" si="23"/>
        <v>1260.25</v>
      </c>
      <c r="W44" s="7">
        <f t="shared" si="24"/>
        <v>2037.7</v>
      </c>
      <c r="X44" s="24">
        <f t="shared" si="25"/>
        <v>36.883333333333333</v>
      </c>
      <c r="Y44" s="14">
        <f t="shared" si="26"/>
        <v>-1.3833333333333329</v>
      </c>
      <c r="Z44">
        <f t="shared" si="27"/>
        <v>1.9136111111111098</v>
      </c>
    </row>
    <row r="45" spans="3:38">
      <c r="E45" s="61" t="s">
        <v>127</v>
      </c>
      <c r="F45" s="61"/>
      <c r="G45" s="61"/>
      <c r="H45" s="1">
        <f>(K38/3)^0.5</f>
        <v>2.5751289886481614</v>
      </c>
      <c r="S45" s="7">
        <v>58</v>
      </c>
      <c r="T45" s="7">
        <v>37.9</v>
      </c>
      <c r="U45" s="7">
        <f t="shared" si="23"/>
        <v>3364</v>
      </c>
      <c r="V45" s="7">
        <f t="shared" si="23"/>
        <v>1436.4099999999999</v>
      </c>
      <c r="W45" s="7">
        <f t="shared" si="24"/>
        <v>2198.1999999999998</v>
      </c>
      <c r="X45" s="24">
        <f t="shared" si="25"/>
        <v>36.883796558147253</v>
      </c>
      <c r="Y45" s="14">
        <f t="shared" si="26"/>
        <v>1.0162034418527455</v>
      </c>
      <c r="Z45">
        <f t="shared" si="27"/>
        <v>1.0326694352333663</v>
      </c>
    </row>
    <row r="46" spans="3:38">
      <c r="R46" s="19" t="s">
        <v>5</v>
      </c>
      <c r="S46" s="1">
        <f>SUM(S40:S45)</f>
        <v>344.4</v>
      </c>
      <c r="T46" s="1">
        <f t="shared" ref="T46:W46" si="28">SUM(T40:T45)</f>
        <v>221.3</v>
      </c>
      <c r="U46" s="1">
        <f t="shared" si="28"/>
        <v>19774.78</v>
      </c>
      <c r="V46" s="1">
        <f t="shared" si="28"/>
        <v>8188.41</v>
      </c>
      <c r="W46" s="1">
        <f t="shared" si="28"/>
        <v>12708.080000000002</v>
      </c>
      <c r="Y46" s="14">
        <f>SUM(Y40:Y45)</f>
        <v>0</v>
      </c>
      <c r="Z46" s="1">
        <f>SUM(Z40:Z45)</f>
        <v>26.1199063491377</v>
      </c>
    </row>
    <row r="47" spans="3:38">
      <c r="E47" s="16"/>
      <c r="F47" s="16" t="s">
        <v>228</v>
      </c>
      <c r="G47" s="16">
        <v>0.05</v>
      </c>
      <c r="H47" s="16"/>
      <c r="I47" s="16"/>
      <c r="J47" s="16"/>
      <c r="K47" s="16"/>
      <c r="L47" s="16"/>
      <c r="M47" s="16"/>
      <c r="N47" s="16"/>
      <c r="R47" s="19" t="s">
        <v>54</v>
      </c>
      <c r="S47" s="5">
        <f>AVERAGE(S40:S45)</f>
        <v>57.4</v>
      </c>
      <c r="T47" s="5">
        <f>AVERAGE(T40:T45)</f>
        <v>36.883333333333333</v>
      </c>
      <c r="AE47" s="89" t="s">
        <v>248</v>
      </c>
      <c r="AF47" s="89"/>
      <c r="AG47" s="89"/>
      <c r="AH47" s="89"/>
      <c r="AI47" s="89"/>
      <c r="AJ47" s="89"/>
      <c r="AK47" s="89"/>
      <c r="AL47" s="89"/>
    </row>
    <row r="48" spans="3:38">
      <c r="E48" s="16"/>
      <c r="F48" s="16" t="s">
        <v>221</v>
      </c>
      <c r="G48" s="16">
        <f>G47/2</f>
        <v>2.5000000000000001E-2</v>
      </c>
      <c r="H48" s="16"/>
      <c r="I48" s="16"/>
      <c r="J48" s="16"/>
      <c r="K48" s="16"/>
      <c r="L48" s="16"/>
      <c r="M48" s="16"/>
      <c r="N48" s="16"/>
      <c r="S48" s="7"/>
      <c r="T48" s="7"/>
      <c r="U48" s="7" t="s">
        <v>73</v>
      </c>
      <c r="V48" s="7">
        <f>(W46-((S46*T46)/6))</f>
        <v>5.4600000000009459</v>
      </c>
      <c r="W48" s="7"/>
      <c r="AE48" s="11" t="s">
        <v>249</v>
      </c>
      <c r="AF48" s="11">
        <f>8.26</f>
        <v>8.26</v>
      </c>
      <c r="AG48" s="11"/>
      <c r="AH48" s="11"/>
      <c r="AI48" s="11"/>
      <c r="AJ48" s="11"/>
      <c r="AK48" s="11"/>
      <c r="AL48" s="11"/>
    </row>
    <row r="49" spans="5:38">
      <c r="E49" s="16"/>
      <c r="F49" s="16" t="s">
        <v>236</v>
      </c>
      <c r="G49" s="16">
        <v>5</v>
      </c>
      <c r="H49" s="16"/>
      <c r="I49" s="16"/>
      <c r="J49" s="16"/>
      <c r="K49" s="16"/>
      <c r="L49" s="16"/>
      <c r="M49" s="16"/>
      <c r="N49" s="16"/>
      <c r="S49" s="7"/>
      <c r="T49" s="7"/>
      <c r="U49" s="7" t="s">
        <v>74</v>
      </c>
      <c r="V49" s="7">
        <f>(U46-((S46*T46)/6))</f>
        <v>7072.159999999998</v>
      </c>
      <c r="W49" s="7"/>
      <c r="AE49" s="51" t="s">
        <v>250</v>
      </c>
      <c r="AF49" s="51"/>
      <c r="AG49" s="15">
        <f>AF48^0.5</f>
        <v>2.8740215726399829</v>
      </c>
      <c r="AH49" s="15"/>
      <c r="AI49" s="11"/>
      <c r="AJ49" s="11"/>
      <c r="AK49" s="11"/>
      <c r="AL49" s="11"/>
    </row>
    <row r="50" spans="5:38">
      <c r="E50" s="16"/>
      <c r="F50" s="16" t="s">
        <v>237</v>
      </c>
      <c r="G50" s="16">
        <f>G49-2</f>
        <v>3</v>
      </c>
      <c r="H50" s="16"/>
      <c r="I50" s="16"/>
      <c r="J50" s="16"/>
      <c r="K50" s="16"/>
      <c r="L50" s="16"/>
      <c r="M50" s="16"/>
      <c r="N50" s="16"/>
      <c r="S50" s="7"/>
      <c r="T50" s="7"/>
      <c r="U50" s="7" t="s">
        <v>55</v>
      </c>
      <c r="V50" s="7">
        <f>V48/V49</f>
        <v>7.7204135653052917E-4</v>
      </c>
      <c r="W50" s="7"/>
      <c r="AE50" s="51" t="s">
        <v>251</v>
      </c>
      <c r="AF50" s="51"/>
      <c r="AG50" s="51"/>
      <c r="AH50" s="15">
        <v>2.3650000000000002</v>
      </c>
      <c r="AI50" s="11"/>
      <c r="AJ50" s="11"/>
      <c r="AK50" s="11"/>
      <c r="AL50" s="11"/>
    </row>
    <row r="51" spans="5:38">
      <c r="E51" s="91" t="s">
        <v>238</v>
      </c>
      <c r="F51" s="91"/>
      <c r="G51" s="8">
        <v>3.1819999999999999</v>
      </c>
      <c r="H51" s="16"/>
      <c r="I51" s="16"/>
      <c r="J51" s="16"/>
      <c r="K51" s="16"/>
      <c r="L51" s="16"/>
      <c r="M51" s="16"/>
      <c r="N51" s="16"/>
      <c r="S51" s="7"/>
      <c r="T51" s="7"/>
      <c r="U51" s="7" t="s">
        <v>66</v>
      </c>
      <c r="V51" s="7">
        <f>(T47-(V50*S47))</f>
        <v>36.83901815946848</v>
      </c>
      <c r="W51" s="7"/>
      <c r="AE51" s="8" t="s">
        <v>228</v>
      </c>
      <c r="AF51" s="8">
        <v>0.05</v>
      </c>
      <c r="AG51" s="11"/>
      <c r="AH51" s="11"/>
      <c r="AI51" s="11"/>
      <c r="AJ51" s="11"/>
      <c r="AK51" s="11"/>
      <c r="AL51" s="11"/>
    </row>
    <row r="52" spans="5:38" ht="21">
      <c r="E52" s="16" t="s">
        <v>148</v>
      </c>
      <c r="F52" s="16"/>
      <c r="G52" s="16">
        <f>H45</f>
        <v>2.5751289886481614</v>
      </c>
      <c r="H52" s="16"/>
      <c r="I52" s="16"/>
      <c r="J52" s="16"/>
      <c r="K52" s="16"/>
      <c r="L52" s="16"/>
      <c r="M52" s="16"/>
      <c r="N52" s="16"/>
      <c r="S52" s="7"/>
      <c r="T52" s="7"/>
      <c r="U52" s="7"/>
      <c r="V52" s="63" t="s">
        <v>76</v>
      </c>
      <c r="W52" s="63"/>
      <c r="X52" s="63"/>
      <c r="AE52" s="8" t="s">
        <v>229</v>
      </c>
      <c r="AF52" s="8">
        <f>AF51/2</f>
        <v>2.5000000000000001E-2</v>
      </c>
      <c r="AG52" s="11"/>
      <c r="AH52" s="71" t="s">
        <v>254</v>
      </c>
      <c r="AI52" s="71"/>
      <c r="AJ52" s="71"/>
      <c r="AK52" s="71"/>
      <c r="AL52" s="11"/>
    </row>
    <row r="53" spans="5:38">
      <c r="E53" s="16" t="s">
        <v>224</v>
      </c>
      <c r="F53" s="16"/>
      <c r="G53" s="16">
        <f>(G52/(F40^0.5))</f>
        <v>0.27964113855082406</v>
      </c>
      <c r="H53" s="16"/>
      <c r="I53" s="16"/>
      <c r="J53" s="16"/>
      <c r="K53" s="16"/>
      <c r="L53" s="16"/>
      <c r="M53" s="16"/>
      <c r="N53" s="16"/>
      <c r="AE53" s="71" t="s">
        <v>252</v>
      </c>
      <c r="AF53" s="71"/>
      <c r="AG53" s="71"/>
      <c r="AH53" s="71"/>
      <c r="AI53" s="71"/>
      <c r="AJ53" s="71"/>
      <c r="AK53" s="71"/>
      <c r="AL53" s="71"/>
    </row>
    <row r="54" spans="5:38">
      <c r="E54" s="91" t="s">
        <v>225</v>
      </c>
      <c r="F54" s="91"/>
      <c r="G54" s="8">
        <f>(F41/(G53))</f>
        <v>-2.5554989699040767</v>
      </c>
      <c r="H54" s="16"/>
      <c r="I54" s="16"/>
      <c r="J54" s="16"/>
      <c r="K54" s="16"/>
      <c r="L54" s="16"/>
      <c r="M54" s="16"/>
      <c r="N54" s="16"/>
      <c r="U54" s="61" t="s">
        <v>134</v>
      </c>
      <c r="V54" s="61"/>
      <c r="W54" s="61"/>
      <c r="X54">
        <f>(Z46/4)^0.5</f>
        <v>2.5553818867802178</v>
      </c>
      <c r="AE54" s="71" t="s">
        <v>253</v>
      </c>
      <c r="AF54" s="71"/>
      <c r="AG54" s="71"/>
      <c r="AH54" s="71"/>
      <c r="AI54" s="71"/>
      <c r="AJ54" s="71"/>
      <c r="AK54" s="71"/>
      <c r="AL54" s="71"/>
    </row>
    <row r="55" spans="5:38">
      <c r="E55" s="16"/>
      <c r="F55" s="16"/>
      <c r="G55" s="48" t="s">
        <v>239</v>
      </c>
      <c r="H55" s="48"/>
      <c r="I55" s="48"/>
      <c r="J55" s="48"/>
      <c r="K55" s="48"/>
      <c r="L55" s="48"/>
      <c r="M55" s="48"/>
      <c r="N55" s="49"/>
      <c r="T55" s="15"/>
      <c r="U55" s="15" t="s">
        <v>228</v>
      </c>
      <c r="V55" s="15">
        <v>0.05</v>
      </c>
      <c r="W55" s="15"/>
      <c r="X55" s="15"/>
      <c r="Y55" s="15"/>
      <c r="AE55" s="71" t="s">
        <v>255</v>
      </c>
      <c r="AF55" s="71"/>
      <c r="AG55" s="71"/>
      <c r="AH55" s="71"/>
      <c r="AI55" s="71"/>
      <c r="AJ55" s="71"/>
      <c r="AK55" s="71"/>
      <c r="AL55" s="71"/>
    </row>
    <row r="56" spans="5:38">
      <c r="E56" s="16"/>
      <c r="F56" s="16"/>
      <c r="G56" s="48" t="s">
        <v>240</v>
      </c>
      <c r="H56" s="48"/>
      <c r="I56" s="48"/>
      <c r="J56" s="48"/>
      <c r="K56" s="48"/>
      <c r="L56" s="48"/>
      <c r="M56" s="48"/>
      <c r="N56" s="49"/>
      <c r="T56" s="15"/>
      <c r="U56" s="15" t="s">
        <v>221</v>
      </c>
      <c r="V56" s="15">
        <f>V55/2</f>
        <v>2.5000000000000001E-2</v>
      </c>
      <c r="W56" s="15"/>
      <c r="X56" s="15"/>
      <c r="Y56" s="15"/>
      <c r="AE56" s="11"/>
      <c r="AF56" s="11"/>
      <c r="AG56" s="11"/>
      <c r="AH56" s="11"/>
      <c r="AI56" s="11"/>
      <c r="AJ56" s="11"/>
      <c r="AK56" s="11"/>
      <c r="AL56" s="11"/>
    </row>
    <row r="57" spans="5:38">
      <c r="E57" s="16"/>
      <c r="F57" s="16"/>
      <c r="G57" s="90" t="s">
        <v>241</v>
      </c>
      <c r="H57" s="90"/>
      <c r="I57" s="90"/>
      <c r="J57" s="90"/>
      <c r="K57" s="90"/>
      <c r="L57" s="90"/>
      <c r="M57" s="90"/>
      <c r="N57" s="90"/>
      <c r="T57" s="15"/>
      <c r="U57" s="15" t="s">
        <v>236</v>
      </c>
      <c r="V57" s="15">
        <v>6</v>
      </c>
      <c r="W57" s="15"/>
      <c r="X57" s="15"/>
      <c r="Y57" s="15"/>
    </row>
    <row r="58" spans="5:38">
      <c r="T58" s="15"/>
      <c r="U58" s="15" t="s">
        <v>237</v>
      </c>
      <c r="V58" s="15">
        <f>V57-2</f>
        <v>4</v>
      </c>
      <c r="W58" s="15"/>
      <c r="X58" s="15"/>
      <c r="Y58" s="15"/>
    </row>
    <row r="59" spans="5:38">
      <c r="T59" s="58" t="s">
        <v>242</v>
      </c>
      <c r="U59" s="58"/>
      <c r="V59" s="15"/>
      <c r="W59" s="14">
        <v>2.7759999999999998</v>
      </c>
      <c r="X59" s="15"/>
      <c r="Y59" s="15"/>
    </row>
    <row r="60" spans="5:38">
      <c r="T60" s="15"/>
      <c r="U60" s="15" t="s">
        <v>148</v>
      </c>
      <c r="V60" s="15">
        <v>2.5553819999999998</v>
      </c>
      <c r="W60" s="15"/>
      <c r="X60" s="15"/>
      <c r="Y60" s="15"/>
    </row>
    <row r="61" spans="5:38">
      <c r="T61" s="15"/>
      <c r="U61" s="15" t="s">
        <v>224</v>
      </c>
      <c r="V61" s="15">
        <f>(V60/(V49^0.5))</f>
        <v>3.0386437924846108E-2</v>
      </c>
      <c r="W61" s="15"/>
      <c r="X61" s="15"/>
      <c r="Y61" s="15"/>
    </row>
    <row r="62" spans="5:38">
      <c r="T62" s="58" t="s">
        <v>243</v>
      </c>
      <c r="U62" s="58"/>
      <c r="V62" s="15"/>
      <c r="W62" s="14">
        <f>V50/V61</f>
        <v>2.5407432040570093E-2</v>
      </c>
      <c r="X62" s="15"/>
      <c r="Y62" s="15"/>
    </row>
    <row r="63" spans="5:38">
      <c r="T63" s="90" t="s">
        <v>244</v>
      </c>
      <c r="U63" s="90"/>
      <c r="V63" s="90"/>
      <c r="W63" s="90"/>
      <c r="X63" s="90"/>
      <c r="Y63" s="90"/>
      <c r="Z63" s="90"/>
      <c r="AA63" s="90"/>
    </row>
    <row r="64" spans="5:38">
      <c r="T64" s="90" t="s">
        <v>240</v>
      </c>
      <c r="U64" s="90"/>
      <c r="V64" s="90"/>
      <c r="W64" s="90"/>
      <c r="X64" s="90"/>
      <c r="Y64" s="90"/>
      <c r="Z64" s="90"/>
      <c r="AA64" s="90"/>
    </row>
    <row r="65" spans="20:27">
      <c r="T65" s="90" t="s">
        <v>241</v>
      </c>
      <c r="U65" s="90"/>
      <c r="V65" s="90"/>
      <c r="W65" s="90"/>
      <c r="X65" s="90"/>
      <c r="Y65" s="90"/>
      <c r="Z65" s="90"/>
      <c r="AA65" s="90"/>
    </row>
  </sheetData>
  <mergeCells count="52">
    <mergeCell ref="I1:Q1"/>
    <mergeCell ref="A20:B20"/>
    <mergeCell ref="A21:B21"/>
    <mergeCell ref="G3:I3"/>
    <mergeCell ref="H4:J4"/>
    <mergeCell ref="L17:O17"/>
    <mergeCell ref="J20:L20"/>
    <mergeCell ref="C31:D31"/>
    <mergeCell ref="S3:U3"/>
    <mergeCell ref="U28:V28"/>
    <mergeCell ref="U31:V31"/>
    <mergeCell ref="X32:AD32"/>
    <mergeCell ref="L27:S27"/>
    <mergeCell ref="U19:X19"/>
    <mergeCell ref="Y20:AB20"/>
    <mergeCell ref="T21:V21"/>
    <mergeCell ref="Y21:AB21"/>
    <mergeCell ref="V23:X23"/>
    <mergeCell ref="V24:X24"/>
    <mergeCell ref="G24:H24"/>
    <mergeCell ref="G25:I25"/>
    <mergeCell ref="G26:H26"/>
    <mergeCell ref="L25:M25"/>
    <mergeCell ref="G57:N57"/>
    <mergeCell ref="X33:AD33"/>
    <mergeCell ref="AG29:AM29"/>
    <mergeCell ref="AG30:AN30"/>
    <mergeCell ref="AE2:AG2"/>
    <mergeCell ref="AG19:AI19"/>
    <mergeCell ref="AF21:AH21"/>
    <mergeCell ref="AG28:AH28"/>
    <mergeCell ref="K26:R26"/>
    <mergeCell ref="T59:U59"/>
    <mergeCell ref="T62:U62"/>
    <mergeCell ref="T65:AA65"/>
    <mergeCell ref="T63:AA63"/>
    <mergeCell ref="T64:AA64"/>
    <mergeCell ref="AE55:AL55"/>
    <mergeCell ref="G43:I43"/>
    <mergeCell ref="AE38:AF38"/>
    <mergeCell ref="AE47:AL47"/>
    <mergeCell ref="AE49:AF49"/>
    <mergeCell ref="AE50:AG50"/>
    <mergeCell ref="AE53:AL53"/>
    <mergeCell ref="AE54:AL54"/>
    <mergeCell ref="AH52:AK52"/>
    <mergeCell ref="T38:U38"/>
    <mergeCell ref="V52:X52"/>
    <mergeCell ref="U54:W54"/>
    <mergeCell ref="E45:G45"/>
    <mergeCell ref="E51:F51"/>
    <mergeCell ref="E54:F54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AK63"/>
  <sheetViews>
    <sheetView zoomScale="90" zoomScaleNormal="90" workbookViewId="0">
      <selection activeCell="O67" sqref="O67"/>
    </sheetView>
  </sheetViews>
  <sheetFormatPr defaultRowHeight="15"/>
  <cols>
    <col min="15" max="15" width="11" bestFit="1" customWidth="1"/>
  </cols>
  <sheetData>
    <row r="1" spans="7:34" ht="21">
      <c r="H1" s="72" t="s">
        <v>175</v>
      </c>
      <c r="I1" s="72"/>
      <c r="J1" s="72"/>
      <c r="K1" s="72"/>
      <c r="L1" s="72"/>
      <c r="M1" s="72"/>
      <c r="N1" s="72"/>
      <c r="O1" s="72"/>
      <c r="P1" s="72"/>
    </row>
    <row r="3" spans="7:34" ht="26.25">
      <c r="AA3" s="98" t="s">
        <v>279</v>
      </c>
      <c r="AB3" s="98"/>
      <c r="AC3" s="98"/>
    </row>
    <row r="4" spans="7:34" ht="18.75">
      <c r="G4" s="68" t="s">
        <v>256</v>
      </c>
      <c r="H4" s="68"/>
      <c r="I4" s="68"/>
    </row>
    <row r="9" spans="7:34" ht="26.25">
      <c r="G9" s="78" t="s">
        <v>91</v>
      </c>
      <c r="H9" s="78"/>
      <c r="I9" s="78"/>
      <c r="J9" s="78"/>
      <c r="S9" s="97" t="s">
        <v>283</v>
      </c>
      <c r="T9" s="97"/>
      <c r="U9" s="97"/>
      <c r="AD9" s="97" t="s">
        <v>284</v>
      </c>
      <c r="AE9" s="97"/>
      <c r="AF9" s="97"/>
    </row>
    <row r="10" spans="7:34" ht="19.5">
      <c r="G10" s="100" t="s">
        <v>257</v>
      </c>
      <c r="H10" s="100"/>
      <c r="I10" s="100"/>
      <c r="J10" s="24">
        <f>16.50965+(0.162379*25)</f>
        <v>20.569125</v>
      </c>
      <c r="K10" s="24"/>
      <c r="L10" s="24"/>
      <c r="M10" s="24"/>
      <c r="N10" s="24"/>
      <c r="O10" s="24"/>
      <c r="P10" s="24"/>
      <c r="T10" s="67" t="s">
        <v>58</v>
      </c>
      <c r="U10" s="67"/>
      <c r="V10" s="67"/>
      <c r="W10" s="67"/>
      <c r="AE10" s="15"/>
      <c r="AF10" s="15" t="s">
        <v>278</v>
      </c>
      <c r="AG10" s="15">
        <v>130</v>
      </c>
      <c r="AH10" s="15"/>
    </row>
    <row r="11" spans="7:34">
      <c r="G11" s="24"/>
      <c r="H11" s="24"/>
      <c r="I11" s="24"/>
      <c r="J11" s="24"/>
      <c r="K11" s="24"/>
      <c r="L11" s="24"/>
      <c r="M11" s="24"/>
      <c r="N11" s="24"/>
      <c r="O11" s="24"/>
      <c r="P11" s="24"/>
      <c r="S11" s="15"/>
      <c r="T11" s="15" t="s">
        <v>278</v>
      </c>
      <c r="U11" s="15">
        <v>100</v>
      </c>
      <c r="V11" s="15"/>
      <c r="AE11" s="15"/>
      <c r="AF11" s="15" t="s">
        <v>236</v>
      </c>
      <c r="AG11" s="15">
        <v>7</v>
      </c>
      <c r="AH11" s="15"/>
    </row>
    <row r="12" spans="7:34">
      <c r="G12" s="100" t="s">
        <v>258</v>
      </c>
      <c r="H12" s="100"/>
      <c r="I12" s="100"/>
      <c r="J12" s="100"/>
      <c r="K12" s="100"/>
      <c r="L12" s="100"/>
      <c r="M12" s="100"/>
      <c r="N12" s="100"/>
      <c r="O12" s="100"/>
      <c r="P12" s="24"/>
      <c r="S12" s="15"/>
      <c r="T12" s="15" t="s">
        <v>236</v>
      </c>
      <c r="U12" s="15">
        <v>7</v>
      </c>
      <c r="V12" s="15"/>
      <c r="AE12" s="15"/>
      <c r="AF12" s="15" t="s">
        <v>280</v>
      </c>
      <c r="AG12" s="15">
        <v>5</v>
      </c>
      <c r="AH12" s="15"/>
    </row>
    <row r="13" spans="7:34">
      <c r="G13" s="24"/>
      <c r="H13" s="24"/>
      <c r="I13" s="24"/>
      <c r="J13" s="24"/>
      <c r="K13" s="24"/>
      <c r="L13" s="24"/>
      <c r="M13" s="24"/>
      <c r="N13" s="24"/>
      <c r="O13" s="24"/>
      <c r="P13" s="24"/>
      <c r="S13" s="15"/>
      <c r="T13" s="15" t="s">
        <v>280</v>
      </c>
      <c r="U13" s="15">
        <v>5</v>
      </c>
      <c r="V13" s="15"/>
      <c r="AE13" s="15"/>
      <c r="AF13" s="15" t="s">
        <v>228</v>
      </c>
      <c r="AG13" s="15">
        <v>0.1</v>
      </c>
      <c r="AH13" s="15"/>
    </row>
    <row r="14" spans="7:34">
      <c r="G14" s="100" t="s">
        <v>259</v>
      </c>
      <c r="H14" s="100"/>
      <c r="I14" s="100"/>
      <c r="J14" s="24"/>
      <c r="K14" s="24"/>
      <c r="L14" s="24"/>
      <c r="M14" s="24"/>
      <c r="N14" s="24"/>
      <c r="O14" s="24"/>
      <c r="P14" s="24"/>
      <c r="S14" s="15"/>
      <c r="T14" s="15" t="s">
        <v>228</v>
      </c>
      <c r="U14" s="15">
        <v>0.1</v>
      </c>
      <c r="V14" s="15"/>
      <c r="AE14" s="15"/>
      <c r="AF14" s="15" t="s">
        <v>57</v>
      </c>
      <c r="AG14" s="15">
        <v>11715.7</v>
      </c>
      <c r="AH14" s="15"/>
    </row>
    <row r="15" spans="7:34">
      <c r="G15" s="24"/>
      <c r="H15" s="24" t="s">
        <v>148</v>
      </c>
      <c r="I15" s="24">
        <v>2.70702</v>
      </c>
      <c r="J15" s="24"/>
      <c r="K15" s="24" t="s">
        <v>278</v>
      </c>
      <c r="L15" s="24">
        <v>25</v>
      </c>
      <c r="M15" s="24"/>
      <c r="N15" s="24"/>
      <c r="O15" s="24"/>
      <c r="P15" s="24"/>
      <c r="S15" s="15"/>
      <c r="T15" s="15" t="s">
        <v>57</v>
      </c>
      <c r="U15" s="15">
        <v>11715.7</v>
      </c>
      <c r="V15" s="15"/>
      <c r="X15" s="96" t="s">
        <v>277</v>
      </c>
      <c r="Y15" s="96"/>
      <c r="Z15" s="96"/>
      <c r="AE15" s="51" t="s">
        <v>281</v>
      </c>
      <c r="AF15" s="51"/>
      <c r="AG15" s="15">
        <v>2.0150000000000001</v>
      </c>
      <c r="AH15" s="15"/>
    </row>
    <row r="16" spans="7:34">
      <c r="G16" s="24"/>
      <c r="H16" s="24" t="s">
        <v>260</v>
      </c>
      <c r="I16" s="24">
        <f>17.8</f>
        <v>17.8</v>
      </c>
      <c r="J16" s="24"/>
      <c r="K16" s="24"/>
      <c r="L16" s="24"/>
      <c r="M16" s="24"/>
      <c r="N16" s="24"/>
      <c r="O16" s="24"/>
      <c r="P16" s="24"/>
      <c r="S16" s="51" t="s">
        <v>281</v>
      </c>
      <c r="T16" s="51"/>
      <c r="U16" s="15">
        <v>2.0150000000000001</v>
      </c>
      <c r="V16" s="15"/>
      <c r="X16" s="23">
        <f>(1+W21+Z21)^0.5</f>
        <v>1.082517908487026</v>
      </c>
      <c r="AA16" s="31" t="s">
        <v>276</v>
      </c>
      <c r="AB16" s="23">
        <f>T21+X17</f>
        <v>70.681865997585192</v>
      </c>
      <c r="AE16" s="15"/>
      <c r="AF16" s="15" t="s">
        <v>260</v>
      </c>
      <c r="AG16" s="15">
        <f>81.5714</f>
        <v>81.571399999999997</v>
      </c>
      <c r="AH16" s="15"/>
    </row>
    <row r="17" spans="7:37">
      <c r="G17" s="24"/>
      <c r="H17" s="24" t="s">
        <v>236</v>
      </c>
      <c r="I17" s="24">
        <v>5</v>
      </c>
      <c r="J17" s="24"/>
      <c r="K17" s="24"/>
      <c r="L17" s="24"/>
      <c r="M17" s="24"/>
      <c r="N17" s="24"/>
      <c r="O17" s="24"/>
      <c r="P17" s="24"/>
      <c r="S17" s="15"/>
      <c r="T17" s="15" t="s">
        <v>260</v>
      </c>
      <c r="U17" s="15">
        <f>81.5714</f>
        <v>81.571399999999997</v>
      </c>
      <c r="V17" s="15"/>
      <c r="X17" s="11">
        <f>X16*V23</f>
        <v>16.091865997585181</v>
      </c>
      <c r="AA17" s="31" t="s">
        <v>275</v>
      </c>
      <c r="AB17" s="23">
        <f>T21-X17</f>
        <v>38.498134002414822</v>
      </c>
      <c r="AE17" s="14" t="s">
        <v>285</v>
      </c>
      <c r="AF17" s="14">
        <v>27.643999999999998</v>
      </c>
    </row>
    <row r="18" spans="7:37">
      <c r="G18" s="24"/>
      <c r="H18" s="24" t="s">
        <v>57</v>
      </c>
      <c r="I18" s="24">
        <f>248.8</f>
        <v>248.8</v>
      </c>
      <c r="J18" s="24"/>
      <c r="K18" s="24"/>
      <c r="L18" s="24"/>
      <c r="M18" s="24"/>
      <c r="N18" s="24"/>
      <c r="O18" s="24"/>
      <c r="P18" s="24"/>
      <c r="S18" s="15" t="s">
        <v>282</v>
      </c>
      <c r="T18" s="15">
        <f>144.41-(0.8982*100)</f>
        <v>54.59</v>
      </c>
      <c r="U18" s="15"/>
      <c r="V18" s="15"/>
      <c r="X18" s="96" t="s">
        <v>272</v>
      </c>
      <c r="Y18" s="96"/>
      <c r="Z18" s="96"/>
    </row>
    <row r="19" spans="7:37">
      <c r="G19" s="24"/>
      <c r="H19" s="24" t="s">
        <v>228</v>
      </c>
      <c r="I19" s="24">
        <f>0.05</f>
        <v>0.05</v>
      </c>
      <c r="J19" s="24"/>
      <c r="K19" s="24"/>
      <c r="L19" s="24"/>
      <c r="M19" s="24"/>
      <c r="N19" s="24"/>
      <c r="O19" s="24"/>
      <c r="P19" s="24"/>
      <c r="AE19" s="7" t="s">
        <v>263</v>
      </c>
      <c r="AF19" s="16" t="s">
        <v>264</v>
      </c>
      <c r="AG19" s="7" t="s">
        <v>265</v>
      </c>
      <c r="AH19" s="30" t="s">
        <v>266</v>
      </c>
      <c r="AI19" s="16" t="s">
        <v>267</v>
      </c>
      <c r="AJ19" s="7" t="s">
        <v>268</v>
      </c>
      <c r="AK19" s="16" t="s">
        <v>269</v>
      </c>
    </row>
    <row r="20" spans="7:37">
      <c r="G20" s="100" t="s">
        <v>261</v>
      </c>
      <c r="H20" s="100"/>
      <c r="I20" s="24">
        <f>3.182</f>
        <v>3.1819999999999999</v>
      </c>
      <c r="J20" s="24"/>
      <c r="K20" s="24"/>
      <c r="L20" s="24"/>
      <c r="M20" s="24"/>
      <c r="N20" s="24"/>
      <c r="O20" s="24"/>
      <c r="P20" s="24"/>
      <c r="T20" s="7" t="s">
        <v>263</v>
      </c>
      <c r="U20" s="16" t="s">
        <v>264</v>
      </c>
      <c r="V20" s="7" t="s">
        <v>265</v>
      </c>
      <c r="W20" s="30" t="s">
        <v>266</v>
      </c>
      <c r="X20" s="16" t="s">
        <v>267</v>
      </c>
      <c r="Y20" s="7" t="s">
        <v>268</v>
      </c>
      <c r="Z20" s="16" t="s">
        <v>269</v>
      </c>
      <c r="AE20">
        <f>AF17</f>
        <v>27.643999999999998</v>
      </c>
      <c r="AF20">
        <f>AG15</f>
        <v>2.0150000000000001</v>
      </c>
      <c r="AG20">
        <f>V21</f>
        <v>7.3772799999999998</v>
      </c>
      <c r="AH20">
        <f>W21</f>
        <v>0.14285714285714285</v>
      </c>
      <c r="AI20">
        <f>AG10-AG16</f>
        <v>48.428600000000003</v>
      </c>
      <c r="AJ20">
        <f>AI20^2</f>
        <v>2345.3292979600001</v>
      </c>
      <c r="AK20">
        <f>AJ20/AG14</f>
        <v>0.20018686872828767</v>
      </c>
    </row>
    <row r="21" spans="7:37">
      <c r="G21" s="53" t="s">
        <v>262</v>
      </c>
      <c r="H21" s="53"/>
      <c r="J21" s="7">
        <f>J10</f>
        <v>20.569125</v>
      </c>
      <c r="K21" s="16">
        <f>I20</f>
        <v>3.1819999999999999</v>
      </c>
      <c r="L21" s="7">
        <f>I15</f>
        <v>2.70702</v>
      </c>
      <c r="M21" s="30">
        <f>1/I17</f>
        <v>0.2</v>
      </c>
      <c r="N21" s="16">
        <f>25-17.8</f>
        <v>7.1999999999999993</v>
      </c>
      <c r="O21" s="7">
        <f>N21^2</f>
        <v>51.839999999999989</v>
      </c>
      <c r="P21" s="16">
        <f>O21/I18</f>
        <v>0.2083601286173633</v>
      </c>
      <c r="T21" s="19">
        <v>54.59</v>
      </c>
      <c r="U21" s="19">
        <f>U16</f>
        <v>2.0150000000000001</v>
      </c>
      <c r="V21" s="19">
        <v>7.3772799999999998</v>
      </c>
      <c r="W21" s="19">
        <f>1/U12</f>
        <v>0.14285714285714285</v>
      </c>
      <c r="X21" s="19">
        <f>U11-U17</f>
        <v>18.428600000000003</v>
      </c>
      <c r="Y21" s="19">
        <f>X21^2</f>
        <v>339.61329796000012</v>
      </c>
      <c r="Z21" s="19">
        <f>Y21/U15</f>
        <v>2.8987879337982376E-2</v>
      </c>
    </row>
    <row r="22" spans="7:37">
      <c r="J22" s="7" t="s">
        <v>263</v>
      </c>
      <c r="K22" s="16" t="s">
        <v>264</v>
      </c>
      <c r="L22" s="7" t="s">
        <v>265</v>
      </c>
      <c r="M22" s="30" t="s">
        <v>266</v>
      </c>
      <c r="N22" s="16" t="s">
        <v>267</v>
      </c>
      <c r="O22" s="7" t="s">
        <v>268</v>
      </c>
      <c r="P22" s="16" t="s">
        <v>269</v>
      </c>
    </row>
    <row r="23" spans="7:37">
      <c r="K23" s="30">
        <f>(M21+P21)^0.5</f>
        <v>0.6390306163380306</v>
      </c>
      <c r="L23" s="30"/>
      <c r="N23" s="2">
        <f>((1+M21+P21)^0.5)</f>
        <v>1.1867434973983904</v>
      </c>
      <c r="T23" s="19">
        <f>(W21+Z21)^0.5</f>
        <v>0.41454194262477861</v>
      </c>
      <c r="U23" s="19"/>
      <c r="V23" s="19">
        <f>U21*V21</f>
        <v>14.8652192</v>
      </c>
      <c r="W23" s="19"/>
      <c r="X23" s="19">
        <f>V23*T23</f>
        <v>6.1622568447111572</v>
      </c>
      <c r="AE23" s="12" t="s">
        <v>271</v>
      </c>
      <c r="AF23" s="96" t="s">
        <v>277</v>
      </c>
      <c r="AG23" s="96"/>
      <c r="AH23" s="96"/>
      <c r="AI23" s="96" t="s">
        <v>272</v>
      </c>
      <c r="AJ23" s="96"/>
      <c r="AK23" s="96"/>
    </row>
    <row r="24" spans="7:37">
      <c r="K24" s="99" t="s">
        <v>270</v>
      </c>
      <c r="L24" s="99"/>
      <c r="N24" s="96" t="s">
        <v>277</v>
      </c>
      <c r="O24" s="96"/>
      <c r="P24" s="96"/>
      <c r="T24" s="99" t="s">
        <v>270</v>
      </c>
      <c r="U24" s="99"/>
      <c r="V24" s="12" t="s">
        <v>271</v>
      </c>
      <c r="W24" s="99" t="s">
        <v>272</v>
      </c>
      <c r="X24" s="99"/>
      <c r="Y24" s="99"/>
      <c r="AE24">
        <f>V23</f>
        <v>14.8652192</v>
      </c>
      <c r="AF24">
        <f>(1+AH20+AK20)^0.5</f>
        <v>1.15889775717508</v>
      </c>
      <c r="AI24">
        <f>AF24*AE24</f>
        <v>17.227269190795937</v>
      </c>
    </row>
    <row r="25" spans="7:37">
      <c r="M25" s="16">
        <f>K21*L21</f>
        <v>8.6137376400000001</v>
      </c>
      <c r="O25" s="30">
        <f>K23*M25</f>
        <v>5.5044420730632933</v>
      </c>
      <c r="P25" s="30"/>
      <c r="Q25" s="30"/>
    </row>
    <row r="26" spans="7:37">
      <c r="M26" s="16" t="s">
        <v>271</v>
      </c>
      <c r="O26" s="99" t="s">
        <v>272</v>
      </c>
      <c r="P26" s="99"/>
      <c r="Q26" s="99"/>
      <c r="T26" s="2" t="s">
        <v>273</v>
      </c>
      <c r="U26" s="2">
        <f>T21+X23</f>
        <v>60.752256844711162</v>
      </c>
      <c r="AG26" s="31" t="s">
        <v>276</v>
      </c>
      <c r="AH26" s="14">
        <f>AE20+AI24</f>
        <v>44.871269190795935</v>
      </c>
    </row>
    <row r="27" spans="7:37">
      <c r="J27" s="2" t="s">
        <v>273</v>
      </c>
      <c r="K27" s="2">
        <f>J21+O25</f>
        <v>26.073567073063295</v>
      </c>
      <c r="O27" s="2">
        <f>N23*M25</f>
        <v>10.222297132565757</v>
      </c>
      <c r="T27" s="2" t="s">
        <v>274</v>
      </c>
      <c r="U27" s="2">
        <f>T21-X23</f>
        <v>48.427743155288844</v>
      </c>
      <c r="AG27" s="31" t="s">
        <v>275</v>
      </c>
      <c r="AH27" s="14">
        <f>AE20-AI24</f>
        <v>10.416730809204061</v>
      </c>
    </row>
    <row r="28" spans="7:37">
      <c r="J28" s="2" t="s">
        <v>274</v>
      </c>
      <c r="K28" s="2">
        <f>J21-O25</f>
        <v>15.064682926936706</v>
      </c>
      <c r="O28" s="96" t="s">
        <v>272</v>
      </c>
      <c r="P28" s="96"/>
      <c r="Q28" s="96"/>
    </row>
    <row r="29" spans="7:37">
      <c r="O29" s="31" t="s">
        <v>276</v>
      </c>
      <c r="P29" s="31">
        <f>J21+O27</f>
        <v>30.791422132565756</v>
      </c>
    </row>
    <row r="30" spans="7:37">
      <c r="O30" s="31" t="s">
        <v>275</v>
      </c>
      <c r="P30" s="31">
        <f>J21-O27</f>
        <v>10.346827867434243</v>
      </c>
    </row>
    <row r="41" spans="2:19" ht="18.75">
      <c r="D41" s="68" t="s">
        <v>286</v>
      </c>
      <c r="E41" s="68"/>
      <c r="F41" s="68"/>
      <c r="N41" s="68" t="s">
        <v>289</v>
      </c>
      <c r="O41" s="68"/>
      <c r="P41" s="68"/>
    </row>
    <row r="45" spans="2:19" ht="21">
      <c r="O45" s="63" t="s">
        <v>69</v>
      </c>
      <c r="P45" s="63"/>
      <c r="Q45" s="63"/>
    </row>
    <row r="46" spans="2:19" ht="18.75">
      <c r="B46" s="64" t="s">
        <v>62</v>
      </c>
      <c r="C46" s="64"/>
      <c r="D46" s="64"/>
      <c r="O46" t="s">
        <v>290</v>
      </c>
      <c r="P46">
        <f>15.45991-(0.715*10)</f>
        <v>8.3099100000000021</v>
      </c>
    </row>
    <row r="47" spans="2:19">
      <c r="B47" s="15"/>
      <c r="C47" s="15" t="s">
        <v>278</v>
      </c>
      <c r="D47">
        <v>20</v>
      </c>
      <c r="N47" s="15"/>
      <c r="O47" s="15" t="s">
        <v>278</v>
      </c>
      <c r="P47">
        <v>10</v>
      </c>
      <c r="R47" s="16" t="s">
        <v>295</v>
      </c>
      <c r="S47">
        <f>2.57513</f>
        <v>2.5751300000000001</v>
      </c>
    </row>
    <row r="48" spans="2:19">
      <c r="B48" s="15"/>
      <c r="C48" s="15" t="s">
        <v>236</v>
      </c>
      <c r="D48">
        <v>8</v>
      </c>
      <c r="N48" s="15"/>
      <c r="O48" s="15" t="s">
        <v>236</v>
      </c>
      <c r="P48">
        <v>5</v>
      </c>
    </row>
    <row r="49" spans="2:20">
      <c r="B49" s="15"/>
      <c r="C49" s="15" t="s">
        <v>280</v>
      </c>
      <c r="D49">
        <v>6</v>
      </c>
      <c r="N49" s="15"/>
      <c r="O49" s="15" t="s">
        <v>280</v>
      </c>
      <c r="P49">
        <v>3</v>
      </c>
    </row>
    <row r="50" spans="2:20">
      <c r="B50" s="15"/>
      <c r="C50" s="15" t="s">
        <v>228</v>
      </c>
      <c r="D50">
        <v>0.02</v>
      </c>
      <c r="N50" s="15"/>
      <c r="O50" s="15" t="s">
        <v>228</v>
      </c>
      <c r="P50">
        <v>0.01</v>
      </c>
    </row>
    <row r="51" spans="2:20">
      <c r="B51" s="15"/>
      <c r="C51" s="15" t="s">
        <v>57</v>
      </c>
      <c r="D51">
        <v>2692.12</v>
      </c>
      <c r="N51" s="15"/>
      <c r="O51" s="15" t="s">
        <v>57</v>
      </c>
      <c r="P51">
        <v>84.8</v>
      </c>
    </row>
    <row r="52" spans="2:20">
      <c r="B52" s="51" t="s">
        <v>287</v>
      </c>
      <c r="C52" s="51"/>
      <c r="D52">
        <f>3.143</f>
        <v>3.1429999999999998</v>
      </c>
      <c r="N52" s="51" t="s">
        <v>291</v>
      </c>
      <c r="O52" s="51"/>
      <c r="P52">
        <f>5.841</f>
        <v>5.8410000000000002</v>
      </c>
    </row>
    <row r="53" spans="2:20">
      <c r="B53" s="15"/>
      <c r="C53" s="15" t="s">
        <v>260</v>
      </c>
      <c r="D53">
        <f>24.9375</f>
        <v>24.9375</v>
      </c>
      <c r="N53" s="15"/>
      <c r="O53" s="15" t="s">
        <v>260</v>
      </c>
      <c r="P53">
        <f>8.2</f>
        <v>8.1999999999999993</v>
      </c>
    </row>
    <row r="54" spans="2:20">
      <c r="N54" s="7" t="s">
        <v>263</v>
      </c>
      <c r="O54" s="16" t="s">
        <v>264</v>
      </c>
      <c r="P54" s="7" t="s">
        <v>265</v>
      </c>
      <c r="Q54" s="30" t="s">
        <v>266</v>
      </c>
      <c r="R54" s="16" t="s">
        <v>267</v>
      </c>
      <c r="S54" s="7" t="s">
        <v>268</v>
      </c>
      <c r="T54" s="16" t="s">
        <v>269</v>
      </c>
    </row>
    <row r="55" spans="2:20">
      <c r="B55" t="s">
        <v>288</v>
      </c>
      <c r="C55">
        <f>(-46.2918+(15.2397*20))</f>
        <v>258.50219999999996</v>
      </c>
      <c r="N55">
        <f>P46</f>
        <v>8.3099100000000021</v>
      </c>
      <c r="O55">
        <f>P52</f>
        <v>5.8410000000000002</v>
      </c>
      <c r="P55">
        <f>S47</f>
        <v>2.5751300000000001</v>
      </c>
      <c r="Q55">
        <f>1/P48</f>
        <v>0.2</v>
      </c>
      <c r="R55">
        <f>P47-P53</f>
        <v>1.8000000000000007</v>
      </c>
      <c r="S55">
        <f>R55^2</f>
        <v>3.2400000000000024</v>
      </c>
      <c r="T55">
        <f>S55/P51</f>
        <v>3.8207547169811354E-2</v>
      </c>
    </row>
    <row r="56" spans="2:20">
      <c r="B56" s="7" t="s">
        <v>263</v>
      </c>
      <c r="C56" s="16" t="s">
        <v>264</v>
      </c>
      <c r="D56" s="7" t="s">
        <v>265</v>
      </c>
      <c r="E56" s="30" t="s">
        <v>266</v>
      </c>
      <c r="F56" s="16" t="s">
        <v>267</v>
      </c>
      <c r="G56" s="7" t="s">
        <v>268</v>
      </c>
      <c r="H56" s="16" t="s">
        <v>269</v>
      </c>
    </row>
    <row r="57" spans="2:20">
      <c r="B57">
        <f>C55</f>
        <v>258.50219999999996</v>
      </c>
      <c r="C57">
        <f>D52</f>
        <v>3.1429999999999998</v>
      </c>
      <c r="D57">
        <v>108.758</v>
      </c>
      <c r="E57">
        <f>1/D48</f>
        <v>0.125</v>
      </c>
      <c r="F57">
        <f>D47-D53</f>
        <v>-4.9375</v>
      </c>
      <c r="G57">
        <f>F57^2</f>
        <v>24.37890625</v>
      </c>
      <c r="H57">
        <f>G57/D51</f>
        <v>9.0556536298530537E-3</v>
      </c>
      <c r="N57" s="12" t="s">
        <v>271</v>
      </c>
      <c r="O57" s="96" t="s">
        <v>292</v>
      </c>
      <c r="P57" s="96"/>
      <c r="Q57" s="96"/>
      <c r="R57" s="96" t="s">
        <v>272</v>
      </c>
      <c r="S57" s="96"/>
      <c r="T57" s="96"/>
    </row>
    <row r="58" spans="2:20">
      <c r="N58">
        <f>O55*P55</f>
        <v>15.041334330000002</v>
      </c>
      <c r="P58">
        <f>(Q55+T55)^0.5</f>
        <v>0.48806510546218251</v>
      </c>
      <c r="R58">
        <f>N58*P58</f>
        <v>7.3411504260633968</v>
      </c>
    </row>
    <row r="59" spans="2:20">
      <c r="B59" s="12" t="s">
        <v>271</v>
      </c>
      <c r="C59" s="96" t="s">
        <v>277</v>
      </c>
      <c r="D59" s="96"/>
      <c r="E59" s="96"/>
      <c r="F59" s="96" t="s">
        <v>272</v>
      </c>
      <c r="G59" s="96"/>
      <c r="H59" s="96"/>
    </row>
    <row r="60" spans="2:20">
      <c r="B60">
        <f>C57*D57</f>
        <v>341.82639399999994</v>
      </c>
      <c r="C60">
        <f>(1+E57+H57)^0.5</f>
        <v>1.0649204916940291</v>
      </c>
      <c r="F60">
        <f>B60*C60</f>
        <v>364.01793157247687</v>
      </c>
      <c r="O60" s="31" t="s">
        <v>293</v>
      </c>
      <c r="P60" s="15">
        <f>N55+R58</f>
        <v>15.651060426063399</v>
      </c>
    </row>
    <row r="61" spans="2:20">
      <c r="O61" s="31" t="s">
        <v>294</v>
      </c>
      <c r="P61" s="15">
        <f>N55-R58</f>
        <v>0.96875957393660528</v>
      </c>
    </row>
    <row r="62" spans="2:20">
      <c r="D62" s="31" t="s">
        <v>276</v>
      </c>
      <c r="E62">
        <f>B57+F60</f>
        <v>622.52013157247688</v>
      </c>
    </row>
    <row r="63" spans="2:20">
      <c r="D63" s="31" t="s">
        <v>275</v>
      </c>
      <c r="E63">
        <f>B57-F60</f>
        <v>-105.51573157247691</v>
      </c>
    </row>
  </sheetData>
  <mergeCells count="34">
    <mergeCell ref="H1:P1"/>
    <mergeCell ref="G4:I4"/>
    <mergeCell ref="G9:J9"/>
    <mergeCell ref="G10:I10"/>
    <mergeCell ref="G12:O12"/>
    <mergeCell ref="AA3:AC3"/>
    <mergeCell ref="T10:W10"/>
    <mergeCell ref="S16:T16"/>
    <mergeCell ref="T24:U24"/>
    <mergeCell ref="W24:Y24"/>
    <mergeCell ref="X15:Z15"/>
    <mergeCell ref="X18:Z18"/>
    <mergeCell ref="S9:U9"/>
    <mergeCell ref="AD9:AF9"/>
    <mergeCell ref="AE15:AF15"/>
    <mergeCell ref="AF23:AH23"/>
    <mergeCell ref="AI23:AK23"/>
    <mergeCell ref="D41:F41"/>
    <mergeCell ref="G14:I14"/>
    <mergeCell ref="G20:H20"/>
    <mergeCell ref="K24:L24"/>
    <mergeCell ref="O26:Q26"/>
    <mergeCell ref="N24:P24"/>
    <mergeCell ref="O28:Q28"/>
    <mergeCell ref="G21:H21"/>
    <mergeCell ref="R57:T57"/>
    <mergeCell ref="B52:C52"/>
    <mergeCell ref="C59:E59"/>
    <mergeCell ref="F59:H59"/>
    <mergeCell ref="N41:P41"/>
    <mergeCell ref="O45:Q45"/>
    <mergeCell ref="N52:O52"/>
    <mergeCell ref="O57:Q57"/>
    <mergeCell ref="B46:D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4"/>
  <sheetViews>
    <sheetView zoomScale="70" zoomScaleNormal="70" workbookViewId="0">
      <selection activeCell="I1" sqref="I1:Q1"/>
    </sheetView>
  </sheetViews>
  <sheetFormatPr defaultRowHeight="15"/>
  <sheetData>
    <row r="1" spans="1:24" ht="21">
      <c r="I1" s="106" t="s">
        <v>174</v>
      </c>
      <c r="J1" s="106"/>
      <c r="K1" s="106"/>
      <c r="L1" s="106"/>
      <c r="M1" s="106"/>
      <c r="N1" s="106"/>
      <c r="O1" s="106"/>
      <c r="P1" s="106"/>
      <c r="Q1" s="106"/>
      <c r="S1" s="68" t="s">
        <v>246</v>
      </c>
      <c r="T1" s="68"/>
      <c r="U1" s="68"/>
    </row>
    <row r="2" spans="1:24" ht="21">
      <c r="A2" s="102" t="s">
        <v>187</v>
      </c>
      <c r="B2" s="102"/>
      <c r="G2" s="72" t="s">
        <v>189</v>
      </c>
      <c r="H2" s="72"/>
      <c r="I2" s="72"/>
      <c r="M2" s="68" t="s">
        <v>196</v>
      </c>
      <c r="N2" s="68"/>
      <c r="O2" s="68"/>
      <c r="S2" s="1" t="s">
        <v>203</v>
      </c>
      <c r="T2" s="1" t="s">
        <v>204</v>
      </c>
      <c r="U2" s="1" t="s">
        <v>206</v>
      </c>
      <c r="V2" s="1" t="s">
        <v>205</v>
      </c>
      <c r="W2" s="1" t="s">
        <v>2</v>
      </c>
      <c r="X2" s="1" t="s">
        <v>4</v>
      </c>
    </row>
    <row r="3" spans="1:24">
      <c r="B3" s="1" t="s">
        <v>0</v>
      </c>
      <c r="C3" s="1" t="s">
        <v>1</v>
      </c>
      <c r="D3" s="1" t="s">
        <v>2</v>
      </c>
      <c r="E3" s="1" t="s">
        <v>4</v>
      </c>
      <c r="G3" s="1" t="s">
        <v>190</v>
      </c>
      <c r="H3" s="1" t="s">
        <v>0</v>
      </c>
      <c r="I3" s="1" t="s">
        <v>1</v>
      </c>
      <c r="J3" s="1" t="s">
        <v>2</v>
      </c>
      <c r="K3" s="1" t="s">
        <v>4</v>
      </c>
      <c r="M3" s="1" t="s">
        <v>190</v>
      </c>
      <c r="N3" s="1" t="s">
        <v>0</v>
      </c>
      <c r="O3" s="1" t="s">
        <v>1</v>
      </c>
      <c r="P3" s="1" t="s">
        <v>2</v>
      </c>
      <c r="Q3" s="1" t="s">
        <v>4</v>
      </c>
      <c r="S3" s="15">
        <v>2006</v>
      </c>
      <c r="T3" s="15">
        <v>1</v>
      </c>
      <c r="U3" s="15">
        <v>1</v>
      </c>
      <c r="V3" s="15">
        <v>11.93</v>
      </c>
      <c r="W3" s="15">
        <f>U3^2</f>
        <v>1</v>
      </c>
      <c r="X3" s="15">
        <f>U3*V3</f>
        <v>11.93</v>
      </c>
    </row>
    <row r="4" spans="1:24">
      <c r="B4" s="16">
        <v>1</v>
      </c>
      <c r="C4" s="16">
        <v>32569</v>
      </c>
      <c r="D4" s="16">
        <f>B4^2</f>
        <v>1</v>
      </c>
      <c r="E4" s="16">
        <f>B4*C4</f>
        <v>32569</v>
      </c>
      <c r="G4" s="15">
        <v>2005</v>
      </c>
      <c r="H4" s="15">
        <v>1</v>
      </c>
      <c r="I4" s="15">
        <v>11.9</v>
      </c>
      <c r="J4" s="15">
        <f>H4^2</f>
        <v>1</v>
      </c>
      <c r="K4" s="15">
        <f>H4*I4</f>
        <v>11.9</v>
      </c>
      <c r="M4" s="16">
        <v>2002</v>
      </c>
      <c r="N4" s="16">
        <v>1</v>
      </c>
      <c r="O4" s="16">
        <v>5860</v>
      </c>
      <c r="P4" s="16">
        <f>N4^2</f>
        <v>1</v>
      </c>
      <c r="Q4" s="16">
        <f>N4*O4</f>
        <v>5860</v>
      </c>
      <c r="S4" s="15">
        <v>2006</v>
      </c>
      <c r="T4" s="15">
        <v>2</v>
      </c>
      <c r="U4" s="15">
        <v>2</v>
      </c>
      <c r="V4" s="15">
        <v>12.46</v>
      </c>
      <c r="W4" s="15">
        <f t="shared" ref="W4:W14" si="0">U4^2</f>
        <v>4</v>
      </c>
      <c r="X4" s="15">
        <f t="shared" ref="X4:X14" si="1">U4*V4</f>
        <v>24.92</v>
      </c>
    </row>
    <row r="5" spans="1:24">
      <c r="B5" s="16">
        <v>2</v>
      </c>
      <c r="C5" s="16">
        <v>32274</v>
      </c>
      <c r="D5" s="16">
        <f t="shared" ref="D5:D11" si="2">B5^2</f>
        <v>4</v>
      </c>
      <c r="E5" s="16">
        <f t="shared" ref="E5:E11" si="3">B5*C5</f>
        <v>64548</v>
      </c>
      <c r="G5" s="15">
        <v>2006</v>
      </c>
      <c r="H5" s="15">
        <v>2</v>
      </c>
      <c r="I5" s="15">
        <v>17.899999999999999</v>
      </c>
      <c r="J5" s="15">
        <f t="shared" ref="J5:J8" si="4">H5^2</f>
        <v>4</v>
      </c>
      <c r="K5" s="15">
        <f t="shared" ref="K5:K8" si="5">H5*I5</f>
        <v>35.799999999999997</v>
      </c>
      <c r="M5" s="16">
        <v>2003</v>
      </c>
      <c r="N5" s="16">
        <v>2</v>
      </c>
      <c r="O5" s="16">
        <v>6632</v>
      </c>
      <c r="P5" s="16">
        <f t="shared" ref="P5:P9" si="6">N5^2</f>
        <v>4</v>
      </c>
      <c r="Q5" s="16">
        <f t="shared" ref="Q5:Q10" si="7">N5*O5</f>
        <v>13264</v>
      </c>
      <c r="S5" s="15">
        <v>2006</v>
      </c>
      <c r="T5" s="15">
        <v>3</v>
      </c>
      <c r="U5" s="15">
        <v>3</v>
      </c>
      <c r="V5" s="15">
        <v>13.28</v>
      </c>
      <c r="W5" s="15">
        <f t="shared" si="0"/>
        <v>9</v>
      </c>
      <c r="X5" s="15">
        <f t="shared" si="1"/>
        <v>39.839999999999996</v>
      </c>
    </row>
    <row r="6" spans="1:24">
      <c r="B6" s="16">
        <v>3</v>
      </c>
      <c r="C6" s="16">
        <v>32583</v>
      </c>
      <c r="D6" s="16">
        <f t="shared" si="2"/>
        <v>9</v>
      </c>
      <c r="E6" s="16">
        <f t="shared" si="3"/>
        <v>97749</v>
      </c>
      <c r="G6" s="15">
        <v>2007</v>
      </c>
      <c r="H6" s="15">
        <v>3</v>
      </c>
      <c r="I6" s="15">
        <v>22</v>
      </c>
      <c r="J6" s="15">
        <f t="shared" si="4"/>
        <v>9</v>
      </c>
      <c r="K6" s="15">
        <f t="shared" si="5"/>
        <v>66</v>
      </c>
      <c r="M6" s="16">
        <v>2004</v>
      </c>
      <c r="N6" s="16">
        <v>3</v>
      </c>
      <c r="O6" s="16">
        <v>7125</v>
      </c>
      <c r="P6" s="16">
        <f t="shared" si="6"/>
        <v>9</v>
      </c>
      <c r="Q6" s="16">
        <f t="shared" si="7"/>
        <v>21375</v>
      </c>
      <c r="S6" s="15">
        <v>2006</v>
      </c>
      <c r="T6" s="15">
        <v>4</v>
      </c>
      <c r="U6" s="15">
        <v>4</v>
      </c>
      <c r="V6" s="15">
        <v>15.08</v>
      </c>
      <c r="W6" s="15">
        <f t="shared" si="0"/>
        <v>16</v>
      </c>
      <c r="X6" s="15">
        <f t="shared" si="1"/>
        <v>60.32</v>
      </c>
    </row>
    <row r="7" spans="1:24">
      <c r="B7" s="16">
        <v>4</v>
      </c>
      <c r="C7" s="16">
        <v>32304</v>
      </c>
      <c r="D7" s="16">
        <f t="shared" si="2"/>
        <v>16</v>
      </c>
      <c r="E7" s="16">
        <f t="shared" si="3"/>
        <v>129216</v>
      </c>
      <c r="G7" s="15">
        <v>2008</v>
      </c>
      <c r="H7" s="15">
        <v>4</v>
      </c>
      <c r="I7" s="15">
        <v>21.8</v>
      </c>
      <c r="J7" s="15">
        <f t="shared" si="4"/>
        <v>16</v>
      </c>
      <c r="K7" s="15">
        <f t="shared" si="5"/>
        <v>87.2</v>
      </c>
      <c r="M7" s="16">
        <v>2005</v>
      </c>
      <c r="N7" s="16">
        <v>4</v>
      </c>
      <c r="O7" s="16">
        <v>6000</v>
      </c>
      <c r="P7" s="16">
        <f t="shared" si="6"/>
        <v>16</v>
      </c>
      <c r="Q7" s="16">
        <f t="shared" si="7"/>
        <v>24000</v>
      </c>
      <c r="S7" s="15">
        <v>2007</v>
      </c>
      <c r="T7" s="15">
        <v>1</v>
      </c>
      <c r="U7" s="15">
        <v>5</v>
      </c>
      <c r="V7" s="15">
        <v>16.079999999999998</v>
      </c>
      <c r="W7" s="15">
        <f t="shared" si="0"/>
        <v>25</v>
      </c>
      <c r="X7" s="15">
        <f t="shared" si="1"/>
        <v>80.399999999999991</v>
      </c>
    </row>
    <row r="8" spans="1:24">
      <c r="B8" s="16">
        <v>5</v>
      </c>
      <c r="C8" s="16">
        <v>32149</v>
      </c>
      <c r="D8" s="16">
        <f t="shared" si="2"/>
        <v>25</v>
      </c>
      <c r="E8" s="16">
        <f t="shared" si="3"/>
        <v>160745</v>
      </c>
      <c r="G8" s="15">
        <v>2009</v>
      </c>
      <c r="H8" s="15">
        <v>5</v>
      </c>
      <c r="I8" s="15">
        <v>26</v>
      </c>
      <c r="J8" s="15">
        <f t="shared" si="4"/>
        <v>25</v>
      </c>
      <c r="K8" s="15">
        <f t="shared" si="5"/>
        <v>130</v>
      </c>
      <c r="M8" s="16">
        <v>2006</v>
      </c>
      <c r="N8" s="16">
        <v>5</v>
      </c>
      <c r="O8" s="16">
        <v>4380</v>
      </c>
      <c r="P8" s="16">
        <f t="shared" si="6"/>
        <v>25</v>
      </c>
      <c r="Q8" s="16">
        <f t="shared" si="7"/>
        <v>21900</v>
      </c>
      <c r="S8" s="15">
        <v>2007</v>
      </c>
      <c r="T8" s="15">
        <v>2</v>
      </c>
      <c r="U8" s="15">
        <v>6</v>
      </c>
      <c r="V8" s="15">
        <v>16.82</v>
      </c>
      <c r="W8" s="15">
        <f t="shared" si="0"/>
        <v>36</v>
      </c>
      <c r="X8" s="15">
        <f t="shared" si="1"/>
        <v>100.92</v>
      </c>
    </row>
    <row r="9" spans="1:24">
      <c r="B9" s="16">
        <v>6</v>
      </c>
      <c r="C9" s="16">
        <v>32077</v>
      </c>
      <c r="D9" s="16">
        <f t="shared" si="2"/>
        <v>36</v>
      </c>
      <c r="E9" s="16">
        <f t="shared" si="3"/>
        <v>192462</v>
      </c>
      <c r="G9" s="14" t="s">
        <v>191</v>
      </c>
      <c r="H9" s="1">
        <f>SUM(H4:H8)</f>
        <v>15</v>
      </c>
      <c r="I9" s="1">
        <f t="shared" ref="I9:K9" si="8">SUM(I4:I8)</f>
        <v>99.6</v>
      </c>
      <c r="J9" s="1">
        <f t="shared" si="8"/>
        <v>55</v>
      </c>
      <c r="K9" s="1">
        <f t="shared" si="8"/>
        <v>330.9</v>
      </c>
      <c r="M9" s="16">
        <v>2007</v>
      </c>
      <c r="N9" s="16">
        <v>6</v>
      </c>
      <c r="O9" s="16">
        <v>3326</v>
      </c>
      <c r="P9" s="16">
        <f t="shared" si="6"/>
        <v>36</v>
      </c>
      <c r="Q9" s="16">
        <f t="shared" si="7"/>
        <v>19956</v>
      </c>
      <c r="S9" s="15">
        <v>2007</v>
      </c>
      <c r="T9" s="15">
        <v>3</v>
      </c>
      <c r="U9" s="15">
        <v>7</v>
      </c>
      <c r="V9" s="15">
        <v>17.600000000000001</v>
      </c>
      <c r="W9" s="15">
        <f t="shared" si="0"/>
        <v>49</v>
      </c>
      <c r="X9" s="15">
        <f t="shared" si="1"/>
        <v>123.20000000000002</v>
      </c>
    </row>
    <row r="10" spans="1:24">
      <c r="B10" s="16">
        <v>7</v>
      </c>
      <c r="C10" s="16">
        <v>31989</v>
      </c>
      <c r="D10" s="16">
        <f t="shared" si="2"/>
        <v>49</v>
      </c>
      <c r="E10" s="16">
        <f t="shared" si="3"/>
        <v>223923</v>
      </c>
      <c r="G10" s="14" t="s">
        <v>192</v>
      </c>
      <c r="H10">
        <f>AVERAGE(H4:H8)</f>
        <v>3</v>
      </c>
      <c r="I10">
        <f>AVERAGE(I4:I8)</f>
        <v>19.919999999999998</v>
      </c>
      <c r="M10" s="16">
        <v>2008</v>
      </c>
      <c r="N10" s="16">
        <v>7</v>
      </c>
      <c r="O10" s="16">
        <v>2642</v>
      </c>
      <c r="P10" s="16">
        <f>N10^2</f>
        <v>49</v>
      </c>
      <c r="Q10" s="16">
        <f t="shared" si="7"/>
        <v>18494</v>
      </c>
      <c r="S10" s="15">
        <v>2007</v>
      </c>
      <c r="T10" s="15">
        <v>4</v>
      </c>
      <c r="U10" s="15">
        <v>8</v>
      </c>
      <c r="V10" s="15">
        <v>18.66</v>
      </c>
      <c r="W10" s="15">
        <f t="shared" si="0"/>
        <v>64</v>
      </c>
      <c r="X10" s="15">
        <f t="shared" si="1"/>
        <v>149.28</v>
      </c>
    </row>
    <row r="11" spans="1:24">
      <c r="B11" s="16">
        <v>8</v>
      </c>
      <c r="C11" s="16">
        <v>31977</v>
      </c>
      <c r="D11" s="16">
        <f t="shared" si="2"/>
        <v>64</v>
      </c>
      <c r="E11" s="16">
        <f t="shared" si="3"/>
        <v>255816</v>
      </c>
      <c r="G11" s="7"/>
      <c r="H11" s="7"/>
      <c r="I11" s="7"/>
      <c r="J11" s="7"/>
      <c r="K11" s="7"/>
      <c r="M11" s="14" t="s">
        <v>198</v>
      </c>
      <c r="N11" s="1">
        <f>SUM(N4:N10)</f>
        <v>28</v>
      </c>
      <c r="O11" s="1">
        <f t="shared" ref="O11:Q11" si="9">SUM(O4:O10)</f>
        <v>35965</v>
      </c>
      <c r="P11" s="1">
        <f t="shared" si="9"/>
        <v>140</v>
      </c>
      <c r="Q11" s="1">
        <f t="shared" si="9"/>
        <v>124849</v>
      </c>
      <c r="S11" s="15">
        <v>2008</v>
      </c>
      <c r="T11" s="15">
        <v>1</v>
      </c>
      <c r="U11" s="15">
        <v>9</v>
      </c>
      <c r="V11" s="15">
        <v>19.73</v>
      </c>
      <c r="W11" s="15">
        <f t="shared" si="0"/>
        <v>81</v>
      </c>
      <c r="X11" s="15">
        <f t="shared" si="1"/>
        <v>177.57</v>
      </c>
    </row>
    <row r="12" spans="1:24">
      <c r="A12" s="29" t="s">
        <v>5</v>
      </c>
      <c r="B12" s="1">
        <f>SUM(B4:B11)</f>
        <v>36</v>
      </c>
      <c r="C12" s="1">
        <f t="shared" ref="C12:E12" si="10">SUM(C4:C11)</f>
        <v>257922</v>
      </c>
      <c r="D12" s="1">
        <f t="shared" si="10"/>
        <v>204</v>
      </c>
      <c r="E12" s="1">
        <f t="shared" si="10"/>
        <v>1157028</v>
      </c>
      <c r="G12" s="7"/>
      <c r="H12" s="7" t="s">
        <v>57</v>
      </c>
      <c r="I12" s="7">
        <f>(J9-((H9^2)/5))</f>
        <v>10</v>
      </c>
      <c r="J12" s="7"/>
      <c r="K12" s="7"/>
      <c r="M12" s="14" t="s">
        <v>197</v>
      </c>
      <c r="N12" s="15">
        <f>AVERAGE(N4:N10)</f>
        <v>4</v>
      </c>
      <c r="O12" s="15">
        <f>AVERAGE(O4:O10)</f>
        <v>5137.8571428571431</v>
      </c>
      <c r="S12" s="15">
        <v>2008</v>
      </c>
      <c r="T12" s="15">
        <v>2</v>
      </c>
      <c r="U12" s="15">
        <v>10</v>
      </c>
      <c r="V12" s="15">
        <v>21.11</v>
      </c>
      <c r="W12" s="15">
        <f t="shared" si="0"/>
        <v>100</v>
      </c>
      <c r="X12" s="15">
        <f t="shared" si="1"/>
        <v>211.1</v>
      </c>
    </row>
    <row r="13" spans="1:24">
      <c r="A13" s="29" t="s">
        <v>54</v>
      </c>
      <c r="B13" s="7">
        <f>AVERAGE(B4:B11)</f>
        <v>4.5</v>
      </c>
      <c r="C13" s="7">
        <f>AVERAGE(C4:C11)</f>
        <v>32240.25</v>
      </c>
      <c r="G13" s="7"/>
      <c r="H13" s="7" t="s">
        <v>47</v>
      </c>
      <c r="I13" s="7">
        <f>(K9-((H9*I9)/5))</f>
        <v>32.099999999999966</v>
      </c>
      <c r="J13" s="7"/>
      <c r="K13" s="7"/>
      <c r="M13" s="7"/>
      <c r="N13" s="7"/>
      <c r="O13" s="7"/>
      <c r="P13" s="7"/>
      <c r="Q13" s="7"/>
      <c r="S13" s="15">
        <v>2008</v>
      </c>
      <c r="T13" s="15">
        <v>3</v>
      </c>
      <c r="U13" s="15">
        <v>11</v>
      </c>
      <c r="V13" s="15">
        <v>22.21</v>
      </c>
      <c r="W13" s="15">
        <f t="shared" si="0"/>
        <v>121</v>
      </c>
      <c r="X13" s="15">
        <f t="shared" si="1"/>
        <v>244.31</v>
      </c>
    </row>
    <row r="14" spans="1:24">
      <c r="G14" s="7"/>
      <c r="H14" s="7" t="s">
        <v>48</v>
      </c>
      <c r="I14" s="7">
        <f>I13/I12</f>
        <v>3.2099999999999964</v>
      </c>
      <c r="J14" s="7"/>
      <c r="K14" s="7"/>
      <c r="M14" s="7"/>
      <c r="N14" s="7" t="s">
        <v>47</v>
      </c>
      <c r="O14" s="7">
        <f>(Q11-((N11*O11)/7))</f>
        <v>-19011</v>
      </c>
      <c r="P14" s="7"/>
      <c r="Q14" s="7"/>
      <c r="S14" s="15">
        <v>2008</v>
      </c>
      <c r="T14" s="15">
        <v>4</v>
      </c>
      <c r="U14" s="15">
        <v>12</v>
      </c>
      <c r="V14" s="15">
        <v>22.94</v>
      </c>
      <c r="W14" s="15">
        <f t="shared" si="0"/>
        <v>144</v>
      </c>
      <c r="X14" s="15">
        <f t="shared" si="1"/>
        <v>275.28000000000003</v>
      </c>
    </row>
    <row r="15" spans="1:24">
      <c r="B15" s="24"/>
      <c r="C15" s="24" t="s">
        <v>47</v>
      </c>
      <c r="D15" s="24">
        <f>(E12-((B12*C12)/8))</f>
        <v>-3621</v>
      </c>
      <c r="E15" s="24"/>
      <c r="F15" s="24"/>
      <c r="G15" s="7"/>
      <c r="H15" s="7" t="s">
        <v>50</v>
      </c>
      <c r="I15" s="7">
        <f>(I10-(H10*I14))</f>
        <v>10.29000000000001</v>
      </c>
      <c r="J15" s="7"/>
      <c r="K15" s="7"/>
      <c r="M15" s="7"/>
      <c r="N15" s="7" t="s">
        <v>57</v>
      </c>
      <c r="O15" s="7">
        <f>(P11-((N11^2)/7))</f>
        <v>28</v>
      </c>
      <c r="P15" s="7"/>
      <c r="Q15" s="7"/>
      <c r="S15" s="1" t="s">
        <v>5</v>
      </c>
      <c r="T15" s="1"/>
      <c r="U15" s="1">
        <f>SUM(U3:U14)</f>
        <v>78</v>
      </c>
      <c r="V15" s="1">
        <f t="shared" ref="V15:X15" si="11">SUM(V3:V14)</f>
        <v>207.9</v>
      </c>
      <c r="W15" s="1">
        <f t="shared" si="11"/>
        <v>650</v>
      </c>
      <c r="X15" s="1">
        <f t="shared" si="11"/>
        <v>1499.07</v>
      </c>
    </row>
    <row r="16" spans="1:24">
      <c r="B16" s="24"/>
      <c r="C16" s="24" t="s">
        <v>57</v>
      </c>
      <c r="D16" s="24">
        <f>(D12-((B12^2)/8))</f>
        <v>42</v>
      </c>
      <c r="E16" s="24"/>
      <c r="F16" s="24"/>
      <c r="G16" s="7"/>
      <c r="H16" s="7"/>
      <c r="I16" s="61" t="s">
        <v>195</v>
      </c>
      <c r="J16" s="61"/>
      <c r="K16" s="61"/>
      <c r="M16" s="7"/>
      <c r="N16" s="7" t="s">
        <v>48</v>
      </c>
      <c r="O16" s="7">
        <f>O14/O15</f>
        <v>-678.96428571428567</v>
      </c>
      <c r="P16" s="7"/>
      <c r="Q16" s="7"/>
      <c r="S16" s="1" t="s">
        <v>54</v>
      </c>
      <c r="T16" s="1"/>
      <c r="U16" s="1">
        <f>AVERAGE(U3:U14)</f>
        <v>6.5</v>
      </c>
      <c r="V16" s="1">
        <f>AVERAGE(V3:V14)</f>
        <v>17.324999999999999</v>
      </c>
      <c r="W16" s="1"/>
      <c r="X16" s="1"/>
    </row>
    <row r="17" spans="2:25">
      <c r="B17" s="24"/>
      <c r="C17" s="24" t="s">
        <v>48</v>
      </c>
      <c r="D17" s="24">
        <f>D15/D16</f>
        <v>-86.214285714285708</v>
      </c>
      <c r="E17" s="24"/>
      <c r="F17" s="24"/>
      <c r="G17" s="7"/>
      <c r="H17" s="101" t="s">
        <v>193</v>
      </c>
      <c r="I17" s="101"/>
      <c r="M17" s="7"/>
      <c r="N17" s="7" t="s">
        <v>50</v>
      </c>
      <c r="O17" s="7">
        <f>(O12-(O16*N12))</f>
        <v>7853.7142857142862</v>
      </c>
      <c r="P17" s="7"/>
      <c r="Q17" s="7"/>
      <c r="S17" s="13"/>
      <c r="T17" s="13"/>
      <c r="U17" s="13"/>
      <c r="V17" s="13"/>
      <c r="W17" s="13"/>
      <c r="X17" s="13"/>
      <c r="Y17" s="13"/>
    </row>
    <row r="18" spans="2:25">
      <c r="B18" s="24"/>
      <c r="C18" s="24" t="s">
        <v>50</v>
      </c>
      <c r="D18" s="24">
        <f>(C13-(D17*B13))</f>
        <v>32628.214285714286</v>
      </c>
      <c r="E18" s="24"/>
      <c r="F18" s="24"/>
      <c r="G18" s="7"/>
      <c r="H18" s="101" t="s">
        <v>194</v>
      </c>
      <c r="I18" s="101"/>
      <c r="J18" s="14">
        <f>(I15+(I14*7))</f>
        <v>32.759999999999984</v>
      </c>
      <c r="O18" s="58" t="s">
        <v>199</v>
      </c>
      <c r="P18" s="58"/>
      <c r="Q18" s="58"/>
      <c r="S18" s="13"/>
      <c r="T18" s="13" t="s">
        <v>56</v>
      </c>
      <c r="U18" s="13">
        <f>(X15-((U15*V15)/12))</f>
        <v>147.7199999999998</v>
      </c>
      <c r="V18" s="13"/>
      <c r="W18" s="13"/>
      <c r="X18" s="13"/>
      <c r="Y18" s="13"/>
    </row>
    <row r="19" spans="2:25">
      <c r="B19" s="24"/>
      <c r="C19" s="24" t="s">
        <v>75</v>
      </c>
      <c r="D19" s="91" t="s">
        <v>184</v>
      </c>
      <c r="E19" s="91"/>
      <c r="F19" s="91"/>
      <c r="S19" s="13"/>
      <c r="T19" s="13" t="s">
        <v>57</v>
      </c>
      <c r="U19" s="13">
        <f>(W15-((U15^2)/12))</f>
        <v>143</v>
      </c>
      <c r="V19" s="13"/>
      <c r="W19" s="13"/>
      <c r="X19" s="13"/>
      <c r="Y19" s="13"/>
    </row>
    <row r="20" spans="2:25">
      <c r="B20" s="53" t="s">
        <v>185</v>
      </c>
      <c r="C20" s="53"/>
      <c r="D20" s="53"/>
      <c r="E20" s="53"/>
      <c r="F20" s="53"/>
      <c r="M20" s="8"/>
      <c r="N20" s="91" t="s">
        <v>200</v>
      </c>
      <c r="O20" s="91"/>
      <c r="P20" s="91"/>
      <c r="Q20" s="8"/>
      <c r="S20" s="13"/>
      <c r="T20" s="13" t="s">
        <v>55</v>
      </c>
      <c r="U20" s="13">
        <f>U18/U19</f>
        <v>1.0330069930069916</v>
      </c>
      <c r="V20" s="101" t="s">
        <v>208</v>
      </c>
      <c r="W20" s="101"/>
      <c r="X20" s="101"/>
      <c r="Y20" s="13"/>
    </row>
    <row r="21" spans="2:25">
      <c r="B21" s="8" t="s">
        <v>186</v>
      </c>
      <c r="C21" s="8"/>
      <c r="D21" s="8"/>
      <c r="M21" s="8"/>
      <c r="N21" s="8" t="s">
        <v>201</v>
      </c>
      <c r="O21" s="8"/>
      <c r="P21" s="8">
        <f>O17+(O16*9)</f>
        <v>1743.0357142857156</v>
      </c>
      <c r="Q21" s="8"/>
      <c r="S21" s="13"/>
      <c r="T21" s="13" t="s">
        <v>50</v>
      </c>
      <c r="U21" s="13">
        <f>(V16-((U16*U20)))</f>
        <v>10.610454545454553</v>
      </c>
      <c r="V21" s="13"/>
      <c r="W21" s="13"/>
      <c r="X21" s="13"/>
      <c r="Y21" s="13"/>
    </row>
    <row r="22" spans="2:25">
      <c r="B22" s="8"/>
      <c r="C22" s="44" t="s">
        <v>188</v>
      </c>
      <c r="D22" s="43">
        <f>(D18+(D17*10))</f>
        <v>31766.071428571428</v>
      </c>
      <c r="M22" s="8"/>
      <c r="N22" s="8"/>
      <c r="O22" s="8" t="s">
        <v>202</v>
      </c>
      <c r="P22" s="8"/>
      <c r="Q22" s="8"/>
      <c r="U22" s="91" t="s">
        <v>207</v>
      </c>
      <c r="V22" s="91"/>
      <c r="W22" s="91"/>
      <c r="X22" s="91"/>
      <c r="Y22" s="91"/>
    </row>
    <row r="23" spans="2:25">
      <c r="U23" s="8"/>
      <c r="V23" s="91" t="s">
        <v>209</v>
      </c>
      <c r="W23" s="91"/>
      <c r="X23" s="91"/>
      <c r="Y23" s="8"/>
    </row>
    <row r="24" spans="2:25">
      <c r="U24" s="8"/>
      <c r="V24" s="8" t="s">
        <v>210</v>
      </c>
      <c r="W24" s="8">
        <f>(U21+(U20*19))</f>
        <v>30.237587412587395</v>
      </c>
      <c r="X24" s="8"/>
      <c r="Y24" s="8"/>
    </row>
  </sheetData>
  <mergeCells count="15">
    <mergeCell ref="D19:F19"/>
    <mergeCell ref="B20:F20"/>
    <mergeCell ref="A2:B2"/>
    <mergeCell ref="I16:K16"/>
    <mergeCell ref="H18:I18"/>
    <mergeCell ref="H17:I17"/>
    <mergeCell ref="G2:I2"/>
    <mergeCell ref="N20:P20"/>
    <mergeCell ref="I1:Q1"/>
    <mergeCell ref="U22:Y22"/>
    <mergeCell ref="V20:X20"/>
    <mergeCell ref="V23:X23"/>
    <mergeCell ref="S1:U1"/>
    <mergeCell ref="M2:O2"/>
    <mergeCell ref="O18:Q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Formulaes</vt:lpstr>
      <vt:lpstr>12.1-12.5</vt:lpstr>
      <vt:lpstr>12.6-12.12</vt:lpstr>
      <vt:lpstr>12.13-12.23</vt:lpstr>
      <vt:lpstr>12.24-12.31</vt:lpstr>
      <vt:lpstr>12.32-12.37</vt:lpstr>
      <vt:lpstr>12.38-12.43</vt:lpstr>
      <vt:lpstr>12.44-12.47</vt:lpstr>
      <vt:lpstr>12.48-12.50</vt:lpstr>
      <vt:lpstr>12.51-12.69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2017-10-22T19:13:14Z</dcterms:created>
  <dcterms:modified xsi:type="dcterms:W3CDTF">2017-10-24T23:46:32Z</dcterms:modified>
</cp:coreProperties>
</file>