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 2025" sheetId="1" r:id="rId4"/>
    <sheet state="visible" name="February 2025" sheetId="2" r:id="rId5"/>
    <sheet state="visible" name="March 2025" sheetId="3" r:id="rId6"/>
    <sheet state="visible" name="May 2025" sheetId="4" r:id="rId7"/>
    <sheet state="visible" name="June 2025" sheetId="5" r:id="rId8"/>
    <sheet state="visible" name="July 2025" sheetId="6" r:id="rId9"/>
    <sheet state="visible" name="August 2025" sheetId="7" r:id="rId10"/>
    <sheet state="visible" name="September 2025" sheetId="8" r:id="rId11"/>
    <sheet state="visible" name="October 2025" sheetId="9" r:id="rId12"/>
    <sheet state="visible" name="December 2024" sheetId="10" r:id="rId13"/>
    <sheet state="visible" name="Holiday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63 DEMO devices, 376 S8 Patient Connect devices and 75 S9 devices</t>
      </text>
    </comment>
    <comment authorId="0" ref="C3">
      <text>
        <t xml:space="preserve">425 S8 devices</t>
      </text>
    </comment>
    <comment authorId="0" ref="B4">
      <text>
        <t xml:space="preserve">63 DEMO devices, 376 S8 Patient Connect devices and 75 S9 devices</t>
      </text>
    </comment>
    <comment authorId="0" ref="C4">
      <text>
        <t xml:space="preserve">418 S8 devices</t>
      </text>
    </comment>
    <comment authorId="0" ref="B5">
      <text>
        <t xml:space="preserve">63 DEMO devices, 376 S8 Patient Connect devices and 75 S9 devices</t>
      </text>
    </comment>
    <comment authorId="0" ref="C5">
      <text>
        <t xml:space="preserve">418 S8 devices</t>
      </text>
    </comment>
    <comment authorId="0" ref="B6">
      <text>
        <t xml:space="preserve">63 DEMO devices, 376 S8 Patient Connect devices and 75 S9 devices</t>
      </text>
    </comment>
    <comment authorId="0" ref="C6">
      <text>
        <t xml:space="preserve">418 S8 devices</t>
      </text>
    </comment>
    <comment authorId="0" ref="B7">
      <text>
        <t xml:space="preserve">65 DEMO devices, 378 S8 Patient Connect devices and 75 S9 devices</t>
      </text>
    </comment>
    <comment authorId="0" ref="C7">
      <text>
        <t xml:space="preserve">418 S8 devices</t>
      </text>
    </comment>
    <comment authorId="0" ref="B8">
      <text>
        <t xml:space="preserve">64 DEMO devices, 380 S8 Patient Connect devices and 71 S9 devices</t>
      </text>
    </comment>
    <comment authorId="0" ref="C8">
      <text>
        <t xml:space="preserve">417 S8 devices</t>
      </text>
    </comment>
    <comment authorId="0" ref="B9">
      <text>
        <t xml:space="preserve">64 DEMO devices, 380 S8 Patient Connect devices and 73 S9 devices</t>
      </text>
    </comment>
    <comment authorId="0" ref="C9">
      <text>
        <t xml:space="preserve">417 S8 devices</t>
      </text>
    </comment>
    <comment authorId="0" ref="B10">
      <text>
        <t xml:space="preserve">64 DEMO devices, 380 S8 Patient Connect devices and 61 S9 devices</t>
      </text>
    </comment>
    <comment authorId="0" ref="C10">
      <text>
        <t xml:space="preserve">417 S8 devices</t>
      </text>
    </comment>
    <comment authorId="0" ref="B11">
      <text>
        <t xml:space="preserve">64 DEMO devices, 381 S8 Patient Connect devices and 62 S9 devices</t>
      </text>
    </comment>
    <comment authorId="0" ref="C11">
      <text>
        <t xml:space="preserve">415 S8 devices</t>
      </text>
    </comment>
    <comment authorId="0" ref="B12">
      <text>
        <t xml:space="preserve">64 DEMO devices, 383 S8 Patient Connect devices and 62 S9 devices</t>
      </text>
    </comment>
    <comment authorId="0" ref="C12">
      <text>
        <t xml:space="preserve">415 S8 devices</t>
      </text>
    </comment>
    <comment authorId="0" ref="B13">
      <text>
        <t xml:space="preserve">64 DEMO devices, 383 S8 Patient Connect devices and 62 S9 devices</t>
      </text>
    </comment>
    <comment authorId="0" ref="C13">
      <text>
        <t xml:space="preserve">415 S8 devices</t>
      </text>
    </comment>
    <comment authorId="0" ref="B14">
      <text>
        <t xml:space="preserve">67 DEMO devices, 385 S8 Patient Connect devices and 57 S9 devices</t>
      </text>
    </comment>
    <comment authorId="0" ref="C14">
      <text>
        <t xml:space="preserve">414 S8 devices</t>
      </text>
    </comment>
    <comment authorId="0" ref="B15">
      <text>
        <t xml:space="preserve">74 DEMO devices, 397 S8 Patient Connect devices and 68 S9 devices</t>
      </text>
    </comment>
    <comment authorId="0" ref="C15">
      <text>
        <t xml:space="preserve">415 S8 devices</t>
      </text>
    </comment>
    <comment authorId="0" ref="B16">
      <text>
        <t xml:space="preserve">72 DEMO devices, 397 S8 Patient Connect devices and 63 S9 devices</t>
      </text>
    </comment>
    <comment authorId="0" ref="C16">
      <text>
        <t xml:space="preserve">416 S8 devices</t>
      </text>
    </comment>
    <comment authorId="0" ref="B17">
      <text>
        <t xml:space="preserve">79 DEMO devices, 404 S8 Patient Connect devices and 59 S9 devices</t>
      </text>
    </comment>
    <comment authorId="0" ref="C17">
      <text>
        <t xml:space="preserve">417 S8 devices</t>
      </text>
    </comment>
    <comment authorId="0" ref="B18">
      <text>
        <t xml:space="preserve">84 DEMO devices, 385 S8 Patient Connect devices and 61 S9 devices</t>
      </text>
    </comment>
    <comment authorId="0" ref="C18">
      <text>
        <t xml:space="preserve">416 S8 devices</t>
      </text>
    </comment>
    <comment authorId="0" ref="B19">
      <text>
        <t xml:space="preserve">93 DEMO devices, 395 S8 Patient Connect devices and 73 S9 devices</t>
      </text>
    </comment>
    <comment authorId="0" ref="C19">
      <text>
        <t xml:space="preserve">416 S8 devices</t>
      </text>
    </comment>
    <comment authorId="0" ref="B20">
      <text>
        <t xml:space="preserve">93 DEMO devices, 395 S8 Patient Connect devices and 73 S9 devices</t>
      </text>
    </comment>
    <comment authorId="0" ref="C20">
      <text>
        <t xml:space="preserve">416 S8 devices</t>
      </text>
    </comment>
    <comment authorId="0" ref="B21">
      <text>
        <t xml:space="preserve">91 DEMO devices, 395 S8 Patient Connect devices and 80 S9 devices</t>
      </text>
    </comment>
    <comment authorId="0" ref="C21">
      <text>
        <t xml:space="preserve">417 S8 devices</t>
      </text>
    </comment>
    <comment authorId="0" ref="B22">
      <text>
        <t xml:space="preserve">94 DEMO devices, 400 S8 Patient Connect devices and 77 S9 devices</t>
      </text>
    </comment>
    <comment authorId="0" ref="C22">
      <text>
        <t xml:space="preserve">413 S8 devices</t>
      </text>
    </comment>
    <comment authorId="0" ref="B23">
      <text>
        <t xml:space="preserve">99 DEMO devices, 397 S8 Patient Connect devices and 85 S9 devices</t>
      </text>
    </comment>
    <comment authorId="0" ref="C23">
      <text>
        <t xml:space="preserve">412 S8 devices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101 DEMO devices, 439 S8 Patient Connect devices and 94 S9 devices</t>
      </text>
    </comment>
    <comment authorId="0" ref="C3">
      <text>
        <t xml:space="preserve">415 S8 devices</t>
      </text>
    </comment>
    <comment authorId="0" ref="B4">
      <text>
        <t xml:space="preserve">104 DEMO devices, 447 S8 Patient Connect devices and 105 S9 devices</t>
      </text>
    </comment>
    <comment authorId="0" ref="C4">
      <text>
        <t xml:space="preserve">414 S8 devices</t>
      </text>
    </comment>
    <comment authorId="0" ref="B5">
      <text>
        <t xml:space="preserve">104 DEMO devices, 449 S8 Patient Connect devices and 108 S9 devices</t>
      </text>
    </comment>
    <comment authorId="0" ref="C5">
      <text>
        <t xml:space="preserve">414 S8 devices</t>
      </text>
    </comment>
    <comment authorId="0" ref="B6">
      <text>
        <t xml:space="preserve">104 DEMO devices, 452 S8 Patient Connect devices and 114 S9 devices</t>
      </text>
    </comment>
    <comment authorId="0" ref="C6">
      <text>
        <t xml:space="preserve">414 S8 devices</t>
      </text>
    </comment>
    <comment authorId="0" ref="B7">
      <text>
        <t xml:space="preserve">104 DEMO devices, 460 S8 Patient Connect devices and 116 S9 devices</t>
      </text>
    </comment>
    <comment authorId="0" ref="C7">
      <text>
        <t xml:space="preserve">414 S8 devices</t>
      </text>
    </comment>
    <comment authorId="0" ref="B8">
      <text>
        <t xml:space="preserve">109 DEMO devices, 474 S8 Patient Connect devices and 121 S9 devices</t>
      </text>
    </comment>
    <comment authorId="0" ref="C8">
      <text>
        <t xml:space="preserve">418 S8 devices</t>
      </text>
    </comment>
    <comment authorId="0" ref="B9">
      <text>
        <t xml:space="preserve">109 DEMO devices, 475 S8 Patient Connect devices and 121 S9 devices</t>
      </text>
    </comment>
    <comment authorId="0" ref="C9">
      <text>
        <t xml:space="preserve">418 S8 devices</t>
      </text>
    </comment>
    <comment authorId="0" ref="B10">
      <text>
        <t xml:space="preserve">112 DEMO devices, 485 S8 Patient Connect devices and 124 S9 devices</t>
      </text>
    </comment>
    <comment authorId="0" ref="C10">
      <text>
        <t xml:space="preserve">419 S8 devices</t>
      </text>
    </comment>
    <comment authorId="0" ref="B11">
      <text>
        <t xml:space="preserve">114 DEMO devices, 487 S8 Patient Connect devices and 130 S9 devices</t>
      </text>
    </comment>
    <comment authorId="0" ref="C11">
      <text>
        <t xml:space="preserve">418 S8 devices</t>
      </text>
    </comment>
    <comment authorId="0" ref="B12">
      <text>
        <t xml:space="preserve">114 DEMO devices, 490 S8 Patient Connect devices and 128 S9 devices</t>
      </text>
    </comment>
    <comment authorId="0" ref="C12">
      <text>
        <t xml:space="preserve">418 S8 devices</t>
      </text>
    </comment>
    <comment authorId="0" ref="B13">
      <text>
        <t xml:space="preserve">115 DEMO devices, 500 S8 Patient Connect devices and 134 S9 devices</t>
      </text>
    </comment>
    <comment authorId="0" ref="C13">
      <text>
        <t xml:space="preserve">418 S8 devices</t>
      </text>
    </comment>
    <comment authorId="0" ref="B14">
      <text>
        <t xml:space="preserve">115 DEMO devices, 502 S8 Patient Connect devices and 126 S9 devices</t>
      </text>
    </comment>
    <comment authorId="0" ref="C14">
      <text>
        <t xml:space="preserve">418 S8 devices</t>
      </text>
    </comment>
    <comment authorId="0" ref="B15">
      <text>
        <t xml:space="preserve">116 DEMO devices, 503 S8 Patient Connect devices and 126 S9 devices</t>
      </text>
    </comment>
    <comment authorId="0" ref="C15">
      <text>
        <t xml:space="preserve">418 S8 devices</t>
      </text>
    </comment>
    <comment authorId="0" ref="B16">
      <text>
        <t xml:space="preserve">117 DEMO devices, 505 S8 Patient Connect devices and 129 S9 devices</t>
      </text>
    </comment>
    <comment authorId="0" ref="C16">
      <text>
        <t xml:space="preserve">418 S8 devices</t>
      </text>
    </comment>
    <comment authorId="0" ref="B17">
      <text>
        <t xml:space="preserve">119 DEMO devices, 511 S8 Patient Connect devices and 133 S9 devices</t>
      </text>
    </comment>
    <comment authorId="0" ref="C17">
      <text>
        <t xml:space="preserve">418 S8 devices</t>
      </text>
    </comment>
    <comment authorId="0" ref="B18">
      <text>
        <t xml:space="preserve">120 DEMO devices, 511 S8 Patient Connect devices and 128 S9 devices</t>
      </text>
    </comment>
    <comment authorId="0" ref="C18">
      <text>
        <t xml:space="preserve">418 S8 devices</t>
      </text>
    </comment>
    <comment authorId="0" ref="B19">
      <text>
        <t xml:space="preserve">123 DEMO devices, 517 S8 Patient Connect devices and 128 S9 devices</t>
      </text>
    </comment>
    <comment authorId="0" ref="C19">
      <text>
        <t xml:space="preserve">419 S8 devices</t>
      </text>
    </comment>
    <comment authorId="0" ref="B20">
      <text>
        <t xml:space="preserve">123 DEMO devices, 532 S8 Patient Connect devices and 124 S9 devices</t>
      </text>
    </comment>
    <comment authorId="0" ref="C20">
      <text>
        <t xml:space="preserve">421 S8 devices</t>
      </text>
    </comment>
    <comment authorId="0" ref="B21">
      <text>
        <t xml:space="preserve">123 DEMO devices, 541 S8 Patient Connect devices and 129 S9 devices</t>
      </text>
    </comment>
    <comment authorId="0" ref="C21">
      <text>
        <t xml:space="preserve">425 S8 devices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126 DEMO devices, 558 S8 Patient Connect devices and 144 S9 devices</t>
      </text>
    </comment>
    <comment authorId="0" ref="C3">
      <text>
        <t xml:space="preserve">427 S8 devices</t>
      </text>
    </comment>
    <comment authorId="0" ref="B4">
      <text>
        <t xml:space="preserve">126 DEMO devices, 561 S8 Patient Connect devices and 146 S9 devices</t>
      </text>
    </comment>
    <comment authorId="0" ref="C4">
      <text>
        <t xml:space="preserve">428 S8 devices</t>
      </text>
    </comment>
    <comment authorId="0" ref="B5">
      <text>
        <t xml:space="preserve">126 DEMO devices, 562 S8 Patient Connect devices and 140 S9 devices</t>
      </text>
    </comment>
    <comment authorId="0" ref="C5">
      <text>
        <t xml:space="preserve">430 S8 devices</t>
      </text>
    </comment>
    <comment authorId="0" ref="B6">
      <text>
        <t xml:space="preserve">126 DEMO devices, 574 S8 Patient Connect devices and 144 S9 devices</t>
      </text>
    </comment>
    <comment authorId="0" ref="C6">
      <text>
        <t xml:space="preserve">431 S8 devices</t>
      </text>
    </comment>
    <comment authorId="0" ref="B7">
      <text>
        <t xml:space="preserve">126 DEMO devices, 574 S8 Patient Connect devices and 156 S9 devices</t>
      </text>
    </comment>
    <comment authorId="0" ref="C7">
      <text>
        <t xml:space="preserve">433 S8 devices</t>
      </text>
    </comment>
    <comment authorId="0" ref="B8">
      <text>
        <t xml:space="preserve">128 DEMO devices, 576 S8 Patient Connect devices and 151 S9 devices</t>
      </text>
    </comment>
    <comment authorId="0" ref="C8">
      <text>
        <t xml:space="preserve">434 S8 devices</t>
      </text>
    </comment>
    <comment authorId="0" ref="B9">
      <text>
        <t xml:space="preserve">128 DEMO devices, 584 S8 Patient Connect devices and 151 S9 devices</t>
      </text>
    </comment>
    <comment authorId="0" ref="C9">
      <text>
        <t xml:space="preserve">436 S8 devices</t>
      </text>
    </comment>
    <comment authorId="0" ref="B10">
      <text>
        <t xml:space="preserve">130 DEMO devices, 594 S8 Patient Connect devices and 133 S9 devices</t>
      </text>
    </comment>
    <comment authorId="0" ref="C10">
      <text>
        <t xml:space="preserve">436 S8 devices</t>
      </text>
    </comment>
    <comment authorId="0" ref="B11">
      <text>
        <t xml:space="preserve">130 DEMO devices, 590 S8 Patient Connect devices and 118 S9 devices</t>
      </text>
    </comment>
    <comment authorId="0" ref="C11">
      <text>
        <t xml:space="preserve">436 S8 devices</t>
      </text>
    </comment>
    <comment authorId="0" ref="B12">
      <text>
        <t xml:space="preserve">130 DEMO devices, 570 S8 Patient Connect devices and 114 S9 devices</t>
      </text>
    </comment>
    <comment authorId="0" ref="C12">
      <text>
        <t xml:space="preserve">436 S8 devices</t>
      </text>
    </comment>
    <comment authorId="0" ref="B13">
      <text>
        <t xml:space="preserve">133 DEMO devices, 546 S8 Patient Connect devices and 106 S9 devices</t>
      </text>
    </comment>
    <comment authorId="0" ref="C13">
      <text>
        <t xml:space="preserve">436 S8 devices</t>
      </text>
    </comment>
    <comment authorId="0" ref="B14">
      <text>
        <t xml:space="preserve">133 DEMO devices, 544 S8 Patient Connect devices and 102 S9 devices</t>
      </text>
    </comment>
    <comment authorId="0" ref="C14">
      <text>
        <t xml:space="preserve">437 S8 devices</t>
      </text>
    </comment>
    <comment authorId="0" ref="B15">
      <text>
        <t xml:space="preserve">133 DEMO devices, 545 S8 Patient Connect devices and 79 S9 devices</t>
      </text>
    </comment>
    <comment authorId="0" ref="C15">
      <text>
        <t xml:space="preserve">438 S8 devices</t>
      </text>
    </comment>
    <comment authorId="0" ref="B16">
      <text>
        <t xml:space="preserve">132 DEMO devices, 549 S8 Patient Connect devices and 64 S9 devices</t>
      </text>
    </comment>
    <comment authorId="0" ref="C16">
      <text>
        <t xml:space="preserve">438 S8 devices</t>
      </text>
    </comment>
    <comment authorId="0" ref="B17">
      <text>
        <t xml:space="preserve">132 DEMO devices, 549 S8 Patient Connect devices and 45 S9 devices</t>
      </text>
    </comment>
    <comment authorId="0" ref="C17">
      <text>
        <t xml:space="preserve">438 S8 devices</t>
      </text>
    </comment>
    <comment authorId="0" ref="B18">
      <text>
        <t xml:space="preserve">131 DEMO devices, 501 S8 Patient Connect devices and 44 S9 devices</t>
      </text>
    </comment>
    <comment authorId="0" ref="C18">
      <text>
        <t xml:space="preserve">421 S8 devices</t>
      </text>
    </comment>
    <comment authorId="0" ref="B19">
      <text>
        <t xml:space="preserve">132 DEMO devices, 535 S8 Patient Connect devices and 42 S9 devices</t>
      </text>
    </comment>
    <comment authorId="0" ref="C19">
      <text>
        <t xml:space="preserve">432 S8 devices</t>
      </text>
    </comment>
    <comment authorId="0" ref="B20">
      <text>
        <t xml:space="preserve">132 DEMO devices, 497 S8 Patient Connect devices and 42 S9 devices</t>
      </text>
    </comment>
    <comment authorId="0" ref="C20">
      <text>
        <t xml:space="preserve">430 S8 devices</t>
      </text>
    </comment>
    <comment authorId="0" ref="K20">
      <text>
        <t xml:space="preserve">Current count</t>
      </text>
    </comment>
    <comment authorId="0" ref="B21">
      <text>
        <t xml:space="preserve">133 DEMO devices, 470 S8 Patient Connect devices and 42 S9 devices</t>
      </text>
    </comment>
    <comment authorId="0" ref="C21">
      <text>
        <t xml:space="preserve">426 S8 devices</t>
      </text>
    </comment>
    <comment authorId="0" ref="B22">
      <text>
        <t xml:space="preserve">133 DEMO devices, 439 S8 Patient Connect devices and 42 S9 devices</t>
      </text>
    </comment>
    <comment authorId="0" ref="C22">
      <text>
        <t xml:space="preserve">426 S8 devices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131 DEMO devices, 253 S8 Patient Connect devices and 41 S9 devices</t>
      </text>
    </comment>
    <comment authorId="0" ref="C3">
      <text>
        <t xml:space="preserve">286 uncased S8 devices, 16 uncased S9 devices</t>
      </text>
    </comment>
    <comment authorId="0" ref="B4">
      <text>
        <t xml:space="preserve">131 DEMO devices, 243 S8 Patient Connect devices and 38 S9 devices</t>
      </text>
    </comment>
    <comment authorId="0" ref="C4">
      <text>
        <t xml:space="preserve">286 uncased S8 devices, 16 uncased S9 devices</t>
      </text>
    </comment>
    <comment authorId="0" ref="B5">
      <text>
        <t xml:space="preserve">131 DEMO devices, 230 S8 Patient Connect devices and 39 S9 devices</t>
      </text>
    </comment>
    <comment authorId="0" ref="C5">
      <text>
        <t xml:space="preserve">283 uncased S8 devices, 16 uncased S9 devices</t>
      </text>
    </comment>
    <comment authorId="0" ref="B6">
      <text>
        <t xml:space="preserve">131 DEMO devices, 212 S8 Patient Connect devices and 39 S9 devices</t>
      </text>
    </comment>
    <comment authorId="0" ref="C6">
      <text>
        <t xml:space="preserve">274 uncased S8 devices, 16 uncased S9 devices</t>
      </text>
    </comment>
    <comment authorId="0" ref="B7">
      <text>
        <t xml:space="preserve">131 DEMO devices, 194 S8 Patient Connect devices and 39 S9 devices</t>
      </text>
    </comment>
    <comment authorId="0" ref="C7">
      <text>
        <t xml:space="preserve">262 uncased S8 devices, 16 uncased S9 devices</t>
      </text>
    </comment>
    <comment authorId="0" ref="B8">
      <text>
        <t xml:space="preserve">131 DEMO devices, 191 S8 Patient Connect devices and 40 S9 devices</t>
      </text>
    </comment>
    <comment authorId="0" ref="C8">
      <text>
        <t xml:space="preserve">251 uncased S8 devices, 16 uncased S9 devices</t>
      </text>
    </comment>
    <comment authorId="0" ref="B9">
      <text>
        <t xml:space="preserve">131 DEMO devices, 191 S8 Patient Connect devices and 40 S9 devices</t>
      </text>
    </comment>
    <comment authorId="0" ref="C9">
      <text>
        <t xml:space="preserve">252 uncased S8 devices, 16 uncased S9 devices</t>
      </text>
    </comment>
    <comment authorId="0" ref="B10">
      <text>
        <t xml:space="preserve">131 DEMO devices, 185 S8 Patient Connect devices and 40 S9 devices</t>
      </text>
    </comment>
    <comment authorId="0" ref="C10">
      <text>
        <t xml:space="preserve">233 uncased S8 devices, 16 uncased S9 devices</t>
      </text>
    </comment>
    <comment authorId="0" ref="B11">
      <text>
        <t xml:space="preserve">131 DEMO devices, 182 S8 Patient Connect devices and 41 S9 devices</t>
      </text>
    </comment>
    <comment authorId="0" ref="C11">
      <text>
        <t xml:space="preserve">209 uncased S8 devices, 16 uncased S9 devices</t>
      </text>
    </comment>
    <comment authorId="0" ref="B12">
      <text>
        <t xml:space="preserve">131 DEMO devices, 174 S8 Patient Connect devices and 41 S9 devices</t>
      </text>
    </comment>
    <comment authorId="0" ref="C12">
      <text>
        <t xml:space="preserve">192 uncased S8 devices, 16 uncased S9 devices</t>
      </text>
    </comment>
    <comment authorId="0" ref="B13">
      <text>
        <t xml:space="preserve">131 DEMO devices, 172 S8 Patient Connect devices and 37 S9 devices</t>
      </text>
    </comment>
    <comment authorId="0" ref="C13">
      <text>
        <t xml:space="preserve">180 uncased S8 devices, 17 uncased S9 devices</t>
      </text>
    </comment>
    <comment authorId="0" ref="B14">
      <text>
        <t xml:space="preserve">131 DEMO devices, 169 S8 Patient Connect devices and 37 S9 devices</t>
      </text>
    </comment>
    <comment authorId="0" ref="C14">
      <text>
        <t xml:space="preserve">177 uncased S8 devices, 17 uncased S9 devices</t>
      </text>
    </comment>
    <comment authorId="0" ref="B15">
      <text>
        <t xml:space="preserve">131 DEMO devices, 164 S8 Patient Connect devices and 38 S9 devices</t>
      </text>
    </comment>
    <comment authorId="0" ref="C15">
      <text>
        <t xml:space="preserve">158 uncased S8 devices, 17 uncased S9 devices</t>
      </text>
    </comment>
    <comment authorId="0" ref="B16">
      <text>
        <t xml:space="preserve">131 DEMO devices, 159 S8 Patient Connect devices and 38 S9 devices</t>
      </text>
    </comment>
    <comment authorId="0" ref="C16">
      <text>
        <t xml:space="preserve">147 uncased S8 devices, 17 uncased S9 devices</t>
      </text>
    </comment>
    <comment authorId="0" ref="B17">
      <text>
        <t xml:space="preserve">133 DEMO devices, 152 S8 Patient Connect devices and 38 S9 devices</t>
      </text>
    </comment>
    <comment authorId="0" ref="C17">
      <text>
        <t xml:space="preserve">127 uncased S8 devices, 17 uncased S9 devices</t>
      </text>
    </comment>
    <comment authorId="0" ref="B18">
      <text>
        <t xml:space="preserve">133 DEMO devices, 152 S8 Patient Connect devices and 38 S9 devices</t>
      </text>
    </comment>
    <comment authorId="0" ref="C18">
      <text>
        <t xml:space="preserve">117 uncased S8 devices, 17 uncased S9 devices</t>
      </text>
    </comment>
    <comment authorId="0" ref="B19">
      <text>
        <t xml:space="preserve">132 DEMO devices, 146 S8 Patient Connect devices and 38 S9 devices</t>
      </text>
    </comment>
    <comment authorId="0" ref="C19">
      <text>
        <t xml:space="preserve">112 uncased S8 devices, 17 uncased S9 devices</t>
      </text>
    </comment>
    <comment authorId="0" ref="B20">
      <text>
        <t xml:space="preserve">132 DEMO devices, 143 S8 Patient Connect devices and 40 S9 devices</t>
      </text>
    </comment>
    <comment authorId="0" ref="C20">
      <text>
        <t xml:space="preserve">109 uncased S8 devices, 17 uncased S9 devices</t>
      </text>
    </comment>
    <comment authorId="0" ref="B21">
      <text>
        <t xml:space="preserve">132 DEMO devices, 140 S8 Patient Connect devices and 40 S9 devices</t>
      </text>
    </comment>
    <comment authorId="0" ref="C21">
      <text>
        <t xml:space="preserve">101 uncased S8 devices, 17 uncased S9 devices</t>
      </text>
    </comment>
    <comment authorId="0" ref="B22">
      <text>
        <t xml:space="preserve">133 DEMO devices, 141 S8 Patient Connect devices and 41 S9 devices</t>
      </text>
    </comment>
    <comment authorId="0" ref="C22">
      <text>
        <t xml:space="preserve">101 uncased S8 devices, 17 uncased S9 devices</t>
      </text>
    </comment>
    <comment authorId="0" ref="B23">
      <text>
        <t xml:space="preserve">133 DEMO devices, 141 S8 Patient Connect devices and 41 S9 devices</t>
      </text>
    </comment>
    <comment authorId="0" ref="C23">
      <text>
        <t xml:space="preserve">101 uncased S8 devices, 17 uncased S9 devices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133 DEMO devices, 144 S8 Patient Connect devices and 41 S9 devices</t>
      </text>
    </comment>
    <comment authorId="0" ref="C3">
      <text>
        <t xml:space="preserve">101 uncased S8 devices, 17 uncased S9 devices</t>
      </text>
    </comment>
    <comment authorId="0" ref="B4">
      <text>
        <t xml:space="preserve">133 DEMO devices, 164 S8 Patient Connect devices and 44 S9 devices</t>
      </text>
    </comment>
    <comment authorId="0" ref="C4">
      <text>
        <t xml:space="preserve">100 uncased S8 devices, 16 uncased S9 devices</t>
      </text>
    </comment>
    <comment authorId="0" ref="B5">
      <text>
        <t xml:space="preserve">133 DEMO devices, 164 S8 Patient Connect devices and 44 S9 devices</t>
      </text>
    </comment>
    <comment authorId="0" ref="C5">
      <text>
        <t xml:space="preserve">100 uncased S8 devices, 16 uncased S9 devices</t>
      </text>
    </comment>
    <comment authorId="0" ref="B6">
      <text>
        <t xml:space="preserve">133 DEMO devices, 164 S8 Patient Connect devices and 44 S9 devices</t>
      </text>
    </comment>
    <comment authorId="0" ref="C6">
      <text>
        <t xml:space="preserve">100 uncased S8 devices, 16 uncased S9 devices</t>
      </text>
    </comment>
    <comment authorId="0" ref="B7">
      <text>
        <t xml:space="preserve">134 DEMO devices, 157 S8 Patient Connect devices and 44 S9 devices</t>
      </text>
    </comment>
    <comment authorId="0" ref="C7">
      <text>
        <t xml:space="preserve">96 uncased S8 devices, 16 uncased S9 devices</t>
      </text>
    </comment>
    <comment authorId="0" ref="B8">
      <text>
        <t xml:space="preserve">133 DEMO devices, 208 S8 Patient Connect devices and 44 S9 devices</t>
      </text>
    </comment>
    <comment authorId="0" ref="C8">
      <text>
        <t xml:space="preserve">90 uncased S8 devices, 16 uncased S9 devices</t>
      </text>
    </comment>
    <comment authorId="0" ref="B9">
      <text>
        <t xml:space="preserve">133 DEMO devices, 208 S8 Patient Connect devices and 44 S9 devices</t>
      </text>
    </comment>
    <comment authorId="0" ref="C9">
      <text>
        <t xml:space="preserve">90 uncased S8 devices, 16 uncased S9 devices</t>
      </text>
    </comment>
    <comment authorId="0" ref="B10">
      <text>
        <t xml:space="preserve">133 DEMO devices, 208 S8 Patient Connect devices and 44 S9 devices</t>
      </text>
    </comment>
    <comment authorId="0" ref="C10">
      <text>
        <t xml:space="preserve">90 uncased S8 devices, 16 uncased S9 devices</t>
      </text>
    </comment>
    <comment authorId="0" ref="B11">
      <text>
        <t xml:space="preserve">133 DEMO devices, 205 S8 Patient Connect devices and 44 S9 devices</t>
      </text>
    </comment>
    <comment authorId="0" ref="C11">
      <text>
        <t xml:space="preserve">89 uncased S8 devices, 16 uncased S9 devices</t>
      </text>
    </comment>
    <comment authorId="0" ref="B12">
      <text>
        <t xml:space="preserve">133 DEMO devices, 205 S8 Patient Connect devices and 47 S9 devices</t>
      </text>
    </comment>
    <comment authorId="0" ref="C12">
      <text>
        <t xml:space="preserve">89 uncased S8 devices, 16 uncased S9 devices</t>
      </text>
    </comment>
    <comment authorId="0" ref="B13">
      <text>
        <t xml:space="preserve">133 DEMO devices, 207 S8 Patient Connect devices and 52 S9 devices</t>
      </text>
    </comment>
    <comment authorId="0" ref="C13">
      <text>
        <t xml:space="preserve">89 uncased S8 devices, 16 uncased S9 devices</t>
      </text>
    </comment>
    <comment authorId="0" ref="B14">
      <text>
        <t xml:space="preserve">133 DEMO devices, 207 S8 Patient Connect devices and 52 S9 devices</t>
      </text>
    </comment>
    <comment authorId="0" ref="C14">
      <text>
        <t xml:space="preserve">78 uncased S8 devices, 16 uncased S9 devices</t>
      </text>
    </comment>
    <comment authorId="0" ref="B15">
      <text>
        <t xml:space="preserve">133 DEMO devices, 208 S8 Patient Connect devices and 52 S9 devices</t>
      </text>
    </comment>
    <comment authorId="0" ref="C15">
      <text>
        <t xml:space="preserve">78 uncased S8 devices, 16 uncased S9 devices</t>
      </text>
    </comment>
    <comment authorId="0" ref="B16">
      <text>
        <t xml:space="preserve">134 DEMO devices, 209 S8 Patient Connect devices and 52 S9 devices</t>
      </text>
    </comment>
    <comment authorId="0" ref="C16">
      <text>
        <t xml:space="preserve">78 uncased S8 devices, 16 uncased S9 devices</t>
      </text>
    </comment>
    <comment authorId="0" ref="B17">
      <text>
        <t xml:space="preserve">134 DEMO devices, 205 S8 Patient Connect devices and 52 S9 devices</t>
      </text>
    </comment>
    <comment authorId="0" ref="C17">
      <text>
        <t xml:space="preserve">71 uncased S8 devices, 16 uncased S9 devices</t>
      </text>
    </comment>
    <comment authorId="0" ref="B18">
      <text>
        <t xml:space="preserve">134 DEMO devices, 224 S8 Patient Connect devices and 54 S9 devices</t>
      </text>
    </comment>
    <comment authorId="0" ref="C18">
      <text>
        <t xml:space="preserve">43 uncased S8 devices, 16 uncased S9 devices</t>
      </text>
    </comment>
    <comment authorId="0" ref="B19">
      <text>
        <t xml:space="preserve">134 DEMO devices, 224 S8 Patient Connect devices and 54 S9 devices</t>
      </text>
    </comment>
    <comment authorId="0" ref="C19">
      <text>
        <t xml:space="preserve">43 uncased S8 devices, 16 uncased S9 devices</t>
      </text>
    </comment>
    <comment authorId="0" ref="B20">
      <text>
        <t xml:space="preserve">134 DEMO devices, 217 S8 Patient Connect devices and 54 S9 devices</t>
      </text>
    </comment>
    <comment authorId="0" ref="C20">
      <text>
        <t xml:space="preserve">26 uncased S8 devices, 16 uncased S9 devices</t>
      </text>
    </comment>
    <comment authorId="0" ref="B21">
      <text>
        <t xml:space="preserve">134 DEMO devices, 217 S8 Patient Connect devices and 57 S9 devices</t>
      </text>
    </comment>
    <comment authorId="0" ref="C21">
      <text>
        <t xml:space="preserve">26 uncased S8 devices, 16 uncased S9 devices</t>
      </text>
    </comment>
    <comment authorId="0" ref="B22">
      <text>
        <t xml:space="preserve">134 DEMO devices, 217 S8 Patient Connect devices and 57 S9 devices</t>
      </text>
    </comment>
    <comment authorId="0" ref="C22">
      <text>
        <t xml:space="preserve">26 uncased S8 devices, 16 uncased S9 devices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134 DEMO devices, 217 S8 Patient Connect devices and 57 S9 devices</t>
      </text>
    </comment>
    <comment authorId="0" ref="C3">
      <text>
        <t xml:space="preserve">26 uncased S8 devices, 17 uncased S9 devices</t>
      </text>
    </comment>
    <comment authorId="0" ref="B4">
      <text>
        <t xml:space="preserve">134 DEMO devices, 217 S8 Patient Connect devices and 57 S9 devices</t>
      </text>
    </comment>
    <comment authorId="0" ref="C4">
      <text>
        <t xml:space="preserve">26 uncased S8 devices, 17 uncased S9 devices</t>
      </text>
    </comment>
    <comment authorId="0" ref="B5">
      <text>
        <t xml:space="preserve">134 DEMO devices, 215 S8 Patient Connect devices and 57 S9 devices</t>
      </text>
    </comment>
    <comment authorId="0" ref="C5">
      <text>
        <t xml:space="preserve">7 uncased S8 devices, 17 uncased S9 devices</t>
      </text>
    </comment>
    <comment authorId="0" ref="B6">
      <text>
        <t xml:space="preserve">140 DEMO devices, 221 S8 Patient Connect devices and 74 S9 devices</t>
      </text>
    </comment>
    <comment authorId="0" ref="C6">
      <text>
        <t xml:space="preserve">0 uncased S8 devices, 17 uncased S9 devices</t>
      </text>
    </comment>
    <comment authorId="0" ref="B7">
      <text>
        <t xml:space="preserve">140 DEMO devices, 210 S8 Patient Connect devices and 74 S9 devices</t>
      </text>
    </comment>
    <comment authorId="0" ref="C7">
      <text>
        <t xml:space="preserve">-6 uncased S8 devices, 17 uncased S9 devices; the initial check was in the beginning of May. Due to devices not fulfilling the quality control check, we expect less devices will remain.</t>
      </text>
    </comment>
    <comment authorId="0" ref="B8">
      <text>
        <t xml:space="preserve">140 DEMO devices, 210 S8 Patient Connect devices and 74 S9 devices</t>
      </text>
    </comment>
    <comment authorId="0" ref="C8">
      <text>
        <t xml:space="preserve">-6 uncased S8 devices, 17 uncased S9 devices; the initial check was in the beginning of May. Due to devices not fulfilling the quality control check, we expect less devices will remain.</t>
      </text>
    </comment>
    <comment authorId="0" ref="B9">
      <text>
        <t xml:space="preserve">140 DEMO devices, 210 S8 Patient Connect devices and 74 S9 devices</t>
      </text>
    </comment>
    <comment authorId="0" ref="C9">
      <text>
        <t xml:space="preserve">-6 uncased S8 devices, 17 uncased S9 devices; the initial check was in the beginning of May. Due to devices not fulfilling the quality control check, we expect less devices will remain.</t>
      </text>
    </comment>
    <comment authorId="0" ref="B10">
      <text>
        <t xml:space="preserve">141 DEMO devices, 205 S8 Patient Connect devices and 75 S9 devices</t>
      </text>
    </comment>
    <comment authorId="0" ref="C10">
      <text>
        <t xml:space="preserve">-6 uncased S8 devices, 16 uncased S9 devices; the initial check was in the beginning of May. Due to devices not fulfilling the quality control check, we expect less devices will remain.</t>
      </text>
    </comment>
    <comment authorId="0" ref="B11">
      <text>
        <t xml:space="preserve">141 DEMO devices, 205 S8 Patient Connect devices and 75 S9 devices</t>
      </text>
    </comment>
    <comment authorId="0" ref="C11">
      <text>
        <t xml:space="preserve">-7 uncased S8 devices, 16 uncased S9 devices; the initial check was in the beginning of May. Due to devices not fulfilling the quality control check, we expect less devices will remain.</t>
      </text>
    </comment>
    <comment authorId="0" ref="B12">
      <text>
        <t xml:space="preserve">141 DEMO devices, 196 S8 Patient Connect devices and 75 S9 devices</t>
      </text>
    </comment>
    <comment authorId="0" ref="C12">
      <text>
        <t xml:space="preserve">-13 uncased S8 devices, 16 uncased S9 devices; the initial check was in the beginning of May. Due to devices not fulfilling the quality control check, we expect less devices will remain.</t>
      </text>
    </comment>
    <comment authorId="0" ref="B13">
      <text>
        <t xml:space="preserve">142 DEMO devices, 190 S8 Patient Connect devices and 76 S9 devices</t>
      </text>
    </comment>
    <comment authorId="0" ref="C13">
      <text>
        <t xml:space="preserve">-18 uncased S8 devices, 16 uncased S9 devices; the initial check was in the beginning of May. Due to devices not fulfilling the quality control check, we expect less devices will remain.</t>
      </text>
    </comment>
    <comment authorId="0" ref="B14">
      <text>
        <t xml:space="preserve">142 DEMO devices, 184 S8 Patient Connect devices and 76 S9 devices</t>
      </text>
    </comment>
    <comment authorId="0" ref="C14">
      <text>
        <t xml:space="preserve">-18 uncased S8 devices, 16 uncased S9 devices; the initial check was in the beginning of May. Due to devices not fulfilling the quality control check, we expect less devices will remain.</t>
      </text>
    </comment>
    <comment authorId="0" ref="B15">
      <text>
        <t xml:space="preserve">142 DEMO devices, 179 S8 Patient Connect devices and 76 S9 devices</t>
      </text>
    </comment>
    <comment authorId="0" ref="C15">
      <text>
        <t xml:space="preserve">-26 uncased S8 devices, 16 uncased S9 devices; the initial check was in the beginning of May. Due to devices not fulfilling the quality control check, we expect less devices will remain.</t>
      </text>
    </comment>
    <comment authorId="0" ref="B16">
      <text>
        <t xml:space="preserve">142 DEMO devices, 176 S8 Patient Connect devices and 76 S9 devices</t>
      </text>
    </comment>
    <comment authorId="0" ref="C16">
      <text>
        <t xml:space="preserve">-28 uncased S8 devices, 14 uncased S9 devices; the initial check was in the beginning of May. Due to devices not fulfilling the quality control check, we expect less devices will remain.</t>
      </text>
    </comment>
    <comment authorId="0" ref="B17">
      <text>
        <t xml:space="preserve">142 DEMO devices, 171 S8 Patient Connect devices and 77 S9 devices</t>
      </text>
    </comment>
    <comment authorId="0" ref="C17">
      <text>
        <t xml:space="preserve">-33 uncased S8 devices, 13 uncased S9 devices; the initial check was in the beginning of May. Due to devices not fulfilling the quality control check, we expect less devices will remain.</t>
      </text>
    </comment>
    <comment authorId="0" ref="B18">
      <text>
        <t xml:space="preserve">143 DEMO devices, 170 S8 Patient Connect devices and 78 S9 devices</t>
      </text>
    </comment>
    <comment authorId="0" ref="C18">
      <text>
        <t xml:space="preserve">-35 uncased S8 devices, 13 uncased S9 devices; the initial check was in the beginning of May. Due to devices not fulfilling the quality control check, we expect less devices will remain.</t>
      </text>
    </comment>
    <comment authorId="0" ref="B19">
      <text>
        <t xml:space="preserve">143 DEMO devices, 158 S8 Patient Connect devices and 78 S9 devices</t>
      </text>
    </comment>
    <comment authorId="0" ref="C19">
      <text>
        <t xml:space="preserve">-35 uncased S8 devices, 13 uncased S9 devices; the initial check was in the beginning of May. Due to devices not fulfilling the quality control check, we expect less devices will remain.</t>
      </text>
    </comment>
    <comment authorId="0" ref="B20">
      <text>
        <t xml:space="preserve">143 DEMO devices, 150 S8 Patient Connect devices and 78 S9 devices</t>
      </text>
    </comment>
    <comment authorId="0" ref="C20">
      <text>
        <t xml:space="preserve">-43 uncased S8 devices, 12 uncased S9 devices; the initial check was in the beginning of May. Due to devices not fulfilling the quality control check, we expect less devices will remain.</t>
      </text>
    </comment>
    <comment authorId="0" ref="B21">
      <text>
        <t xml:space="preserve">143 DEMO devices, 148 S8 Patient Connect devices and 78 S9 devices</t>
      </text>
    </comment>
    <comment authorId="0" ref="C21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22">
      <text>
        <t xml:space="preserve">143 DEMO devices, 148 S8 Patient Connect devices and 78 S9 devices</t>
      </text>
    </comment>
    <comment authorId="0" ref="C22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23">
      <text>
        <t xml:space="preserve">143 DEMO devices, 148 S8 Patient Connect devices and 78 S9 devices</t>
      </text>
    </comment>
    <comment authorId="0" ref="C23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24">
      <text>
        <t xml:space="preserve">143 DEMO devices, 147 S8 Patient Connect devices and 79 S9 devices</t>
      </text>
    </comment>
    <comment authorId="0" ref="C24">
      <text>
        <t xml:space="preserve">-46 uncased S8 devices, 12 uncased S9 devices; the initial check was in the beginning of May. Due to devices not fulfilling the quality control check, we expect less devices will remain.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143 DEMO devices, 147 S8 Patient Connect devices and 79 S9 devices</t>
      </text>
    </comment>
    <comment authorId="0" ref="C3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4">
      <text>
        <t xml:space="preserve">143 DEMO devices, 146 S8 Patient Connect devices and 79 S9 devices</t>
      </text>
    </comment>
    <comment authorId="0" ref="C4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5">
      <text>
        <t xml:space="preserve">143 DEMO devices, 143 S8 Patient Connect devices and 79 S9 devices</t>
      </text>
    </comment>
    <comment authorId="0" ref="C5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6">
      <text>
        <t xml:space="preserve">141 DEMO devices, 143 S8 Patient Connect devices and 79 S9 devices</t>
      </text>
    </comment>
    <comment authorId="0" ref="C6">
      <text>
        <t xml:space="preserve">-47 uncased S8 devices, 12 uncased S9 devices; the initial check was in the beginning of May. Due to devices not fulfilling the quality control check, we expect less devices will remain.</t>
      </text>
    </comment>
    <comment authorId="0" ref="B7">
      <text>
        <t xml:space="preserve">141 DEMO devices, 143 S8 Patient Connect devices and 79 S9 devices</t>
      </text>
    </comment>
    <comment authorId="0" ref="C7">
      <text>
        <t xml:space="preserve">-47 uncased S8 devices, 12 uncased S9 devices; the initial check was in the beginning of May. Due to devices not fulfilling the quality control check, we expect less devices will remain.</t>
      </text>
    </comment>
    <comment authorId="0" ref="B8">
      <text>
        <t xml:space="preserve">141 DEMO devices, 143 S8 Patient Connect devices and 79 S9 devices</t>
      </text>
    </comment>
    <comment authorId="0" ref="C8">
      <text>
        <t xml:space="preserve">-47 uncased S8 devices, 12 uncased S9 devices; the initial check was in the beginning of May. Due to devices not fulfilling the quality control check, we expect less devices will remain.</t>
      </text>
    </comment>
    <comment authorId="0" ref="B9">
      <text>
        <t xml:space="preserve">141 DEMO devices, 139 S8 Patient Connect devices and 80 S9 devices</t>
      </text>
    </comment>
    <comment authorId="0" ref="C9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10">
      <text>
        <t xml:space="preserve">141 DEMO devices, 139 S8 Patient Connect devices and 80 S9 devices</t>
      </text>
    </comment>
    <comment authorId="0" ref="C10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11">
      <text>
        <t xml:space="preserve">141 DEMO devices, 134 S8 Patient Connect devices and 80 S9 devices</t>
      </text>
    </comment>
    <comment authorId="0" ref="C11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12">
      <text>
        <t xml:space="preserve">141 DEMO devices, 134 S8 Patient Connect devices and 80 S9 devices</t>
      </text>
    </comment>
    <comment authorId="0" ref="C12">
      <text>
        <t xml:space="preserve">-45 uncased S8 devices, 12 uncased S9 devices; the initial check was in the beginning of May. Due to devices not fulfilling the quality control check, we expect less devices will remain.</t>
      </text>
    </comment>
    <comment authorId="0" ref="B13">
      <text>
        <t xml:space="preserve">141 DEMO devices, 133 S8 Patient Connect devices and 80 S9 devices</t>
      </text>
    </comment>
    <comment authorId="0" ref="C13">
      <text>
        <t xml:space="preserve">-51 uncased S8 devices, 12 uncased S9 devices; the initial check was in the beginning of May. Due to devices not fulfilling the quality control check, we expect less devices will remain.</t>
      </text>
    </comment>
    <comment authorId="0" ref="B14">
      <text>
        <t xml:space="preserve">141 DEMO devices, 135 S8 Patient Connect devices and 82 S9 devices</t>
      </text>
    </comment>
    <comment authorId="0" ref="C14">
      <text>
        <t xml:space="preserve">-53 uncased S8 devices, 12 uncased S9 devices; the initial check was in the beginning of May. Due to devices not fulfilling the quality control check, we expect less devices will remain.</t>
      </text>
    </comment>
    <comment authorId="0" ref="B15">
      <text>
        <t xml:space="preserve">141 DEMO devices, 130 S8 Patient Connect devices and 82 S9 devices</t>
      </text>
    </comment>
    <comment authorId="0" ref="C15">
      <text>
        <t xml:space="preserve">-53 uncased S8 devices, 12 uncased S9 devices; the initial check was in the beginning of May. Due to devices not fulfilling the quality control check, we expect less devices will remain.</t>
      </text>
    </comment>
    <comment authorId="0" ref="B16">
      <text>
        <t xml:space="preserve">141 DEMO devices, 130 S8 Patient Connect devices and 82 S9 devices</t>
      </text>
    </comment>
    <comment authorId="0" ref="C16">
      <text>
        <t xml:space="preserve">-53 uncased S8 devices, 12 uncased S9 devices; the initial check was in the beginning of May. Due to devices not fulfilling the quality control check, we expect less devices will remain.</t>
      </text>
    </comment>
    <comment authorId="0" ref="B17">
      <text>
        <t xml:space="preserve">141 DEMO devices, 120 S8 Patient Connect devices and 82 S9 devices</t>
      </text>
    </comment>
    <comment authorId="0" ref="C17">
      <text>
        <t xml:space="preserve">-58 uncased S8 devices, 12 uncased S9 devices; the initial check was in the beginning of May. Due to devices not fulfilling the quality control check, we expect less devices will remain.</t>
      </text>
    </comment>
    <comment authorId="0" ref="B18">
      <text>
        <t xml:space="preserve">141 DEMO devices, 116 S8 Patient Connect devices and 82 S9 devices</t>
      </text>
    </comment>
    <comment authorId="0" ref="C18">
      <text>
        <t xml:space="preserve">-63 uncased S8 devices, 12 uncased S9 devices; the initial check was in the beginning of May. Due to devices not fulfilling the quality control check, we expect less devices will remain.</t>
      </text>
    </comment>
    <comment authorId="0" ref="B19">
      <text>
        <t xml:space="preserve">141 DEMO devices, 111 S8 Patient Connect devices and 82 S9 devices</t>
      </text>
    </comment>
    <comment authorId="0" ref="C19">
      <text>
        <t xml:space="preserve">-66 uncased S8 devices, 12 uncased S9 devices; the initial check was in the beginning of May. Due to devices not fulfilling the quality control check, we expect less devices will remain.</t>
      </text>
    </comment>
    <comment authorId="0" ref="B20">
      <text>
        <t xml:space="preserve">141 DEMO devices, 111 S8 Patient Connect devices and 82 S9 devices</t>
      </text>
    </comment>
    <comment authorId="0" ref="C20">
      <text>
        <t xml:space="preserve">-66 uncased S8 devices, 12 uncased S9 devices; the initial check was in the beginning of May. Due to devices not fulfilling the quality control check, we expect less devices will remain.</t>
      </text>
    </comment>
    <comment authorId="0" ref="B21">
      <text>
        <t xml:space="preserve">141 DEMO devices, 108 S8 Patient Connect devices and 82 S9 devices</t>
      </text>
    </comment>
    <comment authorId="0" ref="C21">
      <text>
        <t xml:space="preserve">-68 uncased S8 devices, 12 uncased S9 devices; the initial check was in the beginning of May. Due to devices not fulfilling the quality control check, we expect less devices will remain.</t>
      </text>
    </comment>
    <comment authorId="0" ref="B22">
      <text>
        <t xml:space="preserve">141 DEMO devices, 101 S8 Patient Connect devices and 82 S9 devices</t>
      </text>
    </comment>
    <comment authorId="0" ref="C22">
      <text>
        <t xml:space="preserve">-69 uncased S8 devices, 12 uncased S9 devices; the initial check was in the beginning of May. Due to devices not fulfilling the quality control check, we expect less devices will remain.</t>
      </text>
    </comment>
    <comment authorId="0" ref="B23">
      <text>
        <t xml:space="preserve">141 DEMO devices, 98 S8 Patient Connect devices and 82 S9 devices</t>
      </text>
    </comment>
    <comment authorId="0" ref="C23">
      <text>
        <t xml:space="preserve">-73 uncased S8 devices, 12 uncased S9 devices; the initial check was in the beginning of May. Due to devices not fulfilling the quality control check, we expect less devices will remain.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141 DEMO devices, 98 S8 Patient Connect devices and 84 S9 devices</t>
      </text>
    </comment>
    <comment authorId="0" ref="C3">
      <text>
        <t xml:space="preserve">-73 uncased S8 devices, 12 uncased S9 devices; the initial check was in the beginning of May. Due to devices not fulfilling the quality control check, we expect less devices will remain.</t>
      </text>
    </comment>
    <comment authorId="0" ref="B4">
      <text>
        <t xml:space="preserve">141 DEMO devices, 98 S8 Patient Connect devices and 84 S9 devices</t>
      </text>
    </comment>
    <comment authorId="0" ref="C4">
      <text>
        <t xml:space="preserve">-73 uncased S8 devices, 12 uncased S9 devices; the initial check was in the beginning of May. Due to devices not fulfilling the quality control check, we expect less devices will remain.</t>
      </text>
    </comment>
    <comment authorId="0" ref="B5">
      <text>
        <t xml:space="preserve">141 DEMO devices, 97 S8 Patient Connect devices and 84 S9 devices</t>
      </text>
    </comment>
    <comment authorId="0" ref="C5">
      <text>
        <t xml:space="preserve">-74 uncased S8 devices, 12 uncased S9 devices; the initial check was in the beginning of May. Due to devices not fulfilling the quality control check, we expect less devices will remain.</t>
      </text>
    </comment>
    <comment authorId="0" ref="B6">
      <text>
        <t xml:space="preserve">141 DEMO devices, 97 S8 Patient Connect devices and 84 S9 devices</t>
      </text>
    </comment>
    <comment authorId="0" ref="C6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7">
      <text>
        <t xml:space="preserve">141 DEMO devices, 95 S8 Patient Connect devices and 84 S9 devices</t>
      </text>
    </comment>
    <comment authorId="0" ref="C7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8">
      <text>
        <t xml:space="preserve">141 DEMO devices, 95 S8 Patient Connect devices and 84 S9 devices</t>
      </text>
    </comment>
    <comment authorId="0" ref="C8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9">
      <text>
        <t xml:space="preserve">140 DEMO devices, 94 S8 Patient Connect devices and 84 S9 devices</t>
      </text>
    </comment>
    <comment authorId="0" ref="C9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10">
      <text>
        <t xml:space="preserve">140 DEMO devices, 90 S8 Patient Connect devices and 85 S9 devices</t>
      </text>
    </comment>
    <comment authorId="0" ref="C10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11">
      <text>
        <t xml:space="preserve">140 DEMO devices, 90 S8 Patient Connect devices and 85 S9 devices</t>
      </text>
    </comment>
    <comment authorId="0" ref="C11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12">
      <text>
        <t xml:space="preserve">139 DEMO devices, 90 S8 Patient Connect devices and 85 S9 devices</t>
      </text>
    </comment>
    <comment authorId="0" ref="C12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13">
      <text>
        <t xml:space="preserve">139 DEMO devices, 90 S8 Patient Connect devices and 85 S9 devices</t>
      </text>
    </comment>
    <comment authorId="0" ref="C13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14">
      <text>
        <t xml:space="preserve">139 DEMO devices, 90 S8 Patient Connect devices and 85 S9 devices</t>
      </text>
    </comment>
    <comment authorId="0" ref="C14">
      <text>
        <t xml:space="preserve">-79 uncased S8 devices, 12 uncased S9 devices; the initial check was in the beginning of May. Due to devices not fulfilling the quality control check, we expect less devices will remain.</t>
      </text>
    </comment>
    <comment authorId="0" ref="B15">
      <text>
        <t xml:space="preserve">135 DEMO devices, 85 S8 Patient Connect devices and 85 S9 devices</t>
      </text>
    </comment>
    <comment authorId="0" ref="C15">
      <text>
        <t xml:space="preserve">-80 uncased S8 devices, 12 uncased S9 devices; the initial check was in the beginning of May. Due to devices not fulfilling the quality control check, we expect less devices will remain.</t>
      </text>
    </comment>
    <comment authorId="0" ref="B16">
      <text>
        <t xml:space="preserve">125 DEMO devices, 84 S8 Patient Connect devices and 85 S9 devices</t>
      </text>
    </comment>
    <comment authorId="0" ref="C16">
      <text>
        <t xml:space="preserve">-81 uncased S8 devices, 12 uncased S9 devices; the initial check was in the beginning of May. Due to devices not fulfilling the quality control check, we expect less devices will remain.</t>
      </text>
    </comment>
    <comment authorId="0" ref="B17">
      <text>
        <t xml:space="preserve">125 DEMO devices, 84 S8 Patient Connect devices and 85 S9 devices</t>
      </text>
    </comment>
    <comment authorId="0" ref="C17">
      <text>
        <t xml:space="preserve">-81 uncased S8 devices, 12 uncased S9 devices; the initial check was in the beginning of May. Due to devices not fulfilling the quality control check, we expect less devices will remain.</t>
      </text>
    </comment>
    <comment authorId="0" ref="B18">
      <text>
        <t xml:space="preserve">125 DEMO devices, 76 S8 Patient Connect devices and 85 S9 devices</t>
      </text>
    </comment>
    <comment authorId="0" ref="C18">
      <text>
        <t xml:space="preserve">-81 uncased S8 devices, 12 uncased S9 devices; the initial check was in the beginning of May. Due to devices not fulfilling the quality control check, we expect less devices will remain.</t>
      </text>
    </comment>
    <comment authorId="0" ref="B19">
      <text>
        <t xml:space="preserve">125 DEMO devices, 66 S8 Patient Connect devices and 85 S9 devices</t>
      </text>
    </comment>
    <comment authorId="0" ref="C19">
      <text>
        <t xml:space="preserve">-81 uncased S8 devices, 12 uncased S9 devices; the initial check was in the beginning of May. Due to devices not fulfilling the quality control check, we expect less devices will remain.</t>
      </text>
    </comment>
    <comment authorId="0" ref="B20">
      <text>
        <t xml:space="preserve">125 DEMO devices, 68 S8 Patient Connect devices and 85 S9 devices</t>
      </text>
    </comment>
    <comment authorId="0" ref="C20">
      <text>
        <t xml:space="preserve">-82 uncased S8 devices, 12 uncased S9 devices; the initial check was in the beginning of May. Due to devices not fulfilling the quality control check, we expect less devices will remain.</t>
      </text>
    </comment>
    <comment authorId="0" ref="B21">
      <text>
        <t xml:space="preserve">125 DEMO devices, 68 S8 Patient Connect devices and 85 S9 devices</t>
      </text>
    </comment>
    <comment authorId="0" ref="C21">
      <text>
        <t xml:space="preserve">-82 uncased S8 devices, 12 uncased S9 devices; the initial check was in the beginning of May. Due to devices not fulfilling the quality control check, we expect less devices will remain.</t>
      </text>
    </comment>
    <comment authorId="0" ref="B22">
      <text>
        <t xml:space="preserve">123 DEMO devices, 72 S8 Patient Connect devices and 85 S9 devices</t>
      </text>
    </comment>
    <comment authorId="0" ref="C22">
      <text>
        <t xml:space="preserve">-82 uncased S8 devices, 12 uncased S9 devices; the initial check was in the beginning of May. Due to devices not fulfilling the quality control check, we expect less devices will remain.</t>
      </text>
    </comment>
    <comment authorId="0" ref="B23">
      <text>
        <t xml:space="preserve">123 DEMO devices, 70 S8 Patient Connect devices and 85 S9 devices</t>
      </text>
    </comment>
    <comment authorId="0" ref="C23">
      <text>
        <t xml:space="preserve">-82 uncased S8 devices, 12 uncased S9 devices; the initial check was in the beginning of May. Due to devices not fulfilling the quality control check, we expect less devices will remain.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123 DEMO devices, 44 S8 Patient Connect devices and 85 S9 devices</t>
      </text>
    </comment>
    <comment authorId="0" ref="C3">
      <text>
        <t xml:space="preserve">-82 uncased S8 devices, 12 uncased S9 devices; the initial check was in the beginning of May. Due to devices not fulfilling the quality control check, we expect less devices will remain.</t>
      </text>
    </comment>
    <comment authorId="0" ref="B4">
      <text>
        <t xml:space="preserve">123 DEMO devices, 43 S8 Patient Connect devices and 85 S9 devices</t>
      </text>
    </comment>
    <comment authorId="0" ref="C4">
      <text>
        <t xml:space="preserve">-82 uncased S8 devices, 12 uncased S9 devices; the initial check was in the beginning of May. Due to devices not fulfilling the quality control check, we expect less devices will remain.</t>
      </text>
    </comment>
    <comment authorId="0" ref="B5">
      <text>
        <t xml:space="preserve">123 DEMO devices, 42 S8 Patient Connect devices and 85 S9 devices</t>
      </text>
    </comment>
    <comment authorId="0" ref="C5">
      <text>
        <t xml:space="preserve">-82 uncased S8 devices, 12 uncased S9 devices; the initial check was in the beginning of May. Due to devices not fulfilling the quality control check, we expect less devices will remain.</t>
      </text>
    </comment>
    <comment authorId="0" ref="B6">
      <text>
        <t xml:space="preserve">123 DEMO devices, 42 S8 Patient Connect devices and 85 S9 devices</t>
      </text>
    </comment>
    <comment authorId="0" ref="C6">
      <text>
        <t xml:space="preserve">-82 uncased S8 devices, 12 uncased S9 devices; the initial check was in the beginning of May. Due to devices not fulfilling the quality control check, we expect less devices will remain.</t>
      </text>
    </comment>
    <comment authorId="0" ref="B7">
      <text>
        <t xml:space="preserve">123 DEMO devices, 37 S8 Patient Connect devices and 85 S9 devices</t>
      </text>
    </comment>
    <comment authorId="0" ref="C7">
      <text>
        <t xml:space="preserve">-84 uncased S8 devices, 12 uncased S9 devices; the initial check was in the beginning of May. Due to devices not fulfilling the quality control check, we expect less devices will remain.</t>
      </text>
    </comment>
    <comment authorId="0" ref="B8">
      <text>
        <t xml:space="preserve">123 DEMO devices, 37 S8 Patient Connect devices and 85 S9 devices</t>
      </text>
    </comment>
    <comment authorId="0" ref="C8">
      <text>
        <t xml:space="preserve">-85 uncased S8 devices, 12 uncased S9 devices; the initial check was in the beginning of May. Due to devices not fulfilling the quality control check, we expect less devices will remain.</t>
      </text>
    </comment>
    <comment authorId="0" ref="B9">
      <text>
        <t xml:space="preserve">123 DEMO devices, 34 S8 Patient Connect devices and 85 S9 devices</t>
      </text>
    </comment>
    <comment authorId="0" ref="C9">
      <text>
        <t xml:space="preserve">-86 uncased S8 devices, 12 uncased S9 devices; the initial check was in the beginning of May. Due to devices not fulfilling the quality control check, we expect less devices will remain.</t>
      </text>
    </comment>
    <comment authorId="0" ref="B10">
      <text>
        <t xml:space="preserve">123 DEMO devices, 30 S8 Patient Connect devices and 85 S9 devices</t>
      </text>
    </comment>
    <comment authorId="0" ref="C10">
      <text>
        <t xml:space="preserve">-86 uncased S8 devices, 12 uncased S9 devices; the initial check was in the beginning of May. Due to devices not fulfilling the quality control check, we expect less devices will remain.</t>
      </text>
    </comment>
    <comment authorId="0" ref="B11">
      <text>
        <t xml:space="preserve">132 DEMO devices, 30 S8 Patient Connect devices and 85 S9 devices</t>
      </text>
    </comment>
    <comment authorId="0" ref="C11">
      <text>
        <t xml:space="preserve">-86 uncased S8 devices, 12 uncased S9 devices; the initial check was in the beginning of May. Due to devices not fulfilling the quality control check, we expect less devices will remain.</t>
      </text>
    </comment>
    <comment authorId="0" ref="B12">
      <text>
        <t xml:space="preserve">132 DEMO devices, 30 S8 Patient Connect devices and 85 S9 devices</t>
      </text>
    </comment>
    <comment authorId="0" ref="C12">
      <text>
        <t xml:space="preserve">-86 uncased S8 devices, 12 uncased S9 devices; the initial check was in the beginning of May. Due to devices not fulfilling the quality control check, we expect less devices will remain.</t>
      </text>
    </comment>
    <comment authorId="0" ref="B13">
      <text>
        <t xml:space="preserve">132 DEMO devices, 30 S8 Patient Connect devices and 85 S9 devices</t>
      </text>
    </comment>
    <comment authorId="0" ref="C13">
      <text>
        <t xml:space="preserve">-86 uncased S8 devices, 12 uncased S9 devices; the initial check was in the beginning of May. Due to devices not fulfilling the quality control check, we expect less devices will remain.</t>
      </text>
    </comment>
    <comment authorId="0" ref="B14">
      <text>
        <t xml:space="preserve">131 DEMO devices, 30 S8 Patient Connect devices and 85 S9 devices</t>
      </text>
    </comment>
    <comment authorId="0" ref="C14">
      <text>
        <t xml:space="preserve">-85 uncased S8 devices, 12 uncased S9 devices; the initial check was in the beginning of May. Due to devices not fulfilling the quality control check, we expect less devices will remain.</t>
      </text>
    </comment>
    <comment authorId="0" ref="B15">
      <text>
        <t xml:space="preserve">131 DEMO devices, 28 S8 Patient Connect devices and 85 S9 devices</t>
      </text>
    </comment>
    <comment authorId="0" ref="C15">
      <text>
        <t xml:space="preserve">-87 uncased S8 devices, 12 uncased S9 devices; the initial check was in the beginning of May. Due to devices not fulfilling the quality control check, we expect less devices will remain.</t>
      </text>
    </comment>
    <comment authorId="0" ref="B16">
      <text>
        <t xml:space="preserve">131 DEMO devices, 23 S8 Patient Connect devices and 85 S9 devices</t>
      </text>
    </comment>
    <comment authorId="0" ref="C16">
      <text>
        <t xml:space="preserve">-88 uncased S8 devices, 13 uncased S9 devices; the initial check was in the beginning of May. Due to devices not fulfilling the quality control check, we expect less devices will remain.</t>
      </text>
    </comment>
    <comment authorId="0" ref="B17">
      <text>
        <t xml:space="preserve">139 DEMO devices, 25 S8 Patient Connect devices and 88 S9 devices</t>
      </text>
    </comment>
    <comment authorId="0" ref="C17">
      <text>
        <t xml:space="preserve">-83 uncased S8 devices, 11 uncased S9 devices; the initial check was in the beginning of May. Due to devices not fulfilling the quality control check, we expect less devices will remain.</t>
      </text>
    </comment>
    <comment authorId="0" ref="B18">
      <text>
        <t xml:space="preserve">139 DEMO devices, 27 S8 Patient Connect devices and 91 S9 devices</t>
      </text>
    </comment>
    <comment authorId="0" ref="C18">
      <text>
        <t xml:space="preserve">-84 uncased S8 devices, 11 uncased S9 devices; the initial check was in the beginning of May. Due to devices not fulfilling the quality control check, we expect less devices will remain.</t>
      </text>
    </comment>
    <comment authorId="0" ref="B19">
      <text>
        <t xml:space="preserve">139 DEMO devices, 28 S8 Patient Connect devices and 91 S9 devices</t>
      </text>
    </comment>
    <comment authorId="0" ref="C19">
      <text>
        <t xml:space="preserve">-84 uncased S8 devices, 11 uncased S9 devices; the initial check was in the beginning of May. Due to devices not fulfilling the quality control check, we expect less devices will remain.</t>
      </text>
    </comment>
    <comment authorId="0" ref="B20">
      <text>
        <t xml:space="preserve">139 DEMO devices, 27 S8 Patient Connect devices and 92 S9 devices</t>
      </text>
    </comment>
    <comment authorId="0" ref="C20">
      <text>
        <t xml:space="preserve">-84 uncased S8 devices, 11 uncased S9 devices; the initial check was in the beginning of May. Due to devices not fulfilling the quality control check, we expect less devices will remain.</t>
      </text>
    </comment>
  </commentList>
</comments>
</file>

<file path=xl/sharedStrings.xml><?xml version="1.0" encoding="utf-8"?>
<sst xmlns="http://schemas.openxmlformats.org/spreadsheetml/2006/main" count="173" uniqueCount="24">
  <si>
    <t>Primary Supply - Supply of Focus</t>
  </si>
  <si>
    <t>Secondary Supply - Supporting Supply</t>
  </si>
  <si>
    <t>Business Days</t>
  </si>
  <si>
    <t>Provisioned Devices w/Cases**</t>
  </si>
  <si>
    <t>Provisioned Devices w/o Cases**</t>
  </si>
  <si>
    <t>Total Count of Provisioned Devices**</t>
  </si>
  <si>
    <t>Change</t>
  </si>
  <si>
    <t>New Devices Not Provisioned**</t>
  </si>
  <si>
    <t>Total Count of Devices**</t>
  </si>
  <si>
    <t>Boxed Device Stands</t>
  </si>
  <si>
    <t>Laptop Bags</t>
  </si>
  <si>
    <t>Pouches</t>
  </si>
  <si>
    <t>Cases</t>
  </si>
  <si>
    <t>New Year's Day</t>
  </si>
  <si>
    <t>Martin Luther King Jr. Day</t>
  </si>
  <si>
    <t>Presidents' Day</t>
  </si>
  <si>
    <t>Memorial Day</t>
  </si>
  <si>
    <t>Juneteenth</t>
  </si>
  <si>
    <t>Independence Day</t>
  </si>
  <si>
    <t>Labor Day</t>
  </si>
  <si>
    <t>Indigenous People's Day</t>
  </si>
  <si>
    <t>Thanksgiving</t>
  </si>
  <si>
    <t>Day after Thanksgiving</t>
  </si>
  <si>
    <t>Christmas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</si>
</sst>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[Blue]▲ +0; [Red]▼ -0; ±0"/>
  </numFmts>
  <fonts count="8">
    <font>
      <sz val="10.0"/>
      <color rgb="FF000000"/>
      <name val="Arial"/>
      <scheme val="minor"/>
    </font>
    <font>
      <sz val="12.0"/>
      <color theme="1"/>
      <name val="Roboto Condensed"/>
    </font>
    <font>
      <b/>
      <sz val="12.0"/>
      <color theme="1"/>
      <name val="Roboto Condensed"/>
    </font>
    <font/>
    <font>
      <b/>
      <sz val="11.0"/>
      <color theme="1"/>
      <name val="Roboto Condensed"/>
    </font>
    <font>
      <color rgb="FFFFFFFF"/>
      <name val="Arial"/>
      <scheme val="minor"/>
    </font>
    <font>
      <color theme="1"/>
      <name val="Arial"/>
      <scheme val="minor"/>
    </font>
    <font>
      <sz val="12.0"/>
      <color rgb="FFFFFFFF"/>
      <name val="Roboto Condensed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43FF00"/>
        <bgColor rgb="FF43FF00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vertical="center"/>
    </xf>
    <xf borderId="1" fillId="3" fontId="2" numFmtId="164" xfId="0" applyAlignment="1" applyBorder="1" applyFill="1" applyFont="1" applyNumberFormat="1">
      <alignment horizontal="center" shrinkToFit="0" vertical="center" wrapText="1"/>
    </xf>
    <xf borderId="1" fillId="4" fontId="2" numFmtId="1" xfId="0" applyAlignment="1" applyBorder="1" applyFill="1" applyFont="1" applyNumberFormat="1">
      <alignment horizontal="center" shrinkToFit="0" vertical="center" wrapText="1"/>
    </xf>
    <xf borderId="1" fillId="4" fontId="2" numFmtId="165" xfId="0" applyAlignment="1" applyBorder="1" applyFont="1" applyNumberFormat="1">
      <alignment horizontal="center" shrinkToFit="0" vertical="center" wrapText="1"/>
    </xf>
    <xf borderId="1" fillId="4" fontId="2" numFmtId="165" xfId="0" applyAlignment="1" applyBorder="1" applyFont="1" applyNumberFormat="1">
      <alignment horizontal="center" shrinkToFit="0" vertical="center" wrapText="1"/>
    </xf>
    <xf borderId="1" fillId="4" fontId="4" numFmtId="1" xfId="0" applyAlignment="1" applyBorder="1" applyFont="1" applyNumberFormat="1">
      <alignment horizontal="center" shrinkToFit="0" vertical="center" wrapText="1"/>
    </xf>
    <xf borderId="1" fillId="5" fontId="2" numFmtId="1" xfId="0" applyAlignment="1" applyBorder="1" applyFill="1" applyFont="1" applyNumberFormat="1">
      <alignment horizontal="center" shrinkToFit="0" vertical="center" wrapText="1"/>
    </xf>
    <xf borderId="1" fillId="5" fontId="2" numFmtId="165" xfId="0" applyAlignment="1" applyBorder="1" applyFont="1" applyNumberFormat="1">
      <alignment horizontal="center" shrinkToFit="0" vertical="center" wrapText="1"/>
    </xf>
    <xf borderId="1" fillId="6" fontId="2" numFmtId="1" xfId="0" applyAlignment="1" applyBorder="1" applyFill="1" applyFont="1" applyNumberFormat="1">
      <alignment horizontal="center" shrinkToFit="0" vertical="center" wrapText="1"/>
    </xf>
    <xf borderId="1" fillId="6" fontId="2" numFmtId="165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right" readingOrder="0" vertical="center"/>
    </xf>
    <xf borderId="1" fillId="7" fontId="5" numFmtId="1" xfId="0" applyAlignment="1" applyBorder="1" applyFill="1" applyFont="1" applyNumberFormat="1">
      <alignment horizontal="center"/>
    </xf>
    <xf borderId="1" fillId="0" fontId="1" numFmtId="1" xfId="0" applyAlignment="1" applyBorder="1" applyFont="1" applyNumberForma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right" vertical="center"/>
    </xf>
    <xf borderId="1" fillId="0" fontId="1" numFmtId="1" xfId="0" applyAlignment="1" applyBorder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1" fillId="7" fontId="7" numFmtId="1" xfId="0" applyAlignment="1" applyBorder="1" applyFont="1" applyNumberFormat="1">
      <alignment horizontal="center"/>
    </xf>
    <xf borderId="1" fillId="3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7" fontId="7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1" xfId="0" applyAlignment="1" applyBorder="1" applyFont="1" applyNumberFormat="1">
      <alignment horizontal="center" vertical="center"/>
    </xf>
    <xf borderId="1" fillId="0" fontId="1" numFmtId="1" xfId="0" applyAlignment="1" applyBorder="1" applyFont="1" applyNumberFormat="1">
      <alignment horizontal="center" readingOrder="0" vertical="center"/>
    </xf>
    <xf borderId="1" fillId="7" fontId="7" numFmtId="0" xfId="0" applyAlignment="1" applyBorder="1" applyFont="1">
      <alignment horizontal="center" readingOrder="0"/>
    </xf>
    <xf borderId="0" fillId="0" fontId="6" numFmtId="0" xfId="0" applyFont="1"/>
    <xf borderId="0" fillId="0" fontId="6" numFmtId="164" xfId="0" applyFont="1" applyNumberFormat="1"/>
    <xf borderId="0" fillId="0" fontId="6" numFmtId="1" xfId="0" applyFont="1" applyNumberFormat="1"/>
    <xf borderId="0" fillId="0" fontId="6" numFmtId="165" xfId="0" applyFont="1" applyNumberFormat="1"/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10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45659.0</v>
      </c>
      <c r="B3" s="16">
        <f>'December 2024'!B19+22+5+4</f>
        <v>514</v>
      </c>
      <c r="C3" s="16">
        <f>'December 2024'!C19-2-1-2</f>
        <v>425</v>
      </c>
      <c r="D3" s="17">
        <f t="shared" ref="D3:D23" si="1">SUM(B3:C3)</f>
        <v>939</v>
      </c>
      <c r="E3" s="18">
        <f>D3-'December 2024'!D19</f>
        <v>26</v>
      </c>
      <c r="F3" s="17">
        <f>'December 2024'!F19</f>
        <v>137</v>
      </c>
      <c r="G3" s="17">
        <f t="shared" ref="G3:G23" si="2">SUM(D3,F3)</f>
        <v>1076</v>
      </c>
      <c r="H3" s="19">
        <f>G3-'December 2024'!H19</f>
        <v>26</v>
      </c>
      <c r="I3" s="17">
        <f>'December 2024'!J19</f>
        <v>156</v>
      </c>
      <c r="J3" s="19">
        <f>I3-'December 2024'!J19</f>
        <v>0</v>
      </c>
      <c r="K3" s="17">
        <f>'December 2024'!Q19+2+1</f>
        <v>134</v>
      </c>
      <c r="L3" s="19">
        <f>K3-'December 2024'!Q19</f>
        <v>3</v>
      </c>
      <c r="M3" s="17">
        <f>'December 2024'!S19+6+23+27</f>
        <v>579</v>
      </c>
      <c r="N3" s="19">
        <f>M3-'December 2024'!S19</f>
        <v>56</v>
      </c>
      <c r="O3" s="17">
        <f>'December 2024'!U19-2</f>
        <v>29</v>
      </c>
      <c r="P3" s="19">
        <f>O3-'December 2024'!U19</f>
        <v>-2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WORKDAY($A$3,row(A1),Holidays!$B$2:$B1000)</f>
        <v>45660</v>
      </c>
      <c r="B4" s="16">
        <f t="shared" ref="B4:B6" si="3">B3</f>
        <v>514</v>
      </c>
      <c r="C4" s="16">
        <f>C3-7</f>
        <v>418</v>
      </c>
      <c r="D4" s="17">
        <f t="shared" si="1"/>
        <v>932</v>
      </c>
      <c r="E4" s="18">
        <f t="array" ref="E4:E23">D4:D23-D3:D22</f>
        <v>-7</v>
      </c>
      <c r="F4" s="17">
        <f>F3-3</f>
        <v>134</v>
      </c>
      <c r="G4" s="17">
        <f t="shared" si="2"/>
        <v>1066</v>
      </c>
      <c r="H4" s="18">
        <f t="array" ref="H4:H23">G4:G23-G3:G22</f>
        <v>-10</v>
      </c>
      <c r="I4" s="17">
        <f t="shared" ref="I4:I7" si="4">I3</f>
        <v>156</v>
      </c>
      <c r="J4" s="18">
        <f t="array" ref="J4:J23">I4:I23-I3:I22</f>
        <v>0</v>
      </c>
      <c r="K4" s="17">
        <f t="shared" ref="K4:K6" si="5">K3</f>
        <v>134</v>
      </c>
      <c r="L4" s="18">
        <f t="array" ref="L4:L23">K4:K23-K3:K22</f>
        <v>0</v>
      </c>
      <c r="M4" s="17">
        <f t="shared" ref="M4:M6" si="6">M3</f>
        <v>579</v>
      </c>
      <c r="N4" s="18">
        <f t="array" ref="N4:N23">M4:M23-M3:M22</f>
        <v>0</v>
      </c>
      <c r="O4" s="17">
        <f>O3+3</f>
        <v>32</v>
      </c>
      <c r="P4" s="18">
        <f t="array" ref="P4:P23">O4:O23-O3:O22</f>
        <v>3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WORKDAY($A$3,row(A2),Holidays!$B$2:$B1000)</f>
        <v>45663</v>
      </c>
      <c r="B5" s="16">
        <f t="shared" si="3"/>
        <v>514</v>
      </c>
      <c r="C5" s="16">
        <f t="shared" ref="C5:C7" si="7">C4</f>
        <v>418</v>
      </c>
      <c r="D5" s="17">
        <f t="shared" si="1"/>
        <v>932</v>
      </c>
      <c r="E5" s="18">
        <v>0.0</v>
      </c>
      <c r="F5" s="17">
        <f t="shared" ref="F5:F8" si="8">F4</f>
        <v>134</v>
      </c>
      <c r="G5" s="17">
        <f t="shared" si="2"/>
        <v>1066</v>
      </c>
      <c r="H5" s="19">
        <v>0.0</v>
      </c>
      <c r="I5" s="17">
        <f t="shared" si="4"/>
        <v>156</v>
      </c>
      <c r="J5" s="19">
        <v>0.0</v>
      </c>
      <c r="K5" s="17">
        <f t="shared" si="5"/>
        <v>134</v>
      </c>
      <c r="L5" s="19">
        <v>0.0</v>
      </c>
      <c r="M5" s="17">
        <f t="shared" si="6"/>
        <v>579</v>
      </c>
      <c r="N5" s="19">
        <v>0.0</v>
      </c>
      <c r="O5" s="17">
        <f t="shared" ref="O5:O6" si="9">O4</f>
        <v>32</v>
      </c>
      <c r="P5" s="19">
        <v>0.0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WORKDAY($A$3,row(A3),Holidays!$B$2:$B1000)</f>
        <v>45664</v>
      </c>
      <c r="B6" s="16">
        <f t="shared" si="3"/>
        <v>514</v>
      </c>
      <c r="C6" s="16">
        <f t="shared" si="7"/>
        <v>418</v>
      </c>
      <c r="D6" s="17">
        <f t="shared" si="1"/>
        <v>932</v>
      </c>
      <c r="E6" s="18">
        <v>0.0</v>
      </c>
      <c r="F6" s="17">
        <f t="shared" si="8"/>
        <v>134</v>
      </c>
      <c r="G6" s="17">
        <f t="shared" si="2"/>
        <v>1066</v>
      </c>
      <c r="H6" s="19">
        <v>0.0</v>
      </c>
      <c r="I6" s="17">
        <f t="shared" si="4"/>
        <v>156</v>
      </c>
      <c r="J6" s="19">
        <v>0.0</v>
      </c>
      <c r="K6" s="17">
        <f t="shared" si="5"/>
        <v>134</v>
      </c>
      <c r="L6" s="19">
        <v>0.0</v>
      </c>
      <c r="M6" s="17">
        <f t="shared" si="6"/>
        <v>579</v>
      </c>
      <c r="N6" s="19">
        <v>0.0</v>
      </c>
      <c r="O6" s="17">
        <f t="shared" si="9"/>
        <v>32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WORKDAY($A$3,row(A4),Holidays!$B$2:$B1000)</f>
        <v>45665</v>
      </c>
      <c r="B7" s="16">
        <f>B6+3-3+2+2</f>
        <v>518</v>
      </c>
      <c r="C7" s="16">
        <f t="shared" si="7"/>
        <v>418</v>
      </c>
      <c r="D7" s="17">
        <f t="shared" si="1"/>
        <v>936</v>
      </c>
      <c r="E7" s="18">
        <v>4.0</v>
      </c>
      <c r="F7" s="17">
        <f t="shared" si="8"/>
        <v>134</v>
      </c>
      <c r="G7" s="17">
        <f t="shared" si="2"/>
        <v>1070</v>
      </c>
      <c r="H7" s="19">
        <v>4.0</v>
      </c>
      <c r="I7" s="17">
        <f t="shared" si="4"/>
        <v>156</v>
      </c>
      <c r="J7" s="19">
        <v>0.0</v>
      </c>
      <c r="K7" s="17">
        <f>K6+1-3-1</f>
        <v>131</v>
      </c>
      <c r="L7" s="19">
        <v>-3.0</v>
      </c>
      <c r="M7" s="17">
        <f>M6+1+3-3</f>
        <v>580</v>
      </c>
      <c r="N7" s="19">
        <v>1.0</v>
      </c>
      <c r="O7" s="17">
        <f>O6-2</f>
        <v>30</v>
      </c>
      <c r="P7" s="19">
        <v>-2.0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WORKDAY($A$3,row(A5),Holidays!$B$2:$B1000)</f>
        <v>45666</v>
      </c>
      <c r="B8" s="16">
        <f>B7-5-1++2+1</f>
        <v>515</v>
      </c>
      <c r="C8" s="16">
        <f>C7-1</f>
        <v>417</v>
      </c>
      <c r="D8" s="17">
        <f t="shared" si="1"/>
        <v>932</v>
      </c>
      <c r="E8" s="18">
        <v>-4.0</v>
      </c>
      <c r="F8" s="17">
        <f t="shared" si="8"/>
        <v>134</v>
      </c>
      <c r="G8" s="17">
        <f t="shared" si="2"/>
        <v>1066</v>
      </c>
      <c r="H8" s="19">
        <v>-4.0</v>
      </c>
      <c r="I8" s="17">
        <f>I7+3</f>
        <v>159</v>
      </c>
      <c r="J8" s="19">
        <v>3.0</v>
      </c>
      <c r="K8" s="17">
        <f>K7+1-5</f>
        <v>127</v>
      </c>
      <c r="L8" s="19">
        <v>-4.0</v>
      </c>
      <c r="M8" s="17">
        <f>M7-6+2</f>
        <v>576</v>
      </c>
      <c r="N8" s="19">
        <v>-4.0</v>
      </c>
      <c r="O8" s="17">
        <f>O7</f>
        <v>30</v>
      </c>
      <c r="P8" s="19">
        <v>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WORKDAY($A$3,row(A6),Holidays!$B$2:$B1000)</f>
        <v>45667</v>
      </c>
      <c r="B9" s="16">
        <f>B8+1+1</f>
        <v>517</v>
      </c>
      <c r="C9" s="16">
        <f t="shared" ref="C9:C10" si="10">C8</f>
        <v>417</v>
      </c>
      <c r="D9" s="17">
        <f t="shared" si="1"/>
        <v>934</v>
      </c>
      <c r="E9" s="18">
        <v>2.0</v>
      </c>
      <c r="F9" s="17">
        <f>F8-1</f>
        <v>133</v>
      </c>
      <c r="G9" s="17">
        <f t="shared" si="2"/>
        <v>1067</v>
      </c>
      <c r="H9" s="19">
        <v>1.0</v>
      </c>
      <c r="I9" s="21">
        <f>I8</f>
        <v>159</v>
      </c>
      <c r="J9" s="19">
        <v>0.0</v>
      </c>
      <c r="K9" s="17">
        <f>K8</f>
        <v>127</v>
      </c>
      <c r="L9" s="19">
        <v>0.0</v>
      </c>
      <c r="M9" s="17">
        <f>M8+1</f>
        <v>577</v>
      </c>
      <c r="N9" s="19">
        <v>1.0</v>
      </c>
      <c r="O9" s="17">
        <f>O8-3</f>
        <v>27</v>
      </c>
      <c r="P9" s="19">
        <v>-3.0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WORKDAY($A$3,row(A7),Holidays!$B$2:$B1000)</f>
        <v>45670</v>
      </c>
      <c r="B10" s="16">
        <f>B9-12</f>
        <v>505</v>
      </c>
      <c r="C10" s="16">
        <f t="shared" si="10"/>
        <v>417</v>
      </c>
      <c r="D10" s="17">
        <f t="shared" si="1"/>
        <v>922</v>
      </c>
      <c r="E10" s="18">
        <v>-12.0</v>
      </c>
      <c r="F10" s="17">
        <f t="shared" ref="F10:F11" si="11">F9</f>
        <v>133</v>
      </c>
      <c r="G10" s="17">
        <f t="shared" si="2"/>
        <v>1055</v>
      </c>
      <c r="H10" s="19">
        <v>-12.0</v>
      </c>
      <c r="I10" s="17">
        <f>I9-11</f>
        <v>148</v>
      </c>
      <c r="J10" s="19">
        <v>-11.0</v>
      </c>
      <c r="K10" s="17">
        <f>K9-11</f>
        <v>116</v>
      </c>
      <c r="L10" s="19">
        <v>-11.0</v>
      </c>
      <c r="M10" s="17">
        <f>M9-12</f>
        <v>565</v>
      </c>
      <c r="N10" s="19">
        <v>-12.0</v>
      </c>
      <c r="O10" s="17">
        <f t="shared" ref="O10:O11" si="12">O9</f>
        <v>27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WORKDAY($A$3,row(A8),Holidays!$B$2:$B1000)</f>
        <v>45671</v>
      </c>
      <c r="B11" s="16">
        <f>B10+1+1</f>
        <v>507</v>
      </c>
      <c r="C11" s="16">
        <f>C10-2</f>
        <v>415</v>
      </c>
      <c r="D11" s="17">
        <f t="shared" si="1"/>
        <v>922</v>
      </c>
      <c r="E11" s="18">
        <v>0.0</v>
      </c>
      <c r="F11" s="17">
        <f t="shared" si="11"/>
        <v>133</v>
      </c>
      <c r="G11" s="17">
        <f t="shared" si="2"/>
        <v>1055</v>
      </c>
      <c r="H11" s="19">
        <v>0.0</v>
      </c>
      <c r="I11" s="17">
        <f t="shared" ref="I11:I14" si="13">I10</f>
        <v>148</v>
      </c>
      <c r="J11" s="19">
        <v>0.0</v>
      </c>
      <c r="K11" s="17">
        <f>K10+1</f>
        <v>117</v>
      </c>
      <c r="L11" s="19">
        <v>1.0</v>
      </c>
      <c r="M11" s="17">
        <f t="shared" ref="M11:M12" si="14">M10+2</f>
        <v>567</v>
      </c>
      <c r="N11" s="19">
        <v>2.0</v>
      </c>
      <c r="O11" s="17">
        <f t="shared" si="12"/>
        <v>27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WORKDAY($A$3,row(A9),Holidays!$B$2:$B1000)</f>
        <v>45672</v>
      </c>
      <c r="B12" s="16">
        <f>B11+2</f>
        <v>509</v>
      </c>
      <c r="C12" s="16">
        <f>C11</f>
        <v>415</v>
      </c>
      <c r="D12" s="17">
        <f t="shared" si="1"/>
        <v>924</v>
      </c>
      <c r="E12" s="18">
        <v>2.0</v>
      </c>
      <c r="F12" s="17">
        <f>F11-1</f>
        <v>132</v>
      </c>
      <c r="G12" s="17">
        <f t="shared" si="2"/>
        <v>1056</v>
      </c>
      <c r="H12" s="19">
        <v>1.0</v>
      </c>
      <c r="I12" s="17">
        <f t="shared" si="13"/>
        <v>148</v>
      </c>
      <c r="J12" s="19">
        <v>0.0</v>
      </c>
      <c r="K12" s="17">
        <f t="shared" ref="K12:K13" si="16">K11</f>
        <v>117</v>
      </c>
      <c r="L12" s="19">
        <v>0.0</v>
      </c>
      <c r="M12" s="17">
        <f t="shared" si="14"/>
        <v>569</v>
      </c>
      <c r="N12" s="19">
        <v>2.0</v>
      </c>
      <c r="O12" s="17">
        <f>O11+1</f>
        <v>28</v>
      </c>
      <c r="P12" s="19">
        <v>1.0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WORKDAY($A$3,row(A10),Holidays!$B$2:$B1000)</f>
        <v>45673</v>
      </c>
      <c r="B13" s="16">
        <f t="shared" ref="B13:C13" si="15">B12</f>
        <v>509</v>
      </c>
      <c r="C13" s="16">
        <f t="shared" si="15"/>
        <v>415</v>
      </c>
      <c r="D13" s="17">
        <f t="shared" si="1"/>
        <v>924</v>
      </c>
      <c r="E13" s="18">
        <v>0.0</v>
      </c>
      <c r="F13" s="17">
        <f t="shared" ref="F13:F14" si="17">F12</f>
        <v>132</v>
      </c>
      <c r="G13" s="17">
        <f t="shared" si="2"/>
        <v>1056</v>
      </c>
      <c r="H13" s="19">
        <v>0.0</v>
      </c>
      <c r="I13" s="17">
        <f t="shared" si="13"/>
        <v>148</v>
      </c>
      <c r="J13" s="19">
        <v>0.0</v>
      </c>
      <c r="K13" s="17">
        <f t="shared" si="16"/>
        <v>117</v>
      </c>
      <c r="L13" s="19">
        <v>0.0</v>
      </c>
      <c r="M13" s="17">
        <f>M12</f>
        <v>569</v>
      </c>
      <c r="N13" s="19">
        <v>0.0</v>
      </c>
      <c r="O13" s="17">
        <f t="shared" ref="O13:O14" si="18">O12</f>
        <v>28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WORKDAY($A$3,row(A11),Holidays!$B$2:$B1000)</f>
        <v>45674</v>
      </c>
      <c r="B14" s="16">
        <f>B13-6+2+3+1</f>
        <v>509</v>
      </c>
      <c r="C14" s="16">
        <f>C13-1</f>
        <v>414</v>
      </c>
      <c r="D14" s="17">
        <f t="shared" si="1"/>
        <v>923</v>
      </c>
      <c r="E14" s="18">
        <v>-1.0</v>
      </c>
      <c r="F14" s="17">
        <f t="shared" si="17"/>
        <v>132</v>
      </c>
      <c r="G14" s="17">
        <f t="shared" si="2"/>
        <v>1055</v>
      </c>
      <c r="H14" s="19">
        <v>-1.0</v>
      </c>
      <c r="I14" s="17">
        <f t="shared" si="13"/>
        <v>148</v>
      </c>
      <c r="J14" s="19">
        <v>0.0</v>
      </c>
      <c r="K14" s="17">
        <f t="shared" ref="K14:K17" si="19">K13+1</f>
        <v>118</v>
      </c>
      <c r="L14" s="19">
        <v>1.0</v>
      </c>
      <c r="M14" s="17">
        <f>M13+6-6</f>
        <v>569</v>
      </c>
      <c r="N14" s="19">
        <v>0.0</v>
      </c>
      <c r="O14" s="17">
        <f t="shared" si="18"/>
        <v>28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WORKDAY($A$3,row(A12),Holidays!$B$2:$B1000)</f>
        <v>45678</v>
      </c>
      <c r="B15" s="16">
        <f>B14+12+11+7</f>
        <v>539</v>
      </c>
      <c r="C15" s="16">
        <f t="shared" ref="C15:C17" si="20">C14+1</f>
        <v>415</v>
      </c>
      <c r="D15" s="17">
        <f t="shared" si="1"/>
        <v>954</v>
      </c>
      <c r="E15" s="18">
        <v>31.0</v>
      </c>
      <c r="F15" s="17">
        <f t="shared" ref="F15:F16" si="21">F14-1</f>
        <v>131</v>
      </c>
      <c r="G15" s="17">
        <f t="shared" si="2"/>
        <v>1085</v>
      </c>
      <c r="H15" s="19">
        <v>30.0</v>
      </c>
      <c r="I15" s="17">
        <f t="shared" ref="I15:I16" si="22">I14+3</f>
        <v>151</v>
      </c>
      <c r="J15" s="19">
        <v>3.0</v>
      </c>
      <c r="K15" s="17">
        <f t="shared" si="19"/>
        <v>119</v>
      </c>
      <c r="L15" s="19">
        <v>1.0</v>
      </c>
      <c r="M15" s="17">
        <f>M14+20-2+2+11</f>
        <v>600</v>
      </c>
      <c r="N15" s="19">
        <v>31.0</v>
      </c>
      <c r="O15" s="17">
        <f t="shared" ref="O15:O16" si="23">O14+1</f>
        <v>29</v>
      </c>
      <c r="P15" s="19">
        <v>1.0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WORKDAY($A$3,row(A13),Holidays!$B$2:$B1000)</f>
        <v>45679</v>
      </c>
      <c r="B16" s="16">
        <f>B15-5+3-5</f>
        <v>532</v>
      </c>
      <c r="C16" s="16">
        <f t="shared" si="20"/>
        <v>416</v>
      </c>
      <c r="D16" s="17">
        <f t="shared" si="1"/>
        <v>948</v>
      </c>
      <c r="E16" s="18">
        <v>-6.0</v>
      </c>
      <c r="F16" s="17">
        <f t="shared" si="21"/>
        <v>130</v>
      </c>
      <c r="G16" s="17">
        <f t="shared" si="2"/>
        <v>1078</v>
      </c>
      <c r="H16" s="19">
        <v>-7.0</v>
      </c>
      <c r="I16" s="17">
        <f t="shared" si="22"/>
        <v>154</v>
      </c>
      <c r="J16" s="19">
        <v>3.0</v>
      </c>
      <c r="K16" s="17">
        <f t="shared" si="19"/>
        <v>120</v>
      </c>
      <c r="L16" s="19">
        <v>1.0</v>
      </c>
      <c r="M16" s="17">
        <f>M15-2</f>
        <v>598</v>
      </c>
      <c r="N16" s="19">
        <v>-2.0</v>
      </c>
      <c r="O16" s="17">
        <f t="shared" si="23"/>
        <v>30</v>
      </c>
      <c r="P16" s="19">
        <v>1.0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WORKDAY($A$3,row(A14),Holidays!$B$2:$B1000)</f>
        <v>45680</v>
      </c>
      <c r="B17" s="16">
        <f>B16-10+6+7+7</f>
        <v>542</v>
      </c>
      <c r="C17" s="16">
        <f t="shared" si="20"/>
        <v>417</v>
      </c>
      <c r="D17" s="17">
        <f t="shared" si="1"/>
        <v>959</v>
      </c>
      <c r="E17" s="18">
        <v>11.0</v>
      </c>
      <c r="F17" s="17">
        <f t="shared" ref="F17:F21" si="24">F16</f>
        <v>130</v>
      </c>
      <c r="G17" s="17">
        <f t="shared" si="2"/>
        <v>1089</v>
      </c>
      <c r="H17" s="19">
        <v>11.0</v>
      </c>
      <c r="I17" s="17">
        <f t="shared" ref="I17:I20" si="25">I16</f>
        <v>154</v>
      </c>
      <c r="J17" s="19">
        <v>0.0</v>
      </c>
      <c r="K17" s="17">
        <f t="shared" si="19"/>
        <v>121</v>
      </c>
      <c r="L17" s="19">
        <v>1.0</v>
      </c>
      <c r="M17" s="17">
        <f>M16+22-10</f>
        <v>610</v>
      </c>
      <c r="N17" s="19">
        <v>12.0</v>
      </c>
      <c r="O17" s="17">
        <f t="shared" ref="O17:O18" si="26">O16</f>
        <v>30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WORKDAY($A$3,row(A15),Holidays!$B$2:$B1000)</f>
        <v>45681</v>
      </c>
      <c r="B18" s="16">
        <f>B17+5+5+2-24</f>
        <v>530</v>
      </c>
      <c r="C18" s="16">
        <f>C17-1</f>
        <v>416</v>
      </c>
      <c r="D18" s="17">
        <f t="shared" si="1"/>
        <v>946</v>
      </c>
      <c r="E18" s="18">
        <v>-13.0</v>
      </c>
      <c r="F18" s="17">
        <f t="shared" si="24"/>
        <v>130</v>
      </c>
      <c r="G18" s="17">
        <f t="shared" si="2"/>
        <v>1076</v>
      </c>
      <c r="H18" s="19">
        <v>-13.0</v>
      </c>
      <c r="I18" s="17">
        <f t="shared" si="25"/>
        <v>154</v>
      </c>
      <c r="J18" s="19">
        <v>0.0</v>
      </c>
      <c r="K18" s="17">
        <f t="shared" ref="K18:K19" si="27">K17+2</f>
        <v>123</v>
      </c>
      <c r="L18" s="19">
        <v>2.0</v>
      </c>
      <c r="M18" s="17">
        <f>M17+11-24</f>
        <v>597</v>
      </c>
      <c r="N18" s="19">
        <v>-13.0</v>
      </c>
      <c r="O18" s="17">
        <f t="shared" si="26"/>
        <v>30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WORKDAY($A$3,row(A16),Holidays!$B$2:$B1000)</f>
        <v>45684</v>
      </c>
      <c r="B19" s="16">
        <f>B18+9+10+15-3</f>
        <v>561</v>
      </c>
      <c r="C19" s="16">
        <f>C18</f>
        <v>416</v>
      </c>
      <c r="D19" s="17">
        <f t="shared" si="1"/>
        <v>977</v>
      </c>
      <c r="E19" s="18">
        <v>31.0</v>
      </c>
      <c r="F19" s="17">
        <f t="shared" si="24"/>
        <v>130</v>
      </c>
      <c r="G19" s="17">
        <f t="shared" si="2"/>
        <v>1107</v>
      </c>
      <c r="H19" s="19">
        <v>31.0</v>
      </c>
      <c r="I19" s="17">
        <f t="shared" si="25"/>
        <v>154</v>
      </c>
      <c r="J19" s="19">
        <v>0.0</v>
      </c>
      <c r="K19" s="17">
        <f t="shared" si="27"/>
        <v>125</v>
      </c>
      <c r="L19" s="19">
        <v>2.0</v>
      </c>
      <c r="M19" s="17">
        <f>M18-3+28</f>
        <v>622</v>
      </c>
      <c r="N19" s="19">
        <v>25.0</v>
      </c>
      <c r="O19" s="17">
        <f>O18-1</f>
        <v>29</v>
      </c>
      <c r="P19" s="19">
        <v>-1.0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WORKDAY($A$3,row(A17),Holidays!$B$2:$B1000)</f>
        <v>45685</v>
      </c>
      <c r="B20" s="16">
        <f t="shared" ref="B20:C20" si="28">B19</f>
        <v>561</v>
      </c>
      <c r="C20" s="16">
        <f t="shared" si="28"/>
        <v>416</v>
      </c>
      <c r="D20" s="17">
        <f t="shared" si="1"/>
        <v>977</v>
      </c>
      <c r="E20" s="18">
        <v>0.0</v>
      </c>
      <c r="F20" s="17">
        <f t="shared" si="24"/>
        <v>130</v>
      </c>
      <c r="G20" s="17">
        <f t="shared" si="2"/>
        <v>1107</v>
      </c>
      <c r="H20" s="19">
        <v>0.0</v>
      </c>
      <c r="I20" s="17">
        <f t="shared" si="25"/>
        <v>154</v>
      </c>
      <c r="J20" s="19">
        <v>0.0</v>
      </c>
      <c r="K20" s="17">
        <f>K19</f>
        <v>125</v>
      </c>
      <c r="L20" s="19">
        <v>0.0</v>
      </c>
      <c r="M20" s="17">
        <f>M19</f>
        <v>622</v>
      </c>
      <c r="N20" s="19">
        <v>0.0</v>
      </c>
      <c r="O20" s="17">
        <f t="shared" ref="O20:O21" si="29">O19</f>
        <v>29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WORKDAY($A$3,row(A18),Holidays!$B$2:$B1000)</f>
        <v>45686</v>
      </c>
      <c r="B21" s="16">
        <f>B20-5+2+4+4</f>
        <v>566</v>
      </c>
      <c r="C21" s="16">
        <f>C20+1</f>
        <v>417</v>
      </c>
      <c r="D21" s="17">
        <f t="shared" si="1"/>
        <v>983</v>
      </c>
      <c r="E21" s="18">
        <v>6.0</v>
      </c>
      <c r="F21" s="17">
        <f t="shared" si="24"/>
        <v>130</v>
      </c>
      <c r="G21" s="17">
        <f t="shared" si="2"/>
        <v>1113</v>
      </c>
      <c r="H21" s="19">
        <v>6.0</v>
      </c>
      <c r="I21" s="17">
        <f>I20+2</f>
        <v>156</v>
      </c>
      <c r="J21" s="19">
        <v>2.0</v>
      </c>
      <c r="K21" s="17">
        <f>K20+1</f>
        <v>126</v>
      </c>
      <c r="L21" s="19">
        <v>1.0</v>
      </c>
      <c r="M21" s="17">
        <f>M20+10-5</f>
        <v>627</v>
      </c>
      <c r="N21" s="19">
        <v>5.0</v>
      </c>
      <c r="O21" s="17">
        <f t="shared" si="29"/>
        <v>29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WORKDAY($A$3,row(A19),Holidays!$B$2:$B1000)</f>
        <v>45687</v>
      </c>
      <c r="B22" s="16">
        <f>B21+3+4+3+1</f>
        <v>577</v>
      </c>
      <c r="C22" s="16">
        <f>C21-3-1</f>
        <v>413</v>
      </c>
      <c r="D22" s="17">
        <f t="shared" si="1"/>
        <v>990</v>
      </c>
      <c r="E22" s="18">
        <v>7.0</v>
      </c>
      <c r="F22" s="17">
        <f>F21-2</f>
        <v>128</v>
      </c>
      <c r="G22" s="17">
        <f t="shared" si="2"/>
        <v>1118</v>
      </c>
      <c r="H22" s="19">
        <v>5.0</v>
      </c>
      <c r="I22" s="17">
        <f t="shared" ref="I22:I23" si="30">I21</f>
        <v>156</v>
      </c>
      <c r="J22" s="19">
        <v>0.0</v>
      </c>
      <c r="K22" s="17">
        <f>K21-1+3</f>
        <v>128</v>
      </c>
      <c r="L22" s="19">
        <v>2.0</v>
      </c>
      <c r="M22" s="17">
        <f>M21-1+11</f>
        <v>637</v>
      </c>
      <c r="N22" s="19">
        <v>10.0</v>
      </c>
      <c r="O22" s="17">
        <f>O21+1</f>
        <v>30</v>
      </c>
      <c r="P22" s="19">
        <v>1.0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20">
        <f>WORKDAY($A$3,row(A20),Holidays!$B$2:$B1000)</f>
        <v>45688</v>
      </c>
      <c r="B23" s="16">
        <f>B22+4+4+2+4</f>
        <v>591</v>
      </c>
      <c r="C23" s="16">
        <f>C22-1</f>
        <v>412</v>
      </c>
      <c r="D23" s="17">
        <f t="shared" si="1"/>
        <v>1003</v>
      </c>
      <c r="E23" s="18">
        <v>13.0</v>
      </c>
      <c r="F23" s="17">
        <f>F22</f>
        <v>128</v>
      </c>
      <c r="G23" s="17">
        <f t="shared" si="2"/>
        <v>1131</v>
      </c>
      <c r="H23" s="19">
        <v>13.0</v>
      </c>
      <c r="I23" s="17">
        <f t="shared" si="30"/>
        <v>156</v>
      </c>
      <c r="J23" s="19">
        <v>0.0</v>
      </c>
      <c r="K23" s="17">
        <f>K22+2</f>
        <v>130</v>
      </c>
      <c r="L23" s="19">
        <v>2.0</v>
      </c>
      <c r="M23" s="17">
        <f>M22+14</f>
        <v>651</v>
      </c>
      <c r="N23" s="19">
        <v>14.0</v>
      </c>
      <c r="O23" s="17">
        <f>O22-4</f>
        <v>26</v>
      </c>
      <c r="P23" s="19">
        <v>-4.0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22"/>
      <c r="B24" s="23"/>
      <c r="C24" s="23"/>
      <c r="D24" s="23"/>
      <c r="E24" s="24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4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4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4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4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4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4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4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4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4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4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4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4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4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4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4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4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4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4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4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4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4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4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4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4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4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4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4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4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4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4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4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4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4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4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4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4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4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4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4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4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4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4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4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4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4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4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4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4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4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4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4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4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4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4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4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4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4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4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4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4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4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4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4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4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4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4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4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4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4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4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4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4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4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4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4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4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4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4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4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4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4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4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4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4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4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4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4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4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4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4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4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4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4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4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4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4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4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4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4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4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4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4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4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4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4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4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4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4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4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4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4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4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4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4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4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4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4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4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4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4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4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4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4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4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4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4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4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4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4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4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4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4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4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4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4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4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4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4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4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4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4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4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4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4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4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4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4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4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4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4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4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4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4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4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4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4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4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4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4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4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4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4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4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4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4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4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4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4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4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4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4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4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4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4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4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4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4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4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4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4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4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4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4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4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4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4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4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4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4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4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4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4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4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4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4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4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4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4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4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4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4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4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4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4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4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4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4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4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4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4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4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4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4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4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4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4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4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4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4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4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4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4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4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4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4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4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4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4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4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4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4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4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4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4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4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4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4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4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4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4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4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4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4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4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4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4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4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4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4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4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4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4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4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4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4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4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4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4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4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4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4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4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4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4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4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4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4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4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4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4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4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4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4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4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4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4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4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4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4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4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4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4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4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4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4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4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4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4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4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4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4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4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4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4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4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4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4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4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4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4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4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4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4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4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4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4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4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4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4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4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4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4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4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4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4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4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4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4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4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4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4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4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4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4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4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4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4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4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4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4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4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4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4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4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4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4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4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4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4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4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4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4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4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4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4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4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4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4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4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4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4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4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4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4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4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4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4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4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4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4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4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4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4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4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4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4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4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4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4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4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4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4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4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4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4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4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4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4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4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4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4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4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4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4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4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4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4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4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4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4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4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4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4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4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4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4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4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4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4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4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4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4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4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4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4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4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4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4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4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4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4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4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4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4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4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4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4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4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4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4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4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4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4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4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4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4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4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4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4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4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4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4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4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4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4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4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4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4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4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4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4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4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4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4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4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4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4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4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4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4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4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4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4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4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4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4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4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4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4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4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4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4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4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4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4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4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4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4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4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4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4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4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4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4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4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4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4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4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4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4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4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4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4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4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4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4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4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4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4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4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4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4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4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4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4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4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4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4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4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4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4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4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4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4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4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4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4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4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4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4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4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4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4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4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4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4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4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4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4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4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4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4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4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4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4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4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4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4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4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4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4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4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4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4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4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4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4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4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4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4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4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4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4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4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4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4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4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4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4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4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4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4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4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4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4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4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4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4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4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4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4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4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4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4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4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4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4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4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4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4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4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4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4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4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4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4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4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4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4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4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4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4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4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4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4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4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4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4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4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4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4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4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4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4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4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4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4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4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4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4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4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4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4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4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4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4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4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4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4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4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4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4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4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4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4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4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4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4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4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4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4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4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4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4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4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4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4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4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4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4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4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4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4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4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4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4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4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4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4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4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4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4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4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4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4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4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4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4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4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4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4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4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4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4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4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4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4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4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4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4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4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4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4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4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4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4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4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4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4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4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4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4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4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4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4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4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4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4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4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4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4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4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4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4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4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4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4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4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4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4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4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4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4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4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4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4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4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4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4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4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4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4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4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4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4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4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4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4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4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4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4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4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4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4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4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4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4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4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4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4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4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4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4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4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4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4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4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4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4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4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4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4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4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4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4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4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4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4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4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4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4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4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4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4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4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4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4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4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4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4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4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4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4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4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4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4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4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4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4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4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4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4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4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4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4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4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4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4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4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4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4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4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4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4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4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4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4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4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4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4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4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4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4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4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4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4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4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4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4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4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4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4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4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4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4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4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4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4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4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4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4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4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4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4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4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4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4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4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4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4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4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4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4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4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4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4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4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4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4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4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4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4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4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4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4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4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4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4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4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4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4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4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4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4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4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4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4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4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4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4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4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4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4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4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4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4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4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4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4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4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4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4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4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4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4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4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4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4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4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4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4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4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4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4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4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4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4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4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4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4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4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4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4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4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4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4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4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4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4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4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4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4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4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4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4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4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4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4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4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4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4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4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4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4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4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4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4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4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4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4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4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4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4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4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4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4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4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4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4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4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4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4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4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4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4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4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4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4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4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4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4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4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4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4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4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4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4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4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4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4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4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4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4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4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4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4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4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4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4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4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4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4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4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4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4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4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4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4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4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4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4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4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4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4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4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4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4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4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4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4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4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4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4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4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4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4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4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4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4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4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4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4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2"/>
      <c r="B997" s="23"/>
      <c r="C997" s="23"/>
      <c r="D997" s="23"/>
      <c r="E997" s="24"/>
      <c r="F997" s="23"/>
      <c r="G997" s="23"/>
      <c r="H997" s="25"/>
      <c r="I997" s="23"/>
      <c r="J997" s="25"/>
      <c r="K997" s="23"/>
      <c r="L997" s="25"/>
      <c r="M997" s="23"/>
      <c r="N997" s="25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22"/>
      <c r="B998" s="23"/>
      <c r="C998" s="23"/>
      <c r="D998" s="23"/>
      <c r="E998" s="24"/>
      <c r="F998" s="23"/>
      <c r="G998" s="23"/>
      <c r="H998" s="25"/>
      <c r="I998" s="23"/>
      <c r="J998" s="25"/>
      <c r="K998" s="23"/>
      <c r="L998" s="25"/>
      <c r="M998" s="23"/>
      <c r="N998" s="25"/>
      <c r="O998" s="23"/>
      <c r="P998" s="25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>
      <c r="A999" s="22"/>
      <c r="B999" s="23"/>
      <c r="C999" s="23"/>
      <c r="D999" s="23"/>
      <c r="E999" s="24"/>
      <c r="F999" s="23"/>
      <c r="G999" s="23"/>
      <c r="H999" s="25"/>
      <c r="I999" s="23"/>
      <c r="J999" s="25"/>
      <c r="K999" s="23"/>
      <c r="L999" s="25"/>
      <c r="M999" s="23"/>
      <c r="N999" s="25"/>
      <c r="O999" s="23"/>
      <c r="P999" s="25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>
      <c r="A1000" s="22"/>
      <c r="B1000" s="23"/>
      <c r="C1000" s="23"/>
      <c r="D1000" s="23"/>
      <c r="E1000" s="24"/>
      <c r="F1000" s="23"/>
      <c r="G1000" s="23"/>
      <c r="H1000" s="25"/>
      <c r="I1000" s="23"/>
      <c r="J1000" s="25"/>
      <c r="K1000" s="23"/>
      <c r="L1000" s="25"/>
      <c r="M1000" s="23"/>
      <c r="N1000" s="25"/>
      <c r="O1000" s="23"/>
      <c r="P1000" s="25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</sheetData>
  <mergeCells count="2">
    <mergeCell ref="B1:J1"/>
    <mergeCell ref="K1:P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10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45691.0</v>
      </c>
      <c r="B3" s="16">
        <f>'January 2025'!B23 + 9+2+42</f>
        <v>644</v>
      </c>
      <c r="C3" s="16">
        <f>'January 2025'!C23 + 3</f>
        <v>415</v>
      </c>
      <c r="D3" s="17">
        <f t="shared" ref="D3:D21" si="1">SUM(B3:C3)</f>
        <v>1059</v>
      </c>
      <c r="E3" s="18">
        <f>D3-'January 2025'!D23</f>
        <v>56</v>
      </c>
      <c r="F3" s="17">
        <f>'January 2025'!F23</f>
        <v>128</v>
      </c>
      <c r="G3" s="17">
        <f t="shared" ref="G3:G21" si="2">SUM(D3,F3)</f>
        <v>1187</v>
      </c>
      <c r="H3" s="18">
        <f>G3-'January 2025'!G23</f>
        <v>56</v>
      </c>
      <c r="I3" s="17">
        <f>'January 2025'!I23</f>
        <v>156</v>
      </c>
      <c r="J3" s="18">
        <f>I3-'January 2025'!I23</f>
        <v>0</v>
      </c>
      <c r="K3" s="17">
        <f>'January 2025'!K23+7</f>
        <v>137</v>
      </c>
      <c r="L3" s="18">
        <f>K3-'January 2025'!K23</f>
        <v>7</v>
      </c>
      <c r="M3" s="17">
        <f>'January 2025'!M23+71</f>
        <v>722</v>
      </c>
      <c r="N3" s="18">
        <f>M3-'January 2025'!M23</f>
        <v>71</v>
      </c>
      <c r="O3" s="17">
        <f>'January 2025'!O23</f>
        <v>26</v>
      </c>
      <c r="P3" s="18">
        <f>O3-'January 2025'!O23</f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WORKDAY($A$3,row(A1),Holidays!$B$2:$B998)</f>
        <v>45692</v>
      </c>
      <c r="B4" s="16">
        <f>B3+8+11+3</f>
        <v>666</v>
      </c>
      <c r="C4" s="16">
        <f>C3-1</f>
        <v>414</v>
      </c>
      <c r="D4" s="17">
        <f t="shared" si="1"/>
        <v>1080</v>
      </c>
      <c r="E4" s="18">
        <f t="array" ref="E4:E21">D4:D21-D3:D20</f>
        <v>21</v>
      </c>
      <c r="F4" s="17">
        <f t="shared" ref="F4:F21" si="3">F3</f>
        <v>128</v>
      </c>
      <c r="G4" s="17">
        <f t="shared" si="2"/>
        <v>1208</v>
      </c>
      <c r="H4" s="18">
        <f t="array" ref="H4:H21">G4:G21-G3:G20</f>
        <v>21</v>
      </c>
      <c r="I4" s="17">
        <f t="shared" ref="I4:I20" si="4">I3</f>
        <v>156</v>
      </c>
      <c r="J4" s="18">
        <f t="array" ref="J4:J21">I4:I21-I3:I20</f>
        <v>0</v>
      </c>
      <c r="K4" s="17">
        <f>K3</f>
        <v>137</v>
      </c>
      <c r="L4" s="18">
        <f t="array" ref="L4:L21">K4:K21-K3:K20</f>
        <v>0</v>
      </c>
      <c r="M4" s="17">
        <f>M3+23</f>
        <v>745</v>
      </c>
      <c r="N4" s="18">
        <f t="array" ref="N4:N21">M4:M21-M3:M20</f>
        <v>23</v>
      </c>
      <c r="O4" s="17">
        <f>O3-1</f>
        <v>25</v>
      </c>
      <c r="P4" s="18">
        <f t="array" ref="P4:P21">O4:O21-O3:O20</f>
        <v>-1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WORKDAY($A$3,row(A2),Holidays!$B$2:$B998)</f>
        <v>45693</v>
      </c>
      <c r="B5" s="16">
        <f>B4+2+3</f>
        <v>671</v>
      </c>
      <c r="C5" s="16">
        <f t="shared" ref="C5:C7" si="5">C4</f>
        <v>414</v>
      </c>
      <c r="D5" s="17">
        <f t="shared" si="1"/>
        <v>1085</v>
      </c>
      <c r="E5" s="18">
        <v>5.0</v>
      </c>
      <c r="F5" s="17">
        <f t="shared" si="3"/>
        <v>128</v>
      </c>
      <c r="G5" s="17">
        <f t="shared" si="2"/>
        <v>1213</v>
      </c>
      <c r="H5" s="19">
        <v>5.0</v>
      </c>
      <c r="I5" s="17">
        <f t="shared" si="4"/>
        <v>156</v>
      </c>
      <c r="J5" s="19">
        <v>0.0</v>
      </c>
      <c r="K5" s="17">
        <f t="shared" ref="K5:K7" si="6">K4+1</f>
        <v>138</v>
      </c>
      <c r="L5" s="19">
        <v>1.0</v>
      </c>
      <c r="M5" s="17">
        <f>M4+5</f>
        <v>750</v>
      </c>
      <c r="N5" s="19">
        <v>5.0</v>
      </c>
      <c r="O5" s="17">
        <f>O4-2</f>
        <v>23</v>
      </c>
      <c r="P5" s="19">
        <v>-2.0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WORKDAY($A$3,row(A3),Holidays!$B$2:$B998)</f>
        <v>45694</v>
      </c>
      <c r="B6" s="16">
        <f>B5+3+6</f>
        <v>680</v>
      </c>
      <c r="C6" s="16">
        <f t="shared" si="5"/>
        <v>414</v>
      </c>
      <c r="D6" s="17">
        <f t="shared" si="1"/>
        <v>1094</v>
      </c>
      <c r="E6" s="18">
        <v>9.0</v>
      </c>
      <c r="F6" s="17">
        <f t="shared" si="3"/>
        <v>128</v>
      </c>
      <c r="G6" s="17">
        <f t="shared" si="2"/>
        <v>1222</v>
      </c>
      <c r="H6" s="19">
        <v>9.0</v>
      </c>
      <c r="I6" s="17">
        <f t="shared" si="4"/>
        <v>156</v>
      </c>
      <c r="J6" s="19">
        <v>0.0</v>
      </c>
      <c r="K6" s="17">
        <f t="shared" si="6"/>
        <v>139</v>
      </c>
      <c r="L6" s="19">
        <v>1.0</v>
      </c>
      <c r="M6" s="17">
        <f>M5+10</f>
        <v>760</v>
      </c>
      <c r="N6" s="19">
        <v>10.0</v>
      </c>
      <c r="O6" s="17">
        <f>O5</f>
        <v>23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WORKDAY($A$3,row(A4),Holidays!$B$2:$B998)</f>
        <v>45695</v>
      </c>
      <c r="B7" s="16">
        <f>B6+8+2</f>
        <v>690</v>
      </c>
      <c r="C7" s="16">
        <f t="shared" si="5"/>
        <v>414</v>
      </c>
      <c r="D7" s="17">
        <f t="shared" si="1"/>
        <v>1104</v>
      </c>
      <c r="E7" s="18">
        <v>10.0</v>
      </c>
      <c r="F7" s="17">
        <f t="shared" si="3"/>
        <v>128</v>
      </c>
      <c r="G7" s="17">
        <f t="shared" si="2"/>
        <v>1232</v>
      </c>
      <c r="H7" s="19">
        <v>10.0</v>
      </c>
      <c r="I7" s="17">
        <f t="shared" si="4"/>
        <v>156</v>
      </c>
      <c r="J7" s="19">
        <v>0.0</v>
      </c>
      <c r="K7" s="17">
        <f t="shared" si="6"/>
        <v>140</v>
      </c>
      <c r="L7" s="19">
        <v>1.0</v>
      </c>
      <c r="M7" s="17">
        <f>M6+9</f>
        <v>769</v>
      </c>
      <c r="N7" s="19">
        <v>9.0</v>
      </c>
      <c r="O7" s="17">
        <f t="shared" ref="O7:O8" si="7">O6-2</f>
        <v>21</v>
      </c>
      <c r="P7" s="19">
        <v>-2.0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WORKDAY($A$3,row(A5),Holidays!$B$2:$B998)</f>
        <v>45698</v>
      </c>
      <c r="B8" s="16">
        <f>B7+14+5+5</f>
        <v>714</v>
      </c>
      <c r="C8" s="16">
        <f>C7+4</f>
        <v>418</v>
      </c>
      <c r="D8" s="17">
        <f t="shared" si="1"/>
        <v>1132</v>
      </c>
      <c r="E8" s="18">
        <v>28.0</v>
      </c>
      <c r="F8" s="17">
        <f t="shared" si="3"/>
        <v>128</v>
      </c>
      <c r="G8" s="17">
        <f t="shared" si="2"/>
        <v>1260</v>
      </c>
      <c r="H8" s="19">
        <v>28.0</v>
      </c>
      <c r="I8" s="17">
        <f t="shared" si="4"/>
        <v>156</v>
      </c>
      <c r="J8" s="19">
        <v>0.0</v>
      </c>
      <c r="K8" s="17">
        <f>K7+4</f>
        <v>144</v>
      </c>
      <c r="L8" s="19">
        <v>4.0</v>
      </c>
      <c r="M8" s="17">
        <f>M7+21</f>
        <v>790</v>
      </c>
      <c r="N8" s="19">
        <v>21.0</v>
      </c>
      <c r="O8" s="17">
        <f t="shared" si="7"/>
        <v>19</v>
      </c>
      <c r="P8" s="19">
        <v>-2.0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WORKDAY($A$3,row(A6),Holidays!$B$2:$B998)</f>
        <v>45699</v>
      </c>
      <c r="B9" s="16">
        <f>B8+1</f>
        <v>715</v>
      </c>
      <c r="C9" s="16">
        <f>C8</f>
        <v>418</v>
      </c>
      <c r="D9" s="17">
        <f t="shared" si="1"/>
        <v>1133</v>
      </c>
      <c r="E9" s="18">
        <v>1.0</v>
      </c>
      <c r="F9" s="17">
        <f t="shared" si="3"/>
        <v>128</v>
      </c>
      <c r="G9" s="17">
        <f t="shared" si="2"/>
        <v>1261</v>
      </c>
      <c r="H9" s="19">
        <v>1.0</v>
      </c>
      <c r="I9" s="21">
        <f t="shared" si="4"/>
        <v>156</v>
      </c>
      <c r="J9" s="19">
        <v>0.0</v>
      </c>
      <c r="K9" s="17">
        <f>K8</f>
        <v>144</v>
      </c>
      <c r="L9" s="19">
        <v>0.0</v>
      </c>
      <c r="M9" s="17">
        <f>M8+1</f>
        <v>791</v>
      </c>
      <c r="N9" s="19">
        <v>1.0</v>
      </c>
      <c r="O9" s="17">
        <f t="shared" ref="O9:O11" si="8">O8</f>
        <v>19</v>
      </c>
      <c r="P9" s="19">
        <v>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WORKDAY($A$3,row(A7),Holidays!$B$2:$B998)</f>
        <v>45700</v>
      </c>
      <c r="B10" s="16">
        <f>B9+10+3+3</f>
        <v>731</v>
      </c>
      <c r="C10" s="16">
        <f>C9+1</f>
        <v>419</v>
      </c>
      <c r="D10" s="17">
        <f t="shared" si="1"/>
        <v>1150</v>
      </c>
      <c r="E10" s="18">
        <v>17.0</v>
      </c>
      <c r="F10" s="17">
        <f t="shared" si="3"/>
        <v>128</v>
      </c>
      <c r="G10" s="17">
        <f t="shared" si="2"/>
        <v>1278</v>
      </c>
      <c r="H10" s="19">
        <v>17.0</v>
      </c>
      <c r="I10" s="17">
        <f t="shared" si="4"/>
        <v>156</v>
      </c>
      <c r="J10" s="19">
        <v>0.0</v>
      </c>
      <c r="K10" s="17">
        <f>K9+1</f>
        <v>145</v>
      </c>
      <c r="L10" s="19">
        <v>1.0</v>
      </c>
      <c r="M10" s="17">
        <f>M9+17</f>
        <v>808</v>
      </c>
      <c r="N10" s="19">
        <v>17.0</v>
      </c>
      <c r="O10" s="17">
        <f t="shared" si="8"/>
        <v>19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WORKDAY($A$3,row(A8),Holidays!$B$2:$B998)</f>
        <v>45701</v>
      </c>
      <c r="B11" s="16">
        <f>B10+2+2+6</f>
        <v>741</v>
      </c>
      <c r="C11" s="16">
        <f>C10-1</f>
        <v>418</v>
      </c>
      <c r="D11" s="17">
        <f t="shared" si="1"/>
        <v>1159</v>
      </c>
      <c r="E11" s="18">
        <v>9.0</v>
      </c>
      <c r="F11" s="17">
        <f t="shared" si="3"/>
        <v>128</v>
      </c>
      <c r="G11" s="17">
        <f t="shared" si="2"/>
        <v>1287</v>
      </c>
      <c r="H11" s="19">
        <v>9.0</v>
      </c>
      <c r="I11" s="17">
        <f t="shared" si="4"/>
        <v>156</v>
      </c>
      <c r="J11" s="19">
        <v>0.0</v>
      </c>
      <c r="K11" s="17">
        <f>K10</f>
        <v>145</v>
      </c>
      <c r="L11" s="19">
        <v>0.0</v>
      </c>
      <c r="M11" s="17">
        <f>M10+10</f>
        <v>818</v>
      </c>
      <c r="N11" s="19">
        <v>10.0</v>
      </c>
      <c r="O11" s="17">
        <f t="shared" si="8"/>
        <v>19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WORKDAY($A$3,row(A9),Holidays!$B$2:$B998)</f>
        <v>45702</v>
      </c>
      <c r="B12" s="16">
        <f>B11-5+3+3</f>
        <v>742</v>
      </c>
      <c r="C12" s="16">
        <f t="shared" ref="C12:C18" si="9">C11</f>
        <v>418</v>
      </c>
      <c r="D12" s="17">
        <f t="shared" si="1"/>
        <v>1160</v>
      </c>
      <c r="E12" s="18">
        <v>1.0</v>
      </c>
      <c r="F12" s="17">
        <f t="shared" si="3"/>
        <v>128</v>
      </c>
      <c r="G12" s="17">
        <f t="shared" si="2"/>
        <v>1288</v>
      </c>
      <c r="H12" s="19">
        <v>1.0</v>
      </c>
      <c r="I12" s="17">
        <f t="shared" si="4"/>
        <v>156</v>
      </c>
      <c r="J12" s="19">
        <v>0.0</v>
      </c>
      <c r="K12" s="17">
        <f>K11+1</f>
        <v>146</v>
      </c>
      <c r="L12" s="19">
        <v>1.0</v>
      </c>
      <c r="M12" s="17">
        <f>M11-5+5</f>
        <v>818</v>
      </c>
      <c r="N12" s="19">
        <v>0.0</v>
      </c>
      <c r="O12" s="17">
        <f>O11-1</f>
        <v>18</v>
      </c>
      <c r="P12" s="19">
        <v>-1.0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WORKDAY($A$3,row(A10),Holidays!$B$2:$B998)</f>
        <v>45706</v>
      </c>
      <c r="B13" s="16">
        <f>B12+10+6+1</f>
        <v>759</v>
      </c>
      <c r="C13" s="16">
        <f t="shared" si="9"/>
        <v>418</v>
      </c>
      <c r="D13" s="17">
        <f t="shared" si="1"/>
        <v>1177</v>
      </c>
      <c r="E13" s="18">
        <v>17.0</v>
      </c>
      <c r="F13" s="17">
        <f t="shared" si="3"/>
        <v>128</v>
      </c>
      <c r="G13" s="17">
        <f t="shared" si="2"/>
        <v>1305</v>
      </c>
      <c r="H13" s="19">
        <v>17.0</v>
      </c>
      <c r="I13" s="17">
        <f t="shared" si="4"/>
        <v>156</v>
      </c>
      <c r="J13" s="19">
        <v>0.0</v>
      </c>
      <c r="K13" s="17">
        <f>K12</f>
        <v>146</v>
      </c>
      <c r="L13" s="19">
        <v>0.0</v>
      </c>
      <c r="M13" s="17">
        <f>M12+18</f>
        <v>836</v>
      </c>
      <c r="N13" s="19">
        <v>18.0</v>
      </c>
      <c r="O13" s="17">
        <f>O12-4</f>
        <v>14</v>
      </c>
      <c r="P13" s="19">
        <v>-4.0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WORKDAY($A$3,row(A11),Holidays!$B$2:$B998)</f>
        <v>45707</v>
      </c>
      <c r="B14" s="16">
        <f>B13+4+2-12</f>
        <v>753</v>
      </c>
      <c r="C14" s="16">
        <f t="shared" si="9"/>
        <v>418</v>
      </c>
      <c r="D14" s="17">
        <f t="shared" si="1"/>
        <v>1171</v>
      </c>
      <c r="E14" s="18">
        <v>-6.0</v>
      </c>
      <c r="F14" s="17">
        <f t="shared" si="3"/>
        <v>128</v>
      </c>
      <c r="G14" s="17">
        <f t="shared" si="2"/>
        <v>1299</v>
      </c>
      <c r="H14" s="19">
        <v>-6.0</v>
      </c>
      <c r="I14" s="17">
        <f t="shared" si="4"/>
        <v>156</v>
      </c>
      <c r="J14" s="19">
        <v>0.0</v>
      </c>
      <c r="K14" s="17">
        <f>K13-8</f>
        <v>138</v>
      </c>
      <c r="L14" s="19">
        <v>-8.0</v>
      </c>
      <c r="M14" s="17">
        <f>M13-12</f>
        <v>824</v>
      </c>
      <c r="N14" s="19">
        <v>-12.0</v>
      </c>
      <c r="O14" s="17">
        <f>O13+1</f>
        <v>15</v>
      </c>
      <c r="P14" s="19">
        <v>1.0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WORKDAY($A$3,row(A12),Holidays!$B$2:$B998)</f>
        <v>45708</v>
      </c>
      <c r="B15" s="16">
        <f>B14+2</f>
        <v>755</v>
      </c>
      <c r="C15" s="16">
        <f t="shared" si="9"/>
        <v>418</v>
      </c>
      <c r="D15" s="17">
        <f t="shared" si="1"/>
        <v>1173</v>
      </c>
      <c r="E15" s="18">
        <v>2.0</v>
      </c>
      <c r="F15" s="17">
        <f t="shared" si="3"/>
        <v>128</v>
      </c>
      <c r="G15" s="17">
        <f t="shared" si="2"/>
        <v>1301</v>
      </c>
      <c r="H15" s="19">
        <v>2.0</v>
      </c>
      <c r="I15" s="17">
        <f t="shared" si="4"/>
        <v>156</v>
      </c>
      <c r="J15" s="19">
        <v>0.0</v>
      </c>
      <c r="K15" s="17">
        <f t="shared" ref="K15:K16" si="10">K14+1</f>
        <v>139</v>
      </c>
      <c r="L15" s="19">
        <v>1.0</v>
      </c>
      <c r="M15" s="17">
        <f>M14+2</f>
        <v>826</v>
      </c>
      <c r="N15" s="19">
        <v>2.0</v>
      </c>
      <c r="O15" s="17">
        <f t="shared" ref="O15:O16" si="11">O14</f>
        <v>15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WORKDAY($A$3,row(A13),Holidays!$B$2:$B998)</f>
        <v>45709</v>
      </c>
      <c r="B16" s="16">
        <f>B15+2+1+3</f>
        <v>761</v>
      </c>
      <c r="C16" s="16">
        <f t="shared" si="9"/>
        <v>418</v>
      </c>
      <c r="D16" s="17">
        <f t="shared" si="1"/>
        <v>1179</v>
      </c>
      <c r="E16" s="18">
        <v>6.0</v>
      </c>
      <c r="F16" s="17">
        <f t="shared" si="3"/>
        <v>128</v>
      </c>
      <c r="G16" s="17">
        <f t="shared" si="2"/>
        <v>1307</v>
      </c>
      <c r="H16" s="19">
        <v>6.0</v>
      </c>
      <c r="I16" s="17">
        <f t="shared" si="4"/>
        <v>156</v>
      </c>
      <c r="J16" s="19">
        <v>0.0</v>
      </c>
      <c r="K16" s="17">
        <f t="shared" si="10"/>
        <v>140</v>
      </c>
      <c r="L16" s="19">
        <v>1.0</v>
      </c>
      <c r="M16" s="17">
        <f t="shared" ref="M16:M17" si="12">M15+6</f>
        <v>832</v>
      </c>
      <c r="N16" s="19">
        <v>6.0</v>
      </c>
      <c r="O16" s="17">
        <f t="shared" si="11"/>
        <v>15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WORKDAY($A$3,row(A14),Holidays!$B$2:$B998)</f>
        <v>45712</v>
      </c>
      <c r="B17" s="16">
        <f>B16+6+2+4</f>
        <v>773</v>
      </c>
      <c r="C17" s="16">
        <f t="shared" si="9"/>
        <v>418</v>
      </c>
      <c r="D17" s="17">
        <f t="shared" si="1"/>
        <v>1191</v>
      </c>
      <c r="E17" s="18">
        <v>12.0</v>
      </c>
      <c r="F17" s="17">
        <f t="shared" si="3"/>
        <v>128</v>
      </c>
      <c r="G17" s="17">
        <f t="shared" si="2"/>
        <v>1319</v>
      </c>
      <c r="H17" s="19">
        <v>12.0</v>
      </c>
      <c r="I17" s="17">
        <f t="shared" si="4"/>
        <v>156</v>
      </c>
      <c r="J17" s="19">
        <v>0.0</v>
      </c>
      <c r="K17" s="17">
        <f t="shared" ref="K17:K18" si="13">K16</f>
        <v>140</v>
      </c>
      <c r="L17" s="19">
        <v>0.0</v>
      </c>
      <c r="M17" s="17">
        <f t="shared" si="12"/>
        <v>838</v>
      </c>
      <c r="N17" s="19">
        <v>6.0</v>
      </c>
      <c r="O17" s="17">
        <f>O16-3</f>
        <v>12</v>
      </c>
      <c r="P17" s="19">
        <v>-3.0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WORKDAY($A$3,row(A15),Holidays!$B$2:$B998)</f>
        <v>45713</v>
      </c>
      <c r="B18" s="16">
        <f>B17+1+2-7</f>
        <v>769</v>
      </c>
      <c r="C18" s="16">
        <f t="shared" si="9"/>
        <v>418</v>
      </c>
      <c r="D18" s="17">
        <f t="shared" si="1"/>
        <v>1187</v>
      </c>
      <c r="E18" s="18">
        <v>-4.0</v>
      </c>
      <c r="F18" s="17">
        <f t="shared" si="3"/>
        <v>128</v>
      </c>
      <c r="G18" s="17">
        <f t="shared" si="2"/>
        <v>1315</v>
      </c>
      <c r="H18" s="19">
        <v>-4.0</v>
      </c>
      <c r="I18" s="17">
        <f t="shared" si="4"/>
        <v>156</v>
      </c>
      <c r="J18" s="19">
        <v>0.0</v>
      </c>
      <c r="K18" s="17">
        <f t="shared" si="13"/>
        <v>140</v>
      </c>
      <c r="L18" s="19">
        <v>0.0</v>
      </c>
      <c r="M18" s="17">
        <f>M17+3-7</f>
        <v>834</v>
      </c>
      <c r="N18" s="19">
        <v>-4.0</v>
      </c>
      <c r="O18" s="17">
        <f t="shared" ref="O18:O19" si="14">O17</f>
        <v>12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WORKDAY($A$3,row(A16),Holidays!$B$2:$B998)</f>
        <v>45714</v>
      </c>
      <c r="B19" s="16">
        <f>B18+6+3+3-3</f>
        <v>778</v>
      </c>
      <c r="C19" s="16">
        <f>C18+1</f>
        <v>419</v>
      </c>
      <c r="D19" s="17">
        <f t="shared" si="1"/>
        <v>1197</v>
      </c>
      <c r="E19" s="18">
        <v>10.0</v>
      </c>
      <c r="F19" s="17">
        <f t="shared" si="3"/>
        <v>128</v>
      </c>
      <c r="G19" s="17">
        <f t="shared" si="2"/>
        <v>1325</v>
      </c>
      <c r="H19" s="19">
        <v>10.0</v>
      </c>
      <c r="I19" s="17">
        <f t="shared" si="4"/>
        <v>156</v>
      </c>
      <c r="J19" s="19">
        <v>0.0</v>
      </c>
      <c r="K19" s="17">
        <f>K18-3</f>
        <v>137</v>
      </c>
      <c r="L19" s="19">
        <v>-3.0</v>
      </c>
      <c r="M19" s="17">
        <f>M18+10-3</f>
        <v>841</v>
      </c>
      <c r="N19" s="19">
        <v>7.0</v>
      </c>
      <c r="O19" s="17">
        <f t="shared" si="14"/>
        <v>12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WORKDAY($A$3,row(A17),Holidays!$B$2:$B998)</f>
        <v>45715</v>
      </c>
      <c r="B20" s="16">
        <f>B19+15+2-6</f>
        <v>789</v>
      </c>
      <c r="C20" s="16">
        <f>C19+2</f>
        <v>421</v>
      </c>
      <c r="D20" s="17">
        <f t="shared" si="1"/>
        <v>1210</v>
      </c>
      <c r="E20" s="18">
        <v>13.0</v>
      </c>
      <c r="F20" s="17">
        <f t="shared" si="3"/>
        <v>128</v>
      </c>
      <c r="G20" s="17">
        <f t="shared" si="2"/>
        <v>1338</v>
      </c>
      <c r="H20" s="19">
        <v>13.0</v>
      </c>
      <c r="I20" s="17">
        <f t="shared" si="4"/>
        <v>156</v>
      </c>
      <c r="J20" s="19">
        <v>0.0</v>
      </c>
      <c r="K20" s="17">
        <f>K19+4-5</f>
        <v>136</v>
      </c>
      <c r="L20" s="19">
        <v>-1.0</v>
      </c>
      <c r="M20" s="17">
        <f>M19+19-6</f>
        <v>854</v>
      </c>
      <c r="N20" s="19">
        <v>13.0</v>
      </c>
      <c r="O20" s="17">
        <f>O19+4</f>
        <v>16</v>
      </c>
      <c r="P20" s="19">
        <v>4.0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WORKDAY($A$3,row(A18),Holidays!$B$2:$B998)</f>
        <v>45716</v>
      </c>
      <c r="B21" s="16">
        <f>B20+10-5+9</f>
        <v>803</v>
      </c>
      <c r="C21" s="16">
        <f>C20+4</f>
        <v>425</v>
      </c>
      <c r="D21" s="17">
        <f t="shared" si="1"/>
        <v>1228</v>
      </c>
      <c r="E21" s="18">
        <v>18.0</v>
      </c>
      <c r="F21" s="17">
        <f t="shared" si="3"/>
        <v>128</v>
      </c>
      <c r="G21" s="17">
        <f t="shared" si="2"/>
        <v>1356</v>
      </c>
      <c r="H21" s="19">
        <v>18.0</v>
      </c>
      <c r="I21" s="17">
        <f>I20 + 3</f>
        <v>159</v>
      </c>
      <c r="J21" s="19">
        <v>3.0</v>
      </c>
      <c r="K21" s="17">
        <f>K20+2-5</f>
        <v>133</v>
      </c>
      <c r="L21" s="19">
        <v>-3.0</v>
      </c>
      <c r="M21" s="17">
        <f>M20+18-5</f>
        <v>867</v>
      </c>
      <c r="N21" s="19">
        <v>13.0</v>
      </c>
      <c r="O21" s="17">
        <f>O20-3</f>
        <v>13</v>
      </c>
      <c r="P21" s="19">
        <v>-3.0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2"/>
      <c r="B22" s="23"/>
      <c r="C22" s="23"/>
      <c r="D22" s="23"/>
      <c r="E22" s="24"/>
      <c r="F22" s="23"/>
      <c r="G22" s="23"/>
      <c r="H22" s="25"/>
      <c r="I22" s="23"/>
      <c r="J22" s="25"/>
      <c r="K22" s="23"/>
      <c r="L22" s="25"/>
      <c r="M22" s="23"/>
      <c r="N22" s="25"/>
      <c r="O22" s="23"/>
      <c r="P22" s="25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2"/>
      <c r="B23" s="23"/>
      <c r="C23" s="23"/>
      <c r="D23" s="23"/>
      <c r="E23" s="24"/>
      <c r="F23" s="23"/>
      <c r="G23" s="23"/>
      <c r="H23" s="25"/>
      <c r="I23" s="23"/>
      <c r="J23" s="25"/>
      <c r="K23" s="23"/>
      <c r="L23" s="25"/>
      <c r="M23" s="23"/>
      <c r="N23" s="25"/>
      <c r="O23" s="23"/>
      <c r="P23" s="25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4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4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4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4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4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4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4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4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4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4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4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4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4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4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4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4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4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4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4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4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4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4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4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4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4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4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4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4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4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4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4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4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4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4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4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4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4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4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4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4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4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4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4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4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4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4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4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4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4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4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4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4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4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4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4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4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4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4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4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4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4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4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4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4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4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4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4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4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4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4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4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4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4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4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4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4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4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4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4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4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4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4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4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4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4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4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4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4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4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4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4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4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4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4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4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4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4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4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4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4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4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4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4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4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4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4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4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4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4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4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4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4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4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4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4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4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4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4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4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4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4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4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4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4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4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4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4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4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4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4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4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4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4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4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4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4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4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4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4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4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4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4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4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4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4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4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4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4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4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4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4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4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4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4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4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4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4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4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4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4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4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4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4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4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4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4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4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4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4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4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4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4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4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4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4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4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4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4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4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4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4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4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4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4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4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4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4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4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4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4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4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4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4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4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4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4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4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4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4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4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4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4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4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4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4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4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4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4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4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4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4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4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4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4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4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4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4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4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4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4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4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4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4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4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4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4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4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4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4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4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4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4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4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4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4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4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4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4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4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4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4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4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4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4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4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4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4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4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4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4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4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4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4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4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4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4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4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4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4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4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4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4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4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4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4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4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4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4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4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4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4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4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4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4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4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4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4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4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4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4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4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4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4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4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4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4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4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4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4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4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4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4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4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4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4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4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4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4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4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4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4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4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4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4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4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4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4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4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4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4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4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4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4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4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4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4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4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4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4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4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4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4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4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4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4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4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4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4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4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4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4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4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4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4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4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4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4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4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4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4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4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4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4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4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4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4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4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4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4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4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4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4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4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4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4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4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4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4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4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4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4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4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4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4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4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4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4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4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4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4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4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4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4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4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4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4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4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4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4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4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4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4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4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4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4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4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4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4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4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4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4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4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4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4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4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4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4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4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4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4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4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4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4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4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4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4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4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4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4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4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4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4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4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4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4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4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4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4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4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4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4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4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4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4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4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4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4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4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4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4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4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4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4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4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4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4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4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4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4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4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4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4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4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4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4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4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4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4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4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4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4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4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4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4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4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4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4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4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4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4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4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4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4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4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4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4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4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4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4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4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4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4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4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4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4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4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4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4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4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4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4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4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4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4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4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4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4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4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4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4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4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4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4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4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4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4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4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4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4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4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4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4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4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4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4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4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4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4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4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4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4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4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4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4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4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4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4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4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4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4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4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4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4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4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4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4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4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4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4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4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4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4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4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4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4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4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4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4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4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4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4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4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4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4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4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4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4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4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4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4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4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4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4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4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4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4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4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4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4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4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4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4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4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4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4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4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4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4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4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4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4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4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4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4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4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4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4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4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4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4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4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4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4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4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4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4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4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4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4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4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4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4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4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4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4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4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4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4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4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4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4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4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4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4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4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4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4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4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4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4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4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4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4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4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4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4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4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4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4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4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4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4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4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4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4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4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4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4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4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4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4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4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4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4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4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4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4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4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4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4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4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4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4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4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4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4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4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4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4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4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4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4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4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4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4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4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4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4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4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4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4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4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4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4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4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4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4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4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4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4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4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4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4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4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4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4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4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4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4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4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4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4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4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4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4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4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4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4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4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4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4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4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4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4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4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4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4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4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4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4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4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4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4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4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4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4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4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4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4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4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4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4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4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4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4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4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4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4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4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4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4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4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4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4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4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4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4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4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4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4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4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4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4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4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4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4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4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4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4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4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4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4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4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4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4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4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4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4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4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4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4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4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4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4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4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4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4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4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4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4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4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4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4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4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4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4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4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4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4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4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4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4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4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4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4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4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4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4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4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4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4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4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4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4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4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4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4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4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4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4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4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4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4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4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4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4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4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4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4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4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4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4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4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4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4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4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4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4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4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4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4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4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4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4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4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4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4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4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4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4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4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4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4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4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4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4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4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4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4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4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4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4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4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4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4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4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4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4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4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4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4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4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4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4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4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4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4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4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4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4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4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4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4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4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4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4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4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4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4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4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4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4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4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4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4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4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4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4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4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4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4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4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4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4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4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4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4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4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4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4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4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4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4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4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4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4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4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4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4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4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4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4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4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4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4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4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4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4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4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4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4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4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4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4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4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4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4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4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4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4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4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4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4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4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4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4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4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4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4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4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4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4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4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4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4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4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4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4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4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4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4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4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4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4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4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4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4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4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4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4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4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4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4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4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4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4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4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4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4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4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4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4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4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4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4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4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4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4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4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4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4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4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4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4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4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4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4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4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4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4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4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4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4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2"/>
      <c r="B997" s="23"/>
      <c r="C997" s="23"/>
      <c r="D997" s="23"/>
      <c r="E997" s="24"/>
      <c r="F997" s="23"/>
      <c r="G997" s="23"/>
      <c r="H997" s="25"/>
      <c r="I997" s="23"/>
      <c r="J997" s="25"/>
      <c r="K997" s="23"/>
      <c r="L997" s="25"/>
      <c r="M997" s="23"/>
      <c r="N997" s="25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22"/>
      <c r="B998" s="23"/>
      <c r="C998" s="23"/>
      <c r="D998" s="23"/>
      <c r="E998" s="24"/>
      <c r="F998" s="23"/>
      <c r="G998" s="23"/>
      <c r="H998" s="25"/>
      <c r="I998" s="23"/>
      <c r="J998" s="25"/>
      <c r="K998" s="23"/>
      <c r="L998" s="25"/>
      <c r="M998" s="23"/>
      <c r="N998" s="25"/>
      <c r="O998" s="23"/>
      <c r="P998" s="25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</sheetData>
  <mergeCells count="2">
    <mergeCell ref="B1:J1"/>
    <mergeCell ref="K1:P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45719.0</v>
      </c>
      <c r="B3" s="26">
        <f>'February 2025'!B21+16-1+17+3</f>
        <v>838</v>
      </c>
      <c r="C3" s="26">
        <f>'February 2025'!C21+2</f>
        <v>427</v>
      </c>
      <c r="D3" s="17">
        <f t="shared" ref="D3:D22" si="1">SUM(B3:C3)</f>
        <v>1265</v>
      </c>
      <c r="E3" s="18">
        <f>D3-'February 2025'!D21</f>
        <v>37</v>
      </c>
      <c r="F3" s="17">
        <f>'February 2025'!F21+2</f>
        <v>130</v>
      </c>
      <c r="G3" s="17">
        <f t="shared" ref="G3:G22" si="2">SUM(D3,F3)</f>
        <v>1395</v>
      </c>
      <c r="H3" s="18">
        <f>G3-'February 2025'!G21</f>
        <v>39</v>
      </c>
      <c r="I3" s="17">
        <f>'February 2025'!I21+3</f>
        <v>162</v>
      </c>
      <c r="J3" s="18">
        <f>I3-'February 2025'!I21</f>
        <v>3</v>
      </c>
      <c r="K3" s="17">
        <f>'February 2025'!K21+2-1</f>
        <v>134</v>
      </c>
      <c r="L3" s="18">
        <f>K3-'February 2025'!K21</f>
        <v>1</v>
      </c>
      <c r="M3" s="17">
        <f>'February 2025'!M21+33-1</f>
        <v>899</v>
      </c>
      <c r="N3" s="18">
        <f>M3-'February 2025'!M21</f>
        <v>32</v>
      </c>
      <c r="O3" s="17">
        <f>'February 2025'!O21+1-1</f>
        <v>13</v>
      </c>
      <c r="P3" s="18">
        <f>O3-'February 2025'!O21</f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WORKDAY($A$3,row(A1),Holidays!$B$2:$B998)</f>
        <v>45720</v>
      </c>
      <c r="B4" s="26">
        <f>B3+3-1+3</f>
        <v>843</v>
      </c>
      <c r="C4" s="26">
        <f>C3+1</f>
        <v>428</v>
      </c>
      <c r="D4" s="17">
        <f t="shared" si="1"/>
        <v>1271</v>
      </c>
      <c r="E4" s="18">
        <f t="array" ref="E4:E22">D4:D22-D3:D21</f>
        <v>6</v>
      </c>
      <c r="F4" s="17">
        <f t="shared" ref="F4:F5" si="3">F3-2</f>
        <v>128</v>
      </c>
      <c r="G4" s="17">
        <f t="shared" si="2"/>
        <v>1399</v>
      </c>
      <c r="H4" s="18">
        <f t="array" ref="H4:H22">G4:G22-G3:G21</f>
        <v>4</v>
      </c>
      <c r="I4" s="17">
        <f>I3</f>
        <v>162</v>
      </c>
      <c r="J4" s="18">
        <f t="array" ref="J4:J22">I4:I22-I3:I21</f>
        <v>0</v>
      </c>
      <c r="K4" s="17">
        <f>K3+1-1</f>
        <v>134</v>
      </c>
      <c r="L4" s="18">
        <f t="array" ref="L4:L22">K4:K22-K3:K21</f>
        <v>0</v>
      </c>
      <c r="M4" s="17">
        <f>M3+4-1</f>
        <v>902</v>
      </c>
      <c r="N4" s="18">
        <f t="array" ref="N4:N22">M4:M22-M3:M21</f>
        <v>3</v>
      </c>
      <c r="O4" s="17">
        <f>O3</f>
        <v>13</v>
      </c>
      <c r="P4" s="18">
        <f t="array" ref="P4:P22">O4:O22-O3:O21</f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WORKDAY($A$3,row(A2),Holidays!$B$2:$B998)</f>
        <v>45721</v>
      </c>
      <c r="B5" s="26">
        <f>B4-6+1</f>
        <v>838</v>
      </c>
      <c r="C5" s="26">
        <f>C4+2</f>
        <v>430</v>
      </c>
      <c r="D5" s="17">
        <f t="shared" si="1"/>
        <v>1268</v>
      </c>
      <c r="E5" s="18">
        <v>-3.0</v>
      </c>
      <c r="F5" s="17">
        <f t="shared" si="3"/>
        <v>126</v>
      </c>
      <c r="G5" s="17">
        <f t="shared" si="2"/>
        <v>1394</v>
      </c>
      <c r="H5" s="19">
        <v>-5.0</v>
      </c>
      <c r="I5" s="17">
        <f>I4-6+2</f>
        <v>158</v>
      </c>
      <c r="J5" s="19">
        <v>-4.0</v>
      </c>
      <c r="K5" s="17">
        <f>K4-6+1</f>
        <v>129</v>
      </c>
      <c r="L5" s="19">
        <v>-5.0</v>
      </c>
      <c r="M5" s="17">
        <f>M4-6+3</f>
        <v>899</v>
      </c>
      <c r="N5" s="19">
        <v>-3.0</v>
      </c>
      <c r="O5" s="17">
        <f>O4+2</f>
        <v>15</v>
      </c>
      <c r="P5" s="19">
        <v>2.0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WORKDAY($A$3,row(A3),Holidays!$B$2:$B998)</f>
        <v>45722</v>
      </c>
      <c r="B6" s="26">
        <f>B5+8+4+5-1</f>
        <v>854</v>
      </c>
      <c r="C6" s="26">
        <f>C5+1</f>
        <v>431</v>
      </c>
      <c r="D6" s="17">
        <f t="shared" si="1"/>
        <v>1285</v>
      </c>
      <c r="E6" s="18">
        <v>17.0</v>
      </c>
      <c r="F6" s="17">
        <f t="shared" ref="F6:F8" si="4">F5</f>
        <v>126</v>
      </c>
      <c r="G6" s="17">
        <f t="shared" si="2"/>
        <v>1411</v>
      </c>
      <c r="H6" s="19">
        <v>17.0</v>
      </c>
      <c r="I6" s="17">
        <f>I5+6</f>
        <v>164</v>
      </c>
      <c r="J6" s="19">
        <v>6.0</v>
      </c>
      <c r="K6" s="17">
        <f>K5-1+1-2</f>
        <v>127</v>
      </c>
      <c r="L6" s="19">
        <v>-2.0</v>
      </c>
      <c r="M6" s="17">
        <f>M5+23+7-1</f>
        <v>928</v>
      </c>
      <c r="N6" s="19">
        <v>29.0</v>
      </c>
      <c r="O6" s="17">
        <f>O5+1</f>
        <v>16</v>
      </c>
      <c r="P6" s="19">
        <v>1.0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WORKDAY($A$3,row(A4),Holidays!$B$2:$B998)</f>
        <v>45723</v>
      </c>
      <c r="B7" s="26">
        <f>B6+5+8-1</f>
        <v>866</v>
      </c>
      <c r="C7" s="26">
        <f>C6+2</f>
        <v>433</v>
      </c>
      <c r="D7" s="17">
        <f t="shared" si="1"/>
        <v>1299</v>
      </c>
      <c r="E7" s="18">
        <v>14.0</v>
      </c>
      <c r="F7" s="17">
        <f t="shared" si="4"/>
        <v>126</v>
      </c>
      <c r="G7" s="17">
        <f t="shared" si="2"/>
        <v>1425</v>
      </c>
      <c r="H7" s="19">
        <v>14.0</v>
      </c>
      <c r="I7" s="17">
        <f t="shared" ref="I7:I22" si="5">I6</f>
        <v>164</v>
      </c>
      <c r="J7" s="19">
        <v>0.0</v>
      </c>
      <c r="K7" s="17">
        <f>K6</f>
        <v>127</v>
      </c>
      <c r="L7" s="19">
        <v>0.0</v>
      </c>
      <c r="M7" s="17">
        <f>M6+8+6-1</f>
        <v>941</v>
      </c>
      <c r="N7" s="19">
        <v>13.0</v>
      </c>
      <c r="O7" s="17">
        <f>O6</f>
        <v>16</v>
      </c>
      <c r="P7" s="19">
        <v>0.0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WORKDAY($A$3,row(A5),Holidays!$B$2:$B998)</f>
        <v>45726</v>
      </c>
      <c r="B8" s="26">
        <f>B7-5+3+2-1</f>
        <v>865</v>
      </c>
      <c r="C8" s="26">
        <f>C7+1</f>
        <v>434</v>
      </c>
      <c r="D8" s="17">
        <f t="shared" si="1"/>
        <v>1299</v>
      </c>
      <c r="E8" s="18">
        <v>0.0</v>
      </c>
      <c r="F8" s="17">
        <f t="shared" si="4"/>
        <v>126</v>
      </c>
      <c r="G8" s="17">
        <f t="shared" si="2"/>
        <v>1425</v>
      </c>
      <c r="H8" s="19">
        <v>0.0</v>
      </c>
      <c r="I8" s="17">
        <f t="shared" si="5"/>
        <v>164</v>
      </c>
      <c r="J8" s="19">
        <v>0.0</v>
      </c>
      <c r="K8" s="17">
        <f>K7+1</f>
        <v>128</v>
      </c>
      <c r="L8" s="19">
        <v>1.0</v>
      </c>
      <c r="M8" s="17">
        <f>M7+4-5</f>
        <v>940</v>
      </c>
      <c r="N8" s="19">
        <v>-1.0</v>
      </c>
      <c r="O8" s="17">
        <f t="shared" ref="O8:O9" si="6">O7+1</f>
        <v>17</v>
      </c>
      <c r="P8" s="19">
        <v>1.0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WORKDAY($A$3,row(A6),Holidays!$B$2:$B998)</f>
        <v>45727</v>
      </c>
      <c r="B9" s="26">
        <f>B8+8</f>
        <v>873</v>
      </c>
      <c r="C9" s="26">
        <f>C8+2</f>
        <v>436</v>
      </c>
      <c r="D9" s="17">
        <f t="shared" si="1"/>
        <v>1309</v>
      </c>
      <c r="E9" s="18">
        <v>10.0</v>
      </c>
      <c r="F9" s="17">
        <f>F8-1</f>
        <v>125</v>
      </c>
      <c r="G9" s="17">
        <f t="shared" si="2"/>
        <v>1434</v>
      </c>
      <c r="H9" s="19">
        <v>9.0</v>
      </c>
      <c r="I9" s="21">
        <f t="shared" si="5"/>
        <v>164</v>
      </c>
      <c r="J9" s="19">
        <v>0.0</v>
      </c>
      <c r="K9" s="17">
        <f>K8</f>
        <v>128</v>
      </c>
      <c r="L9" s="19">
        <v>0.0</v>
      </c>
      <c r="M9" s="17">
        <f>M8+9</f>
        <v>949</v>
      </c>
      <c r="N9" s="19">
        <v>9.0</v>
      </c>
      <c r="O9" s="17">
        <f t="shared" si="6"/>
        <v>18</v>
      </c>
      <c r="P9" s="19">
        <v>1.0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WORKDAY($A$3,row(A7),Holidays!$B$2:$B998)</f>
        <v>45728</v>
      </c>
      <c r="B10" s="26">
        <f>B9+2+10-18</f>
        <v>867</v>
      </c>
      <c r="C10" s="26">
        <f t="shared" ref="C10:C12" si="7">C9</f>
        <v>436</v>
      </c>
      <c r="D10" s="17">
        <f t="shared" si="1"/>
        <v>1303</v>
      </c>
      <c r="E10" s="18">
        <v>-6.0</v>
      </c>
      <c r="F10" s="17">
        <f>F9</f>
        <v>125</v>
      </c>
      <c r="G10" s="17">
        <f t="shared" si="2"/>
        <v>1428</v>
      </c>
      <c r="H10" s="19">
        <v>-6.0</v>
      </c>
      <c r="I10" s="17">
        <f t="shared" si="5"/>
        <v>164</v>
      </c>
      <c r="J10" s="19">
        <v>0.0</v>
      </c>
      <c r="K10" s="17">
        <f>K9-9+1</f>
        <v>120</v>
      </c>
      <c r="L10" s="19">
        <v>-8.0</v>
      </c>
      <c r="M10" s="17">
        <f>M9-18+2</f>
        <v>933</v>
      </c>
      <c r="N10" s="19">
        <v>-16.0</v>
      </c>
      <c r="O10" s="17">
        <f t="shared" ref="O10:O22" si="8">O9</f>
        <v>18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WORKDAY($A$3,row(A8),Holidays!$B$2:$B998)</f>
        <v>45729</v>
      </c>
      <c r="B11" s="26">
        <f>B10-15-4</f>
        <v>848</v>
      </c>
      <c r="C11" s="26">
        <f t="shared" si="7"/>
        <v>436</v>
      </c>
      <c r="D11" s="17">
        <f t="shared" si="1"/>
        <v>1284</v>
      </c>
      <c r="E11" s="18">
        <v>-19.0</v>
      </c>
      <c r="F11" s="17">
        <f>F10-1</f>
        <v>124</v>
      </c>
      <c r="G11" s="17">
        <f t="shared" si="2"/>
        <v>1408</v>
      </c>
      <c r="H11" s="19">
        <v>-20.0</v>
      </c>
      <c r="I11" s="17">
        <f t="shared" si="5"/>
        <v>164</v>
      </c>
      <c r="J11" s="19">
        <v>0.0</v>
      </c>
      <c r="K11" s="17">
        <f>K10-9</f>
        <v>111</v>
      </c>
      <c r="L11" s="19">
        <v>-9.0</v>
      </c>
      <c r="M11" s="17">
        <f>M10-18-1</f>
        <v>914</v>
      </c>
      <c r="N11" s="19">
        <v>-19.0</v>
      </c>
      <c r="O11" s="17">
        <f t="shared" si="8"/>
        <v>18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WORKDAY($A$3,row(A9),Holidays!$B$2:$B998)</f>
        <v>45730</v>
      </c>
      <c r="B12" s="26">
        <f>B11-24</f>
        <v>824</v>
      </c>
      <c r="C12" s="26">
        <f t="shared" si="7"/>
        <v>436</v>
      </c>
      <c r="D12" s="17">
        <f t="shared" si="1"/>
        <v>1260</v>
      </c>
      <c r="E12" s="18">
        <v>-24.0</v>
      </c>
      <c r="F12" s="17">
        <f>F11</f>
        <v>124</v>
      </c>
      <c r="G12" s="17">
        <f t="shared" si="2"/>
        <v>1384</v>
      </c>
      <c r="H12" s="19">
        <v>-24.0</v>
      </c>
      <c r="I12" s="17">
        <f t="shared" si="5"/>
        <v>164</v>
      </c>
      <c r="J12" s="19">
        <v>0.0</v>
      </c>
      <c r="K12" s="17">
        <f>K11-12</f>
        <v>99</v>
      </c>
      <c r="L12" s="19">
        <v>-12.0</v>
      </c>
      <c r="M12" s="17">
        <f>M11-24</f>
        <v>890</v>
      </c>
      <c r="N12" s="19">
        <v>-24.0</v>
      </c>
      <c r="O12" s="17">
        <f t="shared" si="8"/>
        <v>18</v>
      </c>
      <c r="P12" s="19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WORKDAY($A$3,row(A10),Holidays!$B$2:$B998)</f>
        <v>45733</v>
      </c>
      <c r="B13" s="26">
        <f>B12-32+8+2+3</f>
        <v>805</v>
      </c>
      <c r="C13" s="26">
        <f>C12+1-1</f>
        <v>436</v>
      </c>
      <c r="D13" s="17">
        <f t="shared" si="1"/>
        <v>1241</v>
      </c>
      <c r="E13" s="18">
        <v>-19.0</v>
      </c>
      <c r="F13" s="17">
        <f>F12+1</f>
        <v>125</v>
      </c>
      <c r="G13" s="17">
        <f t="shared" si="2"/>
        <v>1366</v>
      </c>
      <c r="H13" s="19">
        <v>-18.0</v>
      </c>
      <c r="I13" s="17">
        <f t="shared" si="5"/>
        <v>164</v>
      </c>
      <c r="J13" s="19">
        <v>0.0</v>
      </c>
      <c r="K13" s="17">
        <f>K12-16+1</f>
        <v>84</v>
      </c>
      <c r="L13" s="19">
        <v>-15.0</v>
      </c>
      <c r="M13" s="17">
        <f>M12-32+4+9+1</f>
        <v>872</v>
      </c>
      <c r="N13" s="19">
        <v>-18.0</v>
      </c>
      <c r="O13" s="17">
        <f t="shared" si="8"/>
        <v>18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WORKDAY($A$3,row(A11),Holidays!$B$2:$B998)</f>
        <v>45734</v>
      </c>
      <c r="B14" s="26">
        <f>B13-2+2-2-12-3+1</f>
        <v>789</v>
      </c>
      <c r="C14" s="26">
        <f t="shared" ref="C14:C15" si="9">C13+1</f>
        <v>437</v>
      </c>
      <c r="D14" s="17">
        <f t="shared" si="1"/>
        <v>1226</v>
      </c>
      <c r="E14" s="18">
        <v>-15.0</v>
      </c>
      <c r="F14" s="17">
        <f>F13+2</f>
        <v>127</v>
      </c>
      <c r="G14" s="17">
        <f t="shared" si="2"/>
        <v>1353</v>
      </c>
      <c r="H14" s="19">
        <v>-13.0</v>
      </c>
      <c r="I14" s="17">
        <f t="shared" si="5"/>
        <v>164</v>
      </c>
      <c r="J14" s="19">
        <v>0.0</v>
      </c>
      <c r="K14" s="17">
        <f>K13+1-8</f>
        <v>77</v>
      </c>
      <c r="L14" s="19">
        <v>-7.0</v>
      </c>
      <c r="M14" s="17">
        <f>M13-2+3-15</f>
        <v>858</v>
      </c>
      <c r="N14" s="19">
        <v>-14.0</v>
      </c>
      <c r="O14" s="17">
        <f t="shared" si="8"/>
        <v>18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WORKDAY($A$3,row(A12),Holidays!$B$2:$B998)</f>
        <v>45735</v>
      </c>
      <c r="B15" s="26">
        <f>B14-19-1-2-1+1</f>
        <v>767</v>
      </c>
      <c r="C15" s="26">
        <f t="shared" si="9"/>
        <v>438</v>
      </c>
      <c r="D15" s="17">
        <f t="shared" si="1"/>
        <v>1205</v>
      </c>
      <c r="E15" s="18">
        <v>-21.0</v>
      </c>
      <c r="F15" s="17">
        <f>F14-1-1-1+1+2+1</f>
        <v>128</v>
      </c>
      <c r="G15" s="17">
        <f t="shared" si="2"/>
        <v>1333</v>
      </c>
      <c r="H15" s="19">
        <v>-20.0</v>
      </c>
      <c r="I15" s="17">
        <f t="shared" si="5"/>
        <v>164</v>
      </c>
      <c r="J15" s="19">
        <v>0.0</v>
      </c>
      <c r="K15" s="17">
        <f>K14-10</f>
        <v>67</v>
      </c>
      <c r="L15" s="19">
        <v>-10.0</v>
      </c>
      <c r="M15" s="17">
        <f>M14+1-19</f>
        <v>840</v>
      </c>
      <c r="N15" s="19">
        <v>-18.0</v>
      </c>
      <c r="O15" s="17">
        <f t="shared" si="8"/>
        <v>18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WORKDAY($A$3,row(A13),Holidays!$B$2:$B998)</f>
        <v>45736</v>
      </c>
      <c r="B16" s="26">
        <f>B15-15+4-1</f>
        <v>755</v>
      </c>
      <c r="C16" s="26">
        <f t="shared" ref="C16:C17" si="10">C15</f>
        <v>438</v>
      </c>
      <c r="D16" s="17">
        <f t="shared" si="1"/>
        <v>1193</v>
      </c>
      <c r="E16" s="18">
        <v>-12.0</v>
      </c>
      <c r="F16" s="17">
        <f>F15-3</f>
        <v>125</v>
      </c>
      <c r="G16" s="17">
        <f t="shared" si="2"/>
        <v>1318</v>
      </c>
      <c r="H16" s="19">
        <v>-15.0</v>
      </c>
      <c r="I16" s="17">
        <f t="shared" si="5"/>
        <v>164</v>
      </c>
      <c r="J16" s="19">
        <v>0.0</v>
      </c>
      <c r="K16" s="17">
        <f>K15-8+1</f>
        <v>60</v>
      </c>
      <c r="L16" s="19">
        <v>-7.0</v>
      </c>
      <c r="M16" s="17">
        <f>M15-15+1</f>
        <v>826</v>
      </c>
      <c r="N16" s="19">
        <v>-14.0</v>
      </c>
      <c r="O16" s="17">
        <f t="shared" si="8"/>
        <v>18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WORKDAY($A$3,row(A14),Holidays!$B$2:$B998)</f>
        <v>45737</v>
      </c>
      <c r="B17" s="26">
        <f>B16-19+1-1</f>
        <v>736</v>
      </c>
      <c r="C17" s="26">
        <f t="shared" si="10"/>
        <v>438</v>
      </c>
      <c r="D17" s="17">
        <f t="shared" si="1"/>
        <v>1174</v>
      </c>
      <c r="E17" s="18">
        <v>-19.0</v>
      </c>
      <c r="F17" s="17">
        <f>F16+1</f>
        <v>126</v>
      </c>
      <c r="G17" s="17">
        <f t="shared" si="2"/>
        <v>1300</v>
      </c>
      <c r="H17" s="19">
        <v>-18.0</v>
      </c>
      <c r="I17" s="17">
        <f t="shared" si="5"/>
        <v>164</v>
      </c>
      <c r="J17" s="19">
        <v>0.0</v>
      </c>
      <c r="K17" s="17">
        <f>K16-10</f>
        <v>50</v>
      </c>
      <c r="L17" s="19">
        <v>-10.0</v>
      </c>
      <c r="M17" s="17">
        <f>M16-19-1+1</f>
        <v>807</v>
      </c>
      <c r="N17" s="19">
        <v>-19.0</v>
      </c>
      <c r="O17" s="17">
        <f t="shared" si="8"/>
        <v>18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WORKDAY($A$3,row(A15),Holidays!$B$2:$B998)</f>
        <v>45740</v>
      </c>
      <c r="B18" s="26">
        <f>B17-4-18-3+7+1</f>
        <v>719</v>
      </c>
      <c r="C18" s="26">
        <f>C17+3-2-1-1-2-2</f>
        <v>433</v>
      </c>
      <c r="D18" s="17">
        <f t="shared" si="1"/>
        <v>1152</v>
      </c>
      <c r="E18" s="18">
        <v>-22.0</v>
      </c>
      <c r="F18" s="17">
        <f t="shared" ref="F18:F22" si="11">F17</f>
        <v>126</v>
      </c>
      <c r="G18" s="17">
        <f t="shared" si="2"/>
        <v>1278</v>
      </c>
      <c r="H18" s="19">
        <v>-22.0</v>
      </c>
      <c r="I18" s="17">
        <f t="shared" si="5"/>
        <v>164</v>
      </c>
      <c r="J18" s="19">
        <v>0.0</v>
      </c>
      <c r="K18" s="17">
        <f>K17-11-1</f>
        <v>38</v>
      </c>
      <c r="L18" s="19">
        <v>-12.0</v>
      </c>
      <c r="M18" s="17">
        <f>M17+4-22</f>
        <v>789</v>
      </c>
      <c r="N18" s="19">
        <v>-18.0</v>
      </c>
      <c r="O18" s="17">
        <f t="shared" si="8"/>
        <v>18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WORKDAY($A$3,row(A16),Holidays!$B$2:$B998)</f>
        <v>45741</v>
      </c>
      <c r="B19" s="26">
        <f>B18-32+1+1+2-2</f>
        <v>689</v>
      </c>
      <c r="C19" s="26">
        <f>C18-1-1+2-2+1</f>
        <v>432</v>
      </c>
      <c r="D19" s="17">
        <f t="shared" si="1"/>
        <v>1121</v>
      </c>
      <c r="E19" s="18">
        <v>-31.0</v>
      </c>
      <c r="F19" s="17">
        <f t="shared" si="11"/>
        <v>126</v>
      </c>
      <c r="G19" s="17">
        <f t="shared" si="2"/>
        <v>1247</v>
      </c>
      <c r="H19" s="19">
        <v>-31.0</v>
      </c>
      <c r="I19" s="17">
        <f t="shared" si="5"/>
        <v>164</v>
      </c>
      <c r="J19" s="19">
        <v>0.0</v>
      </c>
      <c r="K19" s="17">
        <f>K18-13</f>
        <v>25</v>
      </c>
      <c r="L19" s="19">
        <v>-13.0</v>
      </c>
      <c r="M19" s="17">
        <f>M18-26-3+3</f>
        <v>763</v>
      </c>
      <c r="N19" s="19">
        <v>-26.0</v>
      </c>
      <c r="O19" s="17">
        <f t="shared" si="8"/>
        <v>18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WORKDAY($A$3,row(A17),Holidays!$B$2:$B998)</f>
        <v>45742</v>
      </c>
      <c r="B20" s="26">
        <f>B19-36-2</f>
        <v>651</v>
      </c>
      <c r="C20" s="26">
        <f>C19-1+1-1+1-1-1</f>
        <v>430</v>
      </c>
      <c r="D20" s="17">
        <f t="shared" si="1"/>
        <v>1081</v>
      </c>
      <c r="E20" s="18">
        <v>-40.0</v>
      </c>
      <c r="F20" s="17">
        <f t="shared" si="11"/>
        <v>126</v>
      </c>
      <c r="G20" s="17">
        <f t="shared" si="2"/>
        <v>1207</v>
      </c>
      <c r="H20" s="19">
        <v>-40.0</v>
      </c>
      <c r="I20" s="17">
        <f t="shared" si="5"/>
        <v>164</v>
      </c>
      <c r="J20" s="19">
        <v>0.0</v>
      </c>
      <c r="K20" s="27">
        <f>0</f>
        <v>0</v>
      </c>
      <c r="L20" s="19">
        <v>-25.0</v>
      </c>
      <c r="M20" s="17">
        <f>M19-36</f>
        <v>727</v>
      </c>
      <c r="N20" s="19">
        <v>-36.0</v>
      </c>
      <c r="O20" s="17">
        <f t="shared" si="8"/>
        <v>18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WORKDAY($A$3,row(A18),Holidays!$B$2:$B998)</f>
        <v>45743</v>
      </c>
      <c r="B21" s="26">
        <f>B20-28+1+2-2+1</f>
        <v>625</v>
      </c>
      <c r="C21" s="26">
        <f>C20-1-2-1+2-2</f>
        <v>426</v>
      </c>
      <c r="D21" s="17">
        <f t="shared" si="1"/>
        <v>1051</v>
      </c>
      <c r="E21" s="18">
        <v>-30.0</v>
      </c>
      <c r="F21" s="17">
        <f t="shared" si="11"/>
        <v>126</v>
      </c>
      <c r="G21" s="17">
        <f t="shared" si="2"/>
        <v>1177</v>
      </c>
      <c r="H21" s="19">
        <v>-30.0</v>
      </c>
      <c r="I21" s="17">
        <f t="shared" si="5"/>
        <v>164</v>
      </c>
      <c r="J21" s="19">
        <v>0.0</v>
      </c>
      <c r="K21" s="28">
        <f t="shared" ref="K21:K22" si="12">K20</f>
        <v>0</v>
      </c>
      <c r="L21" s="19">
        <v>0.0</v>
      </c>
      <c r="M21" s="17">
        <f>M20+3-28+1</f>
        <v>703</v>
      </c>
      <c r="N21" s="19">
        <v>-24.0</v>
      </c>
      <c r="O21" s="17">
        <f t="shared" si="8"/>
        <v>18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WORKDAY($A$3,row(A19),Holidays!$B$2:$B998)</f>
        <v>45744</v>
      </c>
      <c r="B22" s="26">
        <f>B21-31</f>
        <v>594</v>
      </c>
      <c r="C22" s="26">
        <f>C21-1-2-2</f>
        <v>421</v>
      </c>
      <c r="D22" s="17">
        <f t="shared" si="1"/>
        <v>1015</v>
      </c>
      <c r="E22" s="18">
        <v>-36.0</v>
      </c>
      <c r="F22" s="17">
        <f t="shared" si="11"/>
        <v>126</v>
      </c>
      <c r="G22" s="17">
        <f t="shared" si="2"/>
        <v>1141</v>
      </c>
      <c r="H22" s="19">
        <v>-36.0</v>
      </c>
      <c r="I22" s="17">
        <f t="shared" si="5"/>
        <v>164</v>
      </c>
      <c r="J22" s="19">
        <v>0.0</v>
      </c>
      <c r="K22" s="28">
        <f t="shared" si="12"/>
        <v>0</v>
      </c>
      <c r="L22" s="19">
        <v>0.0</v>
      </c>
      <c r="M22" s="17">
        <f>M21-31</f>
        <v>672</v>
      </c>
      <c r="N22" s="19">
        <v>-31.0</v>
      </c>
      <c r="O22" s="17">
        <f t="shared" si="8"/>
        <v>18</v>
      </c>
      <c r="P22" s="19">
        <v>0.0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2"/>
      <c r="B23" s="23"/>
      <c r="C23" s="23"/>
      <c r="D23" s="23"/>
      <c r="E23" s="24"/>
      <c r="F23" s="23"/>
      <c r="G23" s="23"/>
      <c r="H23" s="25"/>
      <c r="I23" s="23"/>
      <c r="J23" s="25"/>
      <c r="K23" s="23"/>
      <c r="L23" s="25"/>
      <c r="M23" s="23"/>
      <c r="N23" s="25"/>
      <c r="O23" s="23"/>
      <c r="P23" s="25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4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4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4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4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4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4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4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4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4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4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4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4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4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4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4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4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4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4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4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4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4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4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4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4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4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4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4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4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4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4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4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4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4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4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4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4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4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4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4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4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4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4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4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4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4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4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4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4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4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4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4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4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4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4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4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4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4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4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4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4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4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4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4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4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4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4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4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4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4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4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4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4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4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4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4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4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4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4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4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4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4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4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4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4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4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4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4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4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4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4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4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4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4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4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4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4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4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4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4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4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4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4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4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4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4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4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4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4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4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4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4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4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4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4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4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4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4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4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4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4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4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4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4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4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4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4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4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4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4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4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4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4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4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4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4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4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4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4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4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4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4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4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4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4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4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4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4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4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4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4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4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4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4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4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4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4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4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4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4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4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4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4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4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4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4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4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4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4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4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4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4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4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4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4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4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4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4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4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4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4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4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4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4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4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4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4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4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4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4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4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4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4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4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4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4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4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4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4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4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4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4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4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4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4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4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4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4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4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4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4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4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4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4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4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4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4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4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4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4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4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4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4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4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4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4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4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4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4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4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4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4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4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4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4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4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4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4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4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4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4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4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4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4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4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4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4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4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4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4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4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4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4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4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4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4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4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4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4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4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4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4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4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4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4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4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4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4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4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4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4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4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4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4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4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4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4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4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4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4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4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4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4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4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4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4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4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4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4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4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4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4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4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4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4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4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4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4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4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4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4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4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4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4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4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4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4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4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4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4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4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4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4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4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4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4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4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4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4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4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4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4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4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4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4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4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4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4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4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4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4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4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4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4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4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4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4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4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4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4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4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4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4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4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4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4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4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4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4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4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4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4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4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4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4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4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4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4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4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4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4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4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4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4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4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4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4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4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4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4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4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4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4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4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4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4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4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4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4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4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4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4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4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4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4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4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4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4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4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4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4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4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4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4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4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4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4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4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4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4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4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4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4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4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4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4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4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4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4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4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4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4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4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4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4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4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4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4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4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4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4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4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4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4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4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4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4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4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4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4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4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4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4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4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4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4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4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4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4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4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4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4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4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4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4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4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4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4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4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4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4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4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4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4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4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4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4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4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4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4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4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4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4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4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4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4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4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4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4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4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4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4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4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4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4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4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4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4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4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4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4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4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4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4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4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4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4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4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4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4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4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4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4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4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4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4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4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4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4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4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4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4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4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4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4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4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4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4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4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4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4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4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4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4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4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4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4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4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4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4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4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4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4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4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4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4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4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4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4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4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4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4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4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4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4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4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4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4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4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4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4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4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4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4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4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4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4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4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4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4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4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4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4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4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4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4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4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4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4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4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4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4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4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4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4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4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4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4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4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4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4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4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4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4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4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4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4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4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4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4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4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4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4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4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4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4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4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4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4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4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4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4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4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4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4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4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4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4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4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4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4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4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4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4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4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4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4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4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4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4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4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4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4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4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4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4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4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4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4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4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4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4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4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4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4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4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4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4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4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4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4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4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4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4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4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4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4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4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4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4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4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4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4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4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4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4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4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4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4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4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4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4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4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4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4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4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4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4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4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4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4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4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4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4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4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4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4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4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4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4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4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4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4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4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4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4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4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4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4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4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4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4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4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4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4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4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4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4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4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4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4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4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4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4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4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4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4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4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4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4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4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4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4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4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4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4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4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4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4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4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4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4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4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4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4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4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4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4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4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4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4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4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4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4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4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4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4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4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4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4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4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4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4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4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4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4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4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4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4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4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4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4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4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4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4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4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4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4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4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4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4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4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4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4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4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4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4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4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4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4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4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4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4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4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4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4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4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4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4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4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4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4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4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4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4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4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4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4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4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4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4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4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4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4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4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4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4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4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4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4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4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4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4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4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4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4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4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4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4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4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4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4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4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4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4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4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4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4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4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4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4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4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4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4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4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4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4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4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4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4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4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4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4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4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4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4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4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4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4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4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4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4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4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4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4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4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4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4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4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4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4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4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4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4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4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4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4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4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4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4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4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4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4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4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4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4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4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4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4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4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4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4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4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4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4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4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4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4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4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4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4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4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4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4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4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4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4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4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4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4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4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4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4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4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4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4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4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4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4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4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4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4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4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4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4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4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4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4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4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4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4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4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4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4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4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4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4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4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4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4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4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4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4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4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4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4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4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4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4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4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4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4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4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4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4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4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4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4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4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4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4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4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4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4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4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4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4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4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4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4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4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4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4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4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4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4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4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4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4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4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4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4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4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4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4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4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4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4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4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4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4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4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4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4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4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4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4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4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4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4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4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4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4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4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2"/>
      <c r="B997" s="23"/>
      <c r="C997" s="23"/>
      <c r="D997" s="23"/>
      <c r="E997" s="24"/>
      <c r="F997" s="23"/>
      <c r="G997" s="23"/>
      <c r="H997" s="25"/>
      <c r="I997" s="23"/>
      <c r="J997" s="25"/>
      <c r="K997" s="23"/>
      <c r="L997" s="25"/>
      <c r="M997" s="23"/>
      <c r="N997" s="25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22"/>
      <c r="B998" s="23"/>
      <c r="C998" s="23"/>
      <c r="D998" s="23"/>
      <c r="E998" s="24"/>
      <c r="F998" s="23"/>
      <c r="G998" s="23"/>
      <c r="H998" s="25"/>
      <c r="I998" s="23"/>
      <c r="J998" s="25"/>
      <c r="K998" s="23"/>
      <c r="L998" s="25"/>
      <c r="M998" s="23"/>
      <c r="N998" s="25"/>
      <c r="O998" s="23"/>
      <c r="P998" s="25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</sheetData>
  <mergeCells count="2">
    <mergeCell ref="B1:J1"/>
    <mergeCell ref="K1:P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45778.0</v>
      </c>
      <c r="B3" s="29">
        <f>131+41+253</f>
        <v>425</v>
      </c>
      <c r="C3" s="29">
        <f>286+16</f>
        <v>302</v>
      </c>
      <c r="D3" s="28">
        <f t="shared" ref="D3:D23" si="1">SUM(B3:C3)</f>
        <v>727</v>
      </c>
      <c r="E3" s="30"/>
      <c r="F3" s="31">
        <v>126.0</v>
      </c>
      <c r="G3" s="28">
        <f t="shared" ref="G3:G23" si="2">SUM(D3,F3)</f>
        <v>853</v>
      </c>
      <c r="H3" s="30"/>
      <c r="I3" s="31">
        <v>169.0</v>
      </c>
      <c r="J3" s="30"/>
      <c r="K3" s="31">
        <v>1.0</v>
      </c>
      <c r="L3" s="30"/>
      <c r="M3" s="28">
        <f>M4+13</f>
        <v>472</v>
      </c>
      <c r="N3" s="30"/>
      <c r="O3" s="31">
        <v>28.0</v>
      </c>
      <c r="P3" s="30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WORKDAY($A$3,row(A1),Holidays!$B$2:$B998)</f>
        <v>45779</v>
      </c>
      <c r="B4" s="29">
        <f>B3-3-10</f>
        <v>412</v>
      </c>
      <c r="C4" s="29">
        <f>C3</f>
        <v>302</v>
      </c>
      <c r="D4" s="28">
        <f t="shared" si="1"/>
        <v>714</v>
      </c>
      <c r="E4" s="18">
        <f t="array" ref="E4:E23">D4:D23-D3:D22</f>
        <v>-13</v>
      </c>
      <c r="F4" s="28">
        <f t="shared" ref="F4:F23" si="3">F3</f>
        <v>126</v>
      </c>
      <c r="G4" s="28">
        <f t="shared" si="2"/>
        <v>840</v>
      </c>
      <c r="H4" s="18">
        <f t="array" ref="H4:H23">G4:G23-G3:G22</f>
        <v>-13</v>
      </c>
      <c r="I4" s="28">
        <f t="shared" ref="I4:I15" si="4">I3</f>
        <v>169</v>
      </c>
      <c r="J4" s="18">
        <f t="array" ref="J4:J23">I4:I23-I3:I22</f>
        <v>0</v>
      </c>
      <c r="K4" s="31">
        <v>0.0</v>
      </c>
      <c r="L4" s="18">
        <f t="array" ref="L4:L23">K4:K23-K3:K22</f>
        <v>-1</v>
      </c>
      <c r="M4" s="31">
        <v>459.0</v>
      </c>
      <c r="N4" s="18">
        <f t="array" ref="N4:N23">M4:M23-M3:M22</f>
        <v>-13</v>
      </c>
      <c r="O4" s="28">
        <f t="shared" ref="O4:O23" si="5">O3</f>
        <v>28</v>
      </c>
      <c r="P4" s="18">
        <f t="array" ref="P4:P23">O4:O23-O3:O22</f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WORKDAY($A$3,row(A2),Holidays!$B$2:$B998)</f>
        <v>45782</v>
      </c>
      <c r="B5" s="29">
        <f>B4+2-14-1+1</f>
        <v>400</v>
      </c>
      <c r="C5" s="29">
        <f>C4-1-2+1-1</f>
        <v>299</v>
      </c>
      <c r="D5" s="28">
        <f t="shared" si="1"/>
        <v>699</v>
      </c>
      <c r="E5" s="18">
        <v>-15.0</v>
      </c>
      <c r="F5" s="28">
        <f t="shared" si="3"/>
        <v>126</v>
      </c>
      <c r="G5" s="28">
        <f t="shared" si="2"/>
        <v>825</v>
      </c>
      <c r="H5" s="19">
        <v>-15.0</v>
      </c>
      <c r="I5" s="28">
        <f t="shared" si="4"/>
        <v>169</v>
      </c>
      <c r="J5" s="19">
        <v>0.0</v>
      </c>
      <c r="K5" s="28">
        <f t="shared" ref="K5:K7" si="6">K4</f>
        <v>0</v>
      </c>
      <c r="L5" s="19">
        <v>0.0</v>
      </c>
      <c r="M5" s="28">
        <f>M4-14+2</f>
        <v>447</v>
      </c>
      <c r="N5" s="19">
        <v>-12.0</v>
      </c>
      <c r="O5" s="28">
        <f t="shared" si="5"/>
        <v>28</v>
      </c>
      <c r="P5" s="19">
        <v>0.0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WORKDAY($A$3,row(A3),Holidays!$B$2:$B998)</f>
        <v>45783</v>
      </c>
      <c r="B6" s="29">
        <f>B5+3-21</f>
        <v>382</v>
      </c>
      <c r="C6" s="29">
        <f>C5-9</f>
        <v>290</v>
      </c>
      <c r="D6" s="28">
        <f t="shared" si="1"/>
        <v>672</v>
      </c>
      <c r="E6" s="18">
        <v>-27.0</v>
      </c>
      <c r="F6" s="28">
        <f t="shared" si="3"/>
        <v>126</v>
      </c>
      <c r="G6" s="28">
        <f t="shared" si="2"/>
        <v>798</v>
      </c>
      <c r="H6" s="19">
        <v>-27.0</v>
      </c>
      <c r="I6" s="28">
        <f t="shared" si="4"/>
        <v>169</v>
      </c>
      <c r="J6" s="19">
        <v>0.0</v>
      </c>
      <c r="K6" s="28">
        <f t="shared" si="6"/>
        <v>0</v>
      </c>
      <c r="L6" s="19">
        <v>0.0</v>
      </c>
      <c r="M6" s="28">
        <f>M5+3-21</f>
        <v>429</v>
      </c>
      <c r="N6" s="19">
        <v>-18.0</v>
      </c>
      <c r="O6" s="28">
        <f t="shared" si="5"/>
        <v>28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WORKDAY($A$3,row(A4),Holidays!$B$2:$B998)</f>
        <v>45784</v>
      </c>
      <c r="B7" s="29">
        <f>B6-18</f>
        <v>364</v>
      </c>
      <c r="C7" s="29">
        <f>C6-12</f>
        <v>278</v>
      </c>
      <c r="D7" s="28">
        <f t="shared" si="1"/>
        <v>642</v>
      </c>
      <c r="E7" s="18">
        <v>-30.0</v>
      </c>
      <c r="F7" s="28">
        <f t="shared" si="3"/>
        <v>126</v>
      </c>
      <c r="G7" s="28">
        <f t="shared" si="2"/>
        <v>768</v>
      </c>
      <c r="H7" s="19">
        <v>-30.0</v>
      </c>
      <c r="I7" s="28">
        <f t="shared" si="4"/>
        <v>169</v>
      </c>
      <c r="J7" s="19">
        <v>0.0</v>
      </c>
      <c r="K7" s="28">
        <f t="shared" si="6"/>
        <v>0</v>
      </c>
      <c r="L7" s="19">
        <v>0.0</v>
      </c>
      <c r="M7" s="28">
        <f>M6-18</f>
        <v>411</v>
      </c>
      <c r="N7" s="19">
        <v>-18.0</v>
      </c>
      <c r="O7" s="28">
        <f t="shared" si="5"/>
        <v>28</v>
      </c>
      <c r="P7" s="19">
        <v>0.0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WORKDAY($A$3,row(A5),Holidays!$B$2:$B998)</f>
        <v>45785</v>
      </c>
      <c r="B8" s="29">
        <f>B7+1+1-4</f>
        <v>362</v>
      </c>
      <c r="C8" s="29">
        <f>C7-11</f>
        <v>267</v>
      </c>
      <c r="D8" s="28">
        <f t="shared" si="1"/>
        <v>629</v>
      </c>
      <c r="E8" s="18">
        <v>-13.0</v>
      </c>
      <c r="F8" s="28">
        <f t="shared" si="3"/>
        <v>126</v>
      </c>
      <c r="G8" s="28">
        <f t="shared" si="2"/>
        <v>755</v>
      </c>
      <c r="H8" s="19">
        <v>-13.0</v>
      </c>
      <c r="I8" s="28">
        <f t="shared" si="4"/>
        <v>169</v>
      </c>
      <c r="J8" s="19">
        <v>0.0</v>
      </c>
      <c r="K8" s="28">
        <f>K7+1-1</f>
        <v>0</v>
      </c>
      <c r="L8" s="19">
        <v>0.0</v>
      </c>
      <c r="M8" s="28">
        <f>M7+1-4</f>
        <v>408</v>
      </c>
      <c r="N8" s="19">
        <v>-3.0</v>
      </c>
      <c r="O8" s="28">
        <f t="shared" si="5"/>
        <v>28</v>
      </c>
      <c r="P8" s="19">
        <v>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WORKDAY($A$3,row(A6),Holidays!$B$2:$B998)</f>
        <v>45786</v>
      </c>
      <c r="B9" s="29">
        <f>B8-1+1</f>
        <v>362</v>
      </c>
      <c r="C9" s="29">
        <f>C8+1</f>
        <v>268</v>
      </c>
      <c r="D9" s="28">
        <f t="shared" si="1"/>
        <v>630</v>
      </c>
      <c r="E9" s="18">
        <v>1.0</v>
      </c>
      <c r="F9" s="28">
        <f t="shared" si="3"/>
        <v>126</v>
      </c>
      <c r="G9" s="28">
        <f t="shared" si="2"/>
        <v>756</v>
      </c>
      <c r="H9" s="19">
        <v>1.0</v>
      </c>
      <c r="I9" s="31">
        <f t="shared" si="4"/>
        <v>169</v>
      </c>
      <c r="J9" s="19">
        <v>0.0</v>
      </c>
      <c r="K9" s="28">
        <f>K8</f>
        <v>0</v>
      </c>
      <c r="L9" s="19">
        <v>0.0</v>
      </c>
      <c r="M9" s="28">
        <f>M8+1-1</f>
        <v>408</v>
      </c>
      <c r="N9" s="19">
        <v>0.0</v>
      </c>
      <c r="O9" s="28">
        <f t="shared" si="5"/>
        <v>28</v>
      </c>
      <c r="P9" s="19">
        <v>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WORKDAY($A$3,row(A7),Holidays!$B$2:$B998)</f>
        <v>45789</v>
      </c>
      <c r="B10" s="29">
        <f>B9+1-7</f>
        <v>356</v>
      </c>
      <c r="C10" s="29">
        <f>C9-19</f>
        <v>249</v>
      </c>
      <c r="D10" s="28">
        <f t="shared" si="1"/>
        <v>605</v>
      </c>
      <c r="E10" s="18">
        <v>-25.0</v>
      </c>
      <c r="F10" s="28">
        <f t="shared" si="3"/>
        <v>126</v>
      </c>
      <c r="G10" s="28">
        <f t="shared" si="2"/>
        <v>731</v>
      </c>
      <c r="H10" s="19">
        <v>-25.0</v>
      </c>
      <c r="I10" s="28">
        <f t="shared" si="4"/>
        <v>169</v>
      </c>
      <c r="J10" s="19">
        <v>0.0</v>
      </c>
      <c r="K10" s="28">
        <f t="shared" ref="K10:K12" si="7">K9+1-1</f>
        <v>0</v>
      </c>
      <c r="L10" s="19">
        <v>0.0</v>
      </c>
      <c r="M10" s="28">
        <f>M9-7+1</f>
        <v>402</v>
      </c>
      <c r="N10" s="19">
        <v>-6.0</v>
      </c>
      <c r="O10" s="28">
        <f t="shared" si="5"/>
        <v>28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WORKDAY($A$3,row(A8),Holidays!$B$2:$B998)</f>
        <v>45790</v>
      </c>
      <c r="B11" s="29">
        <f>B10+3+1-6</f>
        <v>354</v>
      </c>
      <c r="C11" s="29">
        <f>C10-1-3-1-3-1-1-3-1-10</f>
        <v>225</v>
      </c>
      <c r="D11" s="28">
        <f t="shared" si="1"/>
        <v>579</v>
      </c>
      <c r="E11" s="18">
        <v>-26.0</v>
      </c>
      <c r="F11" s="28">
        <f t="shared" si="3"/>
        <v>126</v>
      </c>
      <c r="G11" s="28">
        <f t="shared" si="2"/>
        <v>705</v>
      </c>
      <c r="H11" s="19">
        <v>-26.0</v>
      </c>
      <c r="I11" s="28">
        <f t="shared" si="4"/>
        <v>169</v>
      </c>
      <c r="J11" s="19">
        <v>0.0</v>
      </c>
      <c r="K11" s="28">
        <f t="shared" si="7"/>
        <v>0</v>
      </c>
      <c r="L11" s="19">
        <v>0.0</v>
      </c>
      <c r="M11" s="28">
        <f>M10+2-6</f>
        <v>398</v>
      </c>
      <c r="N11" s="19">
        <v>-4.0</v>
      </c>
      <c r="O11" s="28">
        <f t="shared" si="5"/>
        <v>28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WORKDAY($A$3,row(A9),Holidays!$B$2:$B998)</f>
        <v>45791</v>
      </c>
      <c r="B12" s="29">
        <f>B11-8</f>
        <v>346</v>
      </c>
      <c r="C12" s="29">
        <f>C11-17</f>
        <v>208</v>
      </c>
      <c r="D12" s="28">
        <f t="shared" si="1"/>
        <v>554</v>
      </c>
      <c r="E12" s="18">
        <v>-25.0</v>
      </c>
      <c r="F12" s="28">
        <f t="shared" si="3"/>
        <v>126</v>
      </c>
      <c r="G12" s="28">
        <f t="shared" si="2"/>
        <v>680</v>
      </c>
      <c r="H12" s="19">
        <v>-25.0</v>
      </c>
      <c r="I12" s="28">
        <f t="shared" si="4"/>
        <v>169</v>
      </c>
      <c r="J12" s="19">
        <v>0.0</v>
      </c>
      <c r="K12" s="28">
        <f t="shared" si="7"/>
        <v>0</v>
      </c>
      <c r="L12" s="19">
        <v>0.0</v>
      </c>
      <c r="M12" s="28">
        <f>M11-8</f>
        <v>390</v>
      </c>
      <c r="N12" s="19">
        <v>-8.0</v>
      </c>
      <c r="O12" s="28">
        <f t="shared" si="5"/>
        <v>28</v>
      </c>
      <c r="P12" s="19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WORKDAY($A$3,row(A10),Holidays!$B$2:$B998)</f>
        <v>45792</v>
      </c>
      <c r="B13" s="29">
        <f>B12-2-6+2</f>
        <v>340</v>
      </c>
      <c r="C13" s="29">
        <f>C12-14+2+1</f>
        <v>197</v>
      </c>
      <c r="D13" s="28">
        <f t="shared" si="1"/>
        <v>537</v>
      </c>
      <c r="E13" s="18">
        <v>-17.0</v>
      </c>
      <c r="F13" s="28">
        <f t="shared" si="3"/>
        <v>126</v>
      </c>
      <c r="G13" s="28">
        <f t="shared" si="2"/>
        <v>663</v>
      </c>
      <c r="H13" s="19">
        <v>-17.0</v>
      </c>
      <c r="I13" s="28">
        <f t="shared" si="4"/>
        <v>169</v>
      </c>
      <c r="J13" s="19">
        <v>0.0</v>
      </c>
      <c r="K13" s="28">
        <f t="shared" ref="K13:K14" si="9">K12</f>
        <v>0</v>
      </c>
      <c r="L13" s="19">
        <v>0.0</v>
      </c>
      <c r="M13" s="28">
        <f>M12+2-8</f>
        <v>384</v>
      </c>
      <c r="N13" s="19">
        <v>-6.0</v>
      </c>
      <c r="O13" s="28">
        <f t="shared" si="5"/>
        <v>28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WORKDAY($A$3,row(A11),Holidays!$B$2:$B998)</f>
        <v>45793</v>
      </c>
      <c r="B14" s="29">
        <f t="shared" ref="B14:C14" si="8">B13-3</f>
        <v>337</v>
      </c>
      <c r="C14" s="29">
        <f t="shared" si="8"/>
        <v>194</v>
      </c>
      <c r="D14" s="28">
        <f t="shared" si="1"/>
        <v>531</v>
      </c>
      <c r="E14" s="18">
        <v>-6.0</v>
      </c>
      <c r="F14" s="28">
        <f t="shared" si="3"/>
        <v>126</v>
      </c>
      <c r="G14" s="28">
        <f t="shared" si="2"/>
        <v>657</v>
      </c>
      <c r="H14" s="19">
        <v>-6.0</v>
      </c>
      <c r="I14" s="28">
        <f t="shared" si="4"/>
        <v>169</v>
      </c>
      <c r="J14" s="19">
        <v>0.0</v>
      </c>
      <c r="K14" s="28">
        <f t="shared" si="9"/>
        <v>0</v>
      </c>
      <c r="L14" s="19">
        <v>0.0</v>
      </c>
      <c r="M14" s="28">
        <f>M13-3</f>
        <v>381</v>
      </c>
      <c r="N14" s="19">
        <v>-3.0</v>
      </c>
      <c r="O14" s="28">
        <f t="shared" si="5"/>
        <v>28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WORKDAY($A$3,row(A12),Holidays!$B$2:$B998)</f>
        <v>45796</v>
      </c>
      <c r="B15" s="29">
        <f>B14-6+1+1</f>
        <v>333</v>
      </c>
      <c r="C15" s="29">
        <f>C14-1-1-1-3-3-2-3-3-2</f>
        <v>175</v>
      </c>
      <c r="D15" s="28">
        <f t="shared" si="1"/>
        <v>508</v>
      </c>
      <c r="E15" s="18">
        <v>-23.0</v>
      </c>
      <c r="F15" s="28">
        <f t="shared" si="3"/>
        <v>126</v>
      </c>
      <c r="G15" s="28">
        <f t="shared" si="2"/>
        <v>634</v>
      </c>
      <c r="H15" s="19">
        <v>-23.0</v>
      </c>
      <c r="I15" s="28">
        <f t="shared" si="4"/>
        <v>169</v>
      </c>
      <c r="J15" s="19">
        <v>0.0</v>
      </c>
      <c r="K15" s="28">
        <f>K14+1-1</f>
        <v>0</v>
      </c>
      <c r="L15" s="19">
        <v>0.0</v>
      </c>
      <c r="M15" s="28">
        <f>M14-6+1</f>
        <v>376</v>
      </c>
      <c r="N15" s="19">
        <v>-5.0</v>
      </c>
      <c r="O15" s="28">
        <f t="shared" si="5"/>
        <v>28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WORKDAY($A$3,row(A13),Holidays!$B$2:$B998)</f>
        <v>45797</v>
      </c>
      <c r="B16" s="29">
        <f>B15-6+1</f>
        <v>328</v>
      </c>
      <c r="C16" s="29">
        <f>C15-2-1-3-1-1-1-1-1</f>
        <v>164</v>
      </c>
      <c r="D16" s="28">
        <f t="shared" si="1"/>
        <v>492</v>
      </c>
      <c r="E16" s="18">
        <v>-16.0</v>
      </c>
      <c r="F16" s="28">
        <f t="shared" si="3"/>
        <v>126</v>
      </c>
      <c r="G16" s="28">
        <f t="shared" si="2"/>
        <v>618</v>
      </c>
      <c r="H16" s="19">
        <v>-16.0</v>
      </c>
      <c r="I16" s="28">
        <f>I15+1</f>
        <v>170</v>
      </c>
      <c r="J16" s="19">
        <v>1.0</v>
      </c>
      <c r="K16" s="28">
        <f>K15</f>
        <v>0</v>
      </c>
      <c r="L16" s="19">
        <v>0.0</v>
      </c>
      <c r="M16" s="28">
        <f>M15+1-6</f>
        <v>371</v>
      </c>
      <c r="N16" s="19">
        <v>-5.0</v>
      </c>
      <c r="O16" s="28">
        <f t="shared" si="5"/>
        <v>28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WORKDAY($A$3,row(A14),Holidays!$B$2:$B998)</f>
        <v>45798</v>
      </c>
      <c r="B17" s="29">
        <f>B16-8+3</f>
        <v>323</v>
      </c>
      <c r="C17" s="29">
        <f>C16-3-2-2-2-3-1-3-1-3</f>
        <v>144</v>
      </c>
      <c r="D17" s="28">
        <f t="shared" si="1"/>
        <v>467</v>
      </c>
      <c r="E17" s="18">
        <v>-25.0</v>
      </c>
      <c r="F17" s="28">
        <f t="shared" si="3"/>
        <v>126</v>
      </c>
      <c r="G17" s="28">
        <f t="shared" si="2"/>
        <v>593</v>
      </c>
      <c r="H17" s="19">
        <v>-25.0</v>
      </c>
      <c r="I17" s="28">
        <f t="shared" ref="I17:I20" si="10">I16</f>
        <v>170</v>
      </c>
      <c r="J17" s="19">
        <v>0.0</v>
      </c>
      <c r="K17" s="28">
        <f>K16+1-1</f>
        <v>0</v>
      </c>
      <c r="L17" s="19">
        <v>0.0</v>
      </c>
      <c r="M17" s="28">
        <f>M16-8+2</f>
        <v>365</v>
      </c>
      <c r="N17" s="19">
        <v>-6.0</v>
      </c>
      <c r="O17" s="28">
        <f t="shared" si="5"/>
        <v>28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WORKDAY($A$3,row(A15),Holidays!$B$2:$B998)</f>
        <v>45799</v>
      </c>
      <c r="B18" s="29">
        <f>B17</f>
        <v>323</v>
      </c>
      <c r="C18" s="29">
        <f>C17-10</f>
        <v>134</v>
      </c>
      <c r="D18" s="17">
        <f t="shared" si="1"/>
        <v>457</v>
      </c>
      <c r="E18" s="18">
        <v>-10.0</v>
      </c>
      <c r="F18" s="28">
        <f t="shared" si="3"/>
        <v>126</v>
      </c>
      <c r="G18" s="17">
        <f t="shared" si="2"/>
        <v>583</v>
      </c>
      <c r="H18" s="18">
        <v>-10.0</v>
      </c>
      <c r="I18" s="28">
        <f t="shared" si="10"/>
        <v>170</v>
      </c>
      <c r="J18" s="19">
        <v>0.0</v>
      </c>
      <c r="K18" s="28">
        <f t="shared" ref="K18:K20" si="11">K17</f>
        <v>0</v>
      </c>
      <c r="L18" s="19">
        <v>0.0</v>
      </c>
      <c r="M18" s="28">
        <f>M17</f>
        <v>365</v>
      </c>
      <c r="N18" s="19">
        <v>0.0</v>
      </c>
      <c r="O18" s="28">
        <f t="shared" si="5"/>
        <v>28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WORKDAY($A$3,row(A16),Holidays!$B$2:$B998)</f>
        <v>45800</v>
      </c>
      <c r="B19" s="29">
        <f>B18-2-5</f>
        <v>316</v>
      </c>
      <c r="C19" s="29">
        <f>C18-5</f>
        <v>129</v>
      </c>
      <c r="D19" s="17">
        <f t="shared" si="1"/>
        <v>445</v>
      </c>
      <c r="E19" s="18">
        <v>-12.0</v>
      </c>
      <c r="F19" s="28">
        <f t="shared" si="3"/>
        <v>126</v>
      </c>
      <c r="G19" s="17">
        <f t="shared" si="2"/>
        <v>571</v>
      </c>
      <c r="H19" s="18">
        <v>-12.0</v>
      </c>
      <c r="I19" s="28">
        <f t="shared" si="10"/>
        <v>170</v>
      </c>
      <c r="J19" s="19">
        <v>0.0</v>
      </c>
      <c r="K19" s="28">
        <f t="shared" si="11"/>
        <v>0</v>
      </c>
      <c r="L19" s="19">
        <v>0.0</v>
      </c>
      <c r="M19" s="28">
        <f>M18-7</f>
        <v>358</v>
      </c>
      <c r="N19" s="19">
        <v>-7.0</v>
      </c>
      <c r="O19" s="28">
        <f t="shared" si="5"/>
        <v>28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WORKDAY($A$3,row(A17),Holidays!$B$2:$B998)</f>
        <v>45804</v>
      </c>
      <c r="B20" s="29">
        <f>B19-4+1+2</f>
        <v>315</v>
      </c>
      <c r="C20" s="29">
        <f>C19-3</f>
        <v>126</v>
      </c>
      <c r="D20" s="17">
        <f t="shared" si="1"/>
        <v>441</v>
      </c>
      <c r="E20" s="18">
        <v>-4.0</v>
      </c>
      <c r="F20" s="28">
        <f t="shared" si="3"/>
        <v>126</v>
      </c>
      <c r="G20" s="17">
        <f t="shared" si="2"/>
        <v>567</v>
      </c>
      <c r="H20" s="18">
        <v>-4.0</v>
      </c>
      <c r="I20" s="32">
        <f t="shared" si="10"/>
        <v>170</v>
      </c>
      <c r="J20" s="19">
        <v>0.0</v>
      </c>
      <c r="K20" s="32">
        <f t="shared" si="11"/>
        <v>0</v>
      </c>
      <c r="L20" s="19">
        <v>0.0</v>
      </c>
      <c r="M20" s="28">
        <f>M19+3-4</f>
        <v>357</v>
      </c>
      <c r="N20" s="19">
        <v>-1.0</v>
      </c>
      <c r="O20" s="32">
        <f t="shared" si="5"/>
        <v>28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WORKDAY($A$3,row(A18),Holidays!$B$2:$B998)</f>
        <v>45805</v>
      </c>
      <c r="B21" s="29">
        <f>B20-3</f>
        <v>312</v>
      </c>
      <c r="C21" s="29">
        <f>C20-8</f>
        <v>118</v>
      </c>
      <c r="D21" s="17">
        <f t="shared" si="1"/>
        <v>430</v>
      </c>
      <c r="E21" s="18">
        <v>-11.0</v>
      </c>
      <c r="F21" s="28">
        <f t="shared" si="3"/>
        <v>126</v>
      </c>
      <c r="G21" s="17">
        <f t="shared" si="2"/>
        <v>556</v>
      </c>
      <c r="H21" s="18">
        <v>-11.0</v>
      </c>
      <c r="I21" s="32">
        <f>I20-19</f>
        <v>151</v>
      </c>
      <c r="J21" s="19">
        <v>-19.0</v>
      </c>
      <c r="K21" s="32">
        <f>K20+1-1</f>
        <v>0</v>
      </c>
      <c r="L21" s="19">
        <v>0.0</v>
      </c>
      <c r="M21" s="28">
        <f>M20-3</f>
        <v>354</v>
      </c>
      <c r="N21" s="19">
        <v>-3.0</v>
      </c>
      <c r="O21" s="32">
        <f t="shared" si="5"/>
        <v>28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WORKDAY($A$3,row(A19),Holidays!$B$2:$B998)</f>
        <v>45806</v>
      </c>
      <c r="B22" s="29">
        <f>B21-4+6+1</f>
        <v>315</v>
      </c>
      <c r="C22" s="29">
        <f>C21</f>
        <v>118</v>
      </c>
      <c r="D22" s="17">
        <f t="shared" si="1"/>
        <v>433</v>
      </c>
      <c r="E22" s="18">
        <v>3.0</v>
      </c>
      <c r="F22" s="32">
        <f t="shared" si="3"/>
        <v>126</v>
      </c>
      <c r="G22" s="17">
        <f t="shared" si="2"/>
        <v>559</v>
      </c>
      <c r="H22" s="18">
        <v>3.0</v>
      </c>
      <c r="I22" s="32">
        <f>I21-4</f>
        <v>147</v>
      </c>
      <c r="J22" s="19">
        <v>-4.0</v>
      </c>
      <c r="K22" s="32">
        <f>K21</f>
        <v>0</v>
      </c>
      <c r="L22" s="19">
        <v>0.0</v>
      </c>
      <c r="M22" s="32">
        <f>M21-4+7</f>
        <v>357</v>
      </c>
      <c r="N22" s="19">
        <v>3.0</v>
      </c>
      <c r="O22" s="32">
        <f t="shared" si="5"/>
        <v>28</v>
      </c>
      <c r="P22" s="19">
        <v>0.0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0">
        <f>WORKDAY($A$3,row(A20),Holidays!$B$2:$B998)</f>
        <v>45807</v>
      </c>
      <c r="B23" s="29">
        <f t="shared" ref="B23:C23" si="12">B22</f>
        <v>315</v>
      </c>
      <c r="C23" s="29">
        <f t="shared" si="12"/>
        <v>118</v>
      </c>
      <c r="D23" s="17">
        <f t="shared" si="1"/>
        <v>433</v>
      </c>
      <c r="E23" s="18">
        <v>0.0</v>
      </c>
      <c r="F23" s="32">
        <f t="shared" si="3"/>
        <v>126</v>
      </c>
      <c r="G23" s="17">
        <f t="shared" si="2"/>
        <v>559</v>
      </c>
      <c r="H23" s="18">
        <v>0.0</v>
      </c>
      <c r="I23" s="32">
        <f>I22</f>
        <v>147</v>
      </c>
      <c r="J23" s="19">
        <v>0.0</v>
      </c>
      <c r="K23" s="32">
        <f>K22+1-1</f>
        <v>0</v>
      </c>
      <c r="L23" s="19">
        <v>0.0</v>
      </c>
      <c r="M23" s="32">
        <f>M22</f>
        <v>357</v>
      </c>
      <c r="N23" s="19">
        <v>0.0</v>
      </c>
      <c r="O23" s="32">
        <f t="shared" si="5"/>
        <v>28</v>
      </c>
      <c r="P23" s="19">
        <v>0.0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4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4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4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4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4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4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4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4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4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4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4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4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4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4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4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4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4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4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4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4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4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4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4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4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4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4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4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4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4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4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4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4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4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4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4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4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4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4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4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4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4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4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4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4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4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4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4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4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4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4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4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4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4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4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4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4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4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4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4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4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4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4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4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4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4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4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4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4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4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4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4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4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4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4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4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4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4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4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4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4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4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4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4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4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4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4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4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4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4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4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4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4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4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4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4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4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4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4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4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4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4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4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4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4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4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4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4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4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4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4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4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4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4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4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4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4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4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4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4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4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4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4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4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4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4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4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4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4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4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4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4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4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4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4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4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4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4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4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4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4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4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4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4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4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4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4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4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4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4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4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4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4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4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4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4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4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4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4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4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4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4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4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4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4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4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4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4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4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4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4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4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4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4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4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4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4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4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4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4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4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4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4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4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4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4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4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4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4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4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4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4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4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4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4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4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4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4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4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4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4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4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4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4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4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4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4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4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4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4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4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4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4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4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4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4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4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4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4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4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4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4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4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4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4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4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4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4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4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4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4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4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4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4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4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4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4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4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4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4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4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4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4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4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4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4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4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4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4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4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4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4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4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4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4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4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4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4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4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4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4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4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4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4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4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4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4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4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4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4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4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4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4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4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4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4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4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4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4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4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4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4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4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4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4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4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4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4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4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4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4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4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4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4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4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4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4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4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4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4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4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4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4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4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4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4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4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4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4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4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4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4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4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4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4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4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4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4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4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4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4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4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4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4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4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4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4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4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4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4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4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4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4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4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4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4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4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4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4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4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4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4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4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4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4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4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4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4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4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4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4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4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4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4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4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4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4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4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4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4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4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4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4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4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4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4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4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4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4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4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4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4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4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4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4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4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4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4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4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4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4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4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4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4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4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4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4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4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4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4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4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4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4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4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4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4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4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4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4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4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4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4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4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4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4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4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4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4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4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4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4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4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4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4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4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4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4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4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4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4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4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4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4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4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4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4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4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4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4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4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4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4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4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4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4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4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4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4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4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4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4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4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4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4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4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4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4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4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4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4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4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4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4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4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4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4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4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4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4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4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4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4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4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4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4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4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4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4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4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4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4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4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4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4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4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4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4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4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4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4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4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4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4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4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4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4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4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4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4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4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4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4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4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4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4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4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4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4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4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4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4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4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4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4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4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4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4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4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4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4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4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4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4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4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4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4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4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4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4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4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4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4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4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4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4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4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4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4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4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4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4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4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4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4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4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4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4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4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4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4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4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4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4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4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4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4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4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4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4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4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4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4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4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4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4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4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4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4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4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4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4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4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4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4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4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4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4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4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4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4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4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4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4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4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4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4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4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4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4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4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4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4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4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4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4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4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4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4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4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4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4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4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4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4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4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4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4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4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4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4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4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4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4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4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4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4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4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4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4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4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4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4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4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4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4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4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4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4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4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4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4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4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4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4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4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4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4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4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4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4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4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4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4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4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4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4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4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4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4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4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4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4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4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4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4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4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4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4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4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4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4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4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4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4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4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4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4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4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4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4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4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4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4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4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4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4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4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4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4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4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4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4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4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4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4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4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4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4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4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4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4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4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4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4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4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4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4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4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4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4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4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4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4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4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4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4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4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4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4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4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4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4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4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4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4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4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4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4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4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4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4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4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4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4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4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4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4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4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4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4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4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4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4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4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4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4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4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4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4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4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4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4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4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4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4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4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4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4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4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4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4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4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4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4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4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4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4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4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4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4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4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4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4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4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4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4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4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4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4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4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4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4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4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4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4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4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4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4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4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4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4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4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4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4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4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4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4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4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4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4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4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4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4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4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4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4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4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4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4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4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4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4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4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4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4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4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4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4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4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4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4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4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4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4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4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4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4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4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4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4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4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4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4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4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4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4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4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4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4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4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4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4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4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4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4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4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4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4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4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4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4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4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4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4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4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4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4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4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4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4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4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4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4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4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4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4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4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4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4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4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4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4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4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4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4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4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4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4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4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4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4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4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4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4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4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4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4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4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4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4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4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4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4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4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4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4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4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4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4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4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4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4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4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4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4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4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4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4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4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4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4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4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4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4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4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4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4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4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4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4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4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4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4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4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4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4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4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4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4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4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4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4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4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4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4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4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4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4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4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4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4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4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4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4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4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4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4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4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4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4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4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4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4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4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4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4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4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4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4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4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4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4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4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4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4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4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4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4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4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4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4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4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4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4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4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4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4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4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4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4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4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4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4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4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4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4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4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4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4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4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4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4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4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4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2"/>
      <c r="B997" s="23"/>
      <c r="C997" s="23"/>
      <c r="D997" s="23"/>
      <c r="E997" s="24"/>
      <c r="F997" s="23"/>
      <c r="G997" s="23"/>
      <c r="H997" s="25"/>
      <c r="I997" s="23"/>
      <c r="J997" s="25"/>
      <c r="K997" s="23"/>
      <c r="L997" s="25"/>
      <c r="M997" s="23"/>
      <c r="N997" s="25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22"/>
      <c r="B998" s="23"/>
      <c r="C998" s="23"/>
      <c r="D998" s="23"/>
      <c r="E998" s="24"/>
      <c r="F998" s="23"/>
      <c r="G998" s="23"/>
      <c r="H998" s="25"/>
      <c r="I998" s="23"/>
      <c r="J998" s="25"/>
      <c r="K998" s="23"/>
      <c r="L998" s="25"/>
      <c r="M998" s="23"/>
      <c r="N998" s="25"/>
      <c r="O998" s="23"/>
      <c r="P998" s="25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</sheetData>
  <mergeCells count="2">
    <mergeCell ref="B1:J1"/>
    <mergeCell ref="K1:P1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45810.0</v>
      </c>
      <c r="B3" s="29">
        <f>'May 2025'!B23+3</f>
        <v>318</v>
      </c>
      <c r="C3" s="29">
        <f>'May 2025'!C23</f>
        <v>118</v>
      </c>
      <c r="D3" s="28">
        <f t="shared" ref="D3:D22" si="1">SUM(B3:C3)</f>
        <v>436</v>
      </c>
      <c r="E3" s="18">
        <f>D3-'May 2025'!D23</f>
        <v>3</v>
      </c>
      <c r="F3" s="33">
        <f>'May 2025'!F23</f>
        <v>126</v>
      </c>
      <c r="G3" s="28">
        <f t="shared" ref="G3:G22" si="2">SUM(D3,F3)</f>
        <v>562</v>
      </c>
      <c r="H3" s="18">
        <f>G3-'May 2025'!G23</f>
        <v>3</v>
      </c>
      <c r="I3" s="33">
        <f>'May 2025'!I23</f>
        <v>147</v>
      </c>
      <c r="J3" s="18">
        <f>I3-'May 2025'!I23</f>
        <v>0</v>
      </c>
      <c r="K3" s="33">
        <f>'May 2025'!K23</f>
        <v>0</v>
      </c>
      <c r="L3" s="18">
        <f>K3-'May 2025'!K23</f>
        <v>0</v>
      </c>
      <c r="M3" s="33">
        <f>'May 2025'!M23+1</f>
        <v>358</v>
      </c>
      <c r="N3" s="18">
        <f>M3-'May 2025'!M23</f>
        <v>1</v>
      </c>
      <c r="O3" s="33">
        <f>'May 2025'!O23</f>
        <v>28</v>
      </c>
      <c r="P3" s="18">
        <f>O3-'May 2025'!O23</f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WORKDAY($A$3,row(A1),Holidays!$B$2:$B997)</f>
        <v>45811</v>
      </c>
      <c r="B4" s="29">
        <f>B3+20+3</f>
        <v>341</v>
      </c>
      <c r="C4" s="29">
        <f>C3-1-1</f>
        <v>116</v>
      </c>
      <c r="D4" s="28">
        <f t="shared" si="1"/>
        <v>457</v>
      </c>
      <c r="E4" s="18">
        <f t="array" ref="E4:E22">D4:D22-D3:D21</f>
        <v>21</v>
      </c>
      <c r="F4" s="32">
        <f t="shared" ref="F4:F22" si="4">F3</f>
        <v>126</v>
      </c>
      <c r="G4" s="28">
        <f t="shared" si="2"/>
        <v>583</v>
      </c>
      <c r="H4" s="18">
        <f t="array" ref="H4:H22">G4:G22-G3:G21</f>
        <v>21</v>
      </c>
      <c r="I4" s="32">
        <f t="shared" ref="I4:I22" si="5">I3</f>
        <v>147</v>
      </c>
      <c r="J4" s="18">
        <f t="array" ref="J4:J22">I4:I22-I3:I21</f>
        <v>0</v>
      </c>
      <c r="K4" s="33">
        <f>K3+4</f>
        <v>4</v>
      </c>
      <c r="L4" s="18">
        <f t="array" ref="L4:L22">K4:K22-K3:K21</f>
        <v>4</v>
      </c>
      <c r="M4" s="33">
        <f>M3+31</f>
        <v>389</v>
      </c>
      <c r="N4" s="18">
        <f t="array" ref="N4:N22">M4:M22-M3:M21</f>
        <v>31</v>
      </c>
      <c r="O4" s="32">
        <f t="shared" ref="O4:O22" si="6">O3</f>
        <v>28</v>
      </c>
      <c r="P4" s="18">
        <f t="array" ref="P4:P22">O4:O22-O3:O21</f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WORKDAY($A$3,row(A2),Holidays!$B$2:$B997)</f>
        <v>45812</v>
      </c>
      <c r="B5" s="29">
        <f t="shared" ref="B5:C5" si="3">B4</f>
        <v>341</v>
      </c>
      <c r="C5" s="29">
        <f t="shared" si="3"/>
        <v>116</v>
      </c>
      <c r="D5" s="28">
        <f t="shared" si="1"/>
        <v>457</v>
      </c>
      <c r="E5" s="18">
        <v>0.0</v>
      </c>
      <c r="F5" s="32">
        <f t="shared" si="4"/>
        <v>126</v>
      </c>
      <c r="G5" s="28">
        <f t="shared" si="2"/>
        <v>583</v>
      </c>
      <c r="H5" s="19">
        <v>0.0</v>
      </c>
      <c r="I5" s="32">
        <f t="shared" si="5"/>
        <v>147</v>
      </c>
      <c r="J5" s="19">
        <v>0.0</v>
      </c>
      <c r="K5" s="32">
        <f t="shared" ref="K5:K6" si="8">K4</f>
        <v>4</v>
      </c>
      <c r="L5" s="19">
        <v>0.0</v>
      </c>
      <c r="M5" s="32">
        <f t="shared" ref="M5:M6" si="9">M4</f>
        <v>389</v>
      </c>
      <c r="N5" s="19">
        <v>0.0</v>
      </c>
      <c r="O5" s="32">
        <f t="shared" si="6"/>
        <v>28</v>
      </c>
      <c r="P5" s="19">
        <v>0.0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WORKDAY($A$3,row(A3),Holidays!$B$2:$B997)</f>
        <v>45813</v>
      </c>
      <c r="B6" s="29">
        <f t="shared" ref="B6:C6" si="7">B5</f>
        <v>341</v>
      </c>
      <c r="C6" s="29">
        <f t="shared" si="7"/>
        <v>116</v>
      </c>
      <c r="D6" s="28">
        <f t="shared" si="1"/>
        <v>457</v>
      </c>
      <c r="E6" s="18">
        <v>0.0</v>
      </c>
      <c r="F6" s="32">
        <f t="shared" si="4"/>
        <v>126</v>
      </c>
      <c r="G6" s="28">
        <f t="shared" si="2"/>
        <v>583</v>
      </c>
      <c r="H6" s="19">
        <v>0.0</v>
      </c>
      <c r="I6" s="32">
        <f t="shared" si="5"/>
        <v>147</v>
      </c>
      <c r="J6" s="19">
        <v>0.0</v>
      </c>
      <c r="K6" s="32">
        <f t="shared" si="8"/>
        <v>4</v>
      </c>
      <c r="L6" s="19">
        <v>0.0</v>
      </c>
      <c r="M6" s="32">
        <f t="shared" si="9"/>
        <v>389</v>
      </c>
      <c r="N6" s="19">
        <v>0.0</v>
      </c>
      <c r="O6" s="32">
        <f t="shared" si="6"/>
        <v>28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WORKDAY($A$3,row(A4),Holidays!$B$2:$B997)</f>
        <v>45814</v>
      </c>
      <c r="B7" s="29">
        <f>B6-6</f>
        <v>335</v>
      </c>
      <c r="C7" s="29">
        <f>C6-4</f>
        <v>112</v>
      </c>
      <c r="D7" s="28">
        <f t="shared" si="1"/>
        <v>447</v>
      </c>
      <c r="E7" s="18">
        <v>-10.0</v>
      </c>
      <c r="F7" s="32">
        <f t="shared" si="4"/>
        <v>126</v>
      </c>
      <c r="G7" s="28">
        <f t="shared" si="2"/>
        <v>573</v>
      </c>
      <c r="H7" s="19">
        <v>-10.0</v>
      </c>
      <c r="I7" s="32">
        <f t="shared" si="5"/>
        <v>147</v>
      </c>
      <c r="J7" s="19">
        <v>0.0</v>
      </c>
      <c r="K7" s="32">
        <f>K6-4</f>
        <v>0</v>
      </c>
      <c r="L7" s="19">
        <v>-4.0</v>
      </c>
      <c r="M7" s="32">
        <f>M6-6</f>
        <v>383</v>
      </c>
      <c r="N7" s="19">
        <v>-6.0</v>
      </c>
      <c r="O7" s="32">
        <f t="shared" si="6"/>
        <v>28</v>
      </c>
      <c r="P7" s="19">
        <v>0.0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WORKDAY($A$3,row(A5),Holidays!$B$2:$B997)</f>
        <v>45817</v>
      </c>
      <c r="B8" s="29">
        <f>B7+50</f>
        <v>385</v>
      </c>
      <c r="C8" s="29">
        <f>C7-6</f>
        <v>106</v>
      </c>
      <c r="D8" s="28">
        <f t="shared" si="1"/>
        <v>491</v>
      </c>
      <c r="E8" s="18">
        <v>44.0</v>
      </c>
      <c r="F8" s="32">
        <f t="shared" si="4"/>
        <v>126</v>
      </c>
      <c r="G8" s="28">
        <f t="shared" si="2"/>
        <v>617</v>
      </c>
      <c r="H8" s="19">
        <v>44.0</v>
      </c>
      <c r="I8" s="32">
        <f t="shared" si="5"/>
        <v>147</v>
      </c>
      <c r="J8" s="19">
        <v>0.0</v>
      </c>
      <c r="K8" s="32">
        <f>K7+1</f>
        <v>1</v>
      </c>
      <c r="L8" s="19">
        <v>1.0</v>
      </c>
      <c r="M8" s="32">
        <f>M7+56</f>
        <v>439</v>
      </c>
      <c r="N8" s="19">
        <v>56.0</v>
      </c>
      <c r="O8" s="32">
        <f t="shared" si="6"/>
        <v>28</v>
      </c>
      <c r="P8" s="19">
        <v>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WORKDAY($A$3,row(A6),Holidays!$B$2:$B997)</f>
        <v>45818</v>
      </c>
      <c r="B9" s="29">
        <f t="shared" ref="B9:C9" si="10">B8</f>
        <v>385</v>
      </c>
      <c r="C9" s="29">
        <f t="shared" si="10"/>
        <v>106</v>
      </c>
      <c r="D9" s="28">
        <f t="shared" si="1"/>
        <v>491</v>
      </c>
      <c r="E9" s="18">
        <v>0.0</v>
      </c>
      <c r="F9" s="32">
        <f t="shared" si="4"/>
        <v>126</v>
      </c>
      <c r="G9" s="28">
        <f t="shared" si="2"/>
        <v>617</v>
      </c>
      <c r="H9" s="19">
        <v>0.0</v>
      </c>
      <c r="I9" s="33">
        <f t="shared" si="5"/>
        <v>147</v>
      </c>
      <c r="J9" s="19">
        <v>0.0</v>
      </c>
      <c r="K9" s="32">
        <f>K8</f>
        <v>1</v>
      </c>
      <c r="L9" s="19">
        <v>0.0</v>
      </c>
      <c r="M9" s="32">
        <f>M8</f>
        <v>439</v>
      </c>
      <c r="N9" s="19">
        <v>0.0</v>
      </c>
      <c r="O9" s="32">
        <f t="shared" si="6"/>
        <v>28</v>
      </c>
      <c r="P9" s="19">
        <v>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WORKDAY($A$3,row(A7),Holidays!$B$2:$B997)</f>
        <v>45819</v>
      </c>
      <c r="B10" s="29">
        <f t="shared" ref="B10:C10" si="11">B9-1+1</f>
        <v>385</v>
      </c>
      <c r="C10" s="29">
        <f t="shared" si="11"/>
        <v>106</v>
      </c>
      <c r="D10" s="28">
        <f t="shared" si="1"/>
        <v>491</v>
      </c>
      <c r="E10" s="18">
        <v>0.0</v>
      </c>
      <c r="F10" s="32">
        <f t="shared" si="4"/>
        <v>126</v>
      </c>
      <c r="G10" s="28">
        <f t="shared" si="2"/>
        <v>617</v>
      </c>
      <c r="H10" s="19">
        <v>0.0</v>
      </c>
      <c r="I10" s="32">
        <f t="shared" si="5"/>
        <v>147</v>
      </c>
      <c r="J10" s="19">
        <v>0.0</v>
      </c>
      <c r="K10" s="32">
        <f>K9+1</f>
        <v>2</v>
      </c>
      <c r="L10" s="19">
        <v>1.0</v>
      </c>
      <c r="M10" s="32">
        <f>M9+2-1</f>
        <v>440</v>
      </c>
      <c r="N10" s="19">
        <v>1.0</v>
      </c>
      <c r="O10" s="32">
        <f t="shared" si="6"/>
        <v>28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WORKDAY($A$3,row(A8),Holidays!$B$2:$B997)</f>
        <v>45820</v>
      </c>
      <c r="B11" s="29">
        <f>B10-3</f>
        <v>382</v>
      </c>
      <c r="C11" s="29">
        <f>C10-1</f>
        <v>105</v>
      </c>
      <c r="D11" s="28">
        <f t="shared" si="1"/>
        <v>487</v>
      </c>
      <c r="E11" s="18">
        <v>-4.0</v>
      </c>
      <c r="F11" s="32">
        <f t="shared" si="4"/>
        <v>126</v>
      </c>
      <c r="G11" s="28">
        <f t="shared" si="2"/>
        <v>613</v>
      </c>
      <c r="H11" s="19">
        <v>-4.0</v>
      </c>
      <c r="I11" s="32">
        <f t="shared" si="5"/>
        <v>147</v>
      </c>
      <c r="J11" s="19">
        <v>0.0</v>
      </c>
      <c r="K11" s="32">
        <f>K10-1</f>
        <v>1</v>
      </c>
      <c r="L11" s="19">
        <v>-1.0</v>
      </c>
      <c r="M11" s="32">
        <f>M10-3</f>
        <v>437</v>
      </c>
      <c r="N11" s="19">
        <v>-3.0</v>
      </c>
      <c r="O11" s="32">
        <f t="shared" si="6"/>
        <v>28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WORKDAY($A$3,row(A9),Holidays!$B$2:$B997)</f>
        <v>45821</v>
      </c>
      <c r="B12" s="29">
        <f>B11+3</f>
        <v>385</v>
      </c>
      <c r="C12" s="29">
        <f t="shared" ref="C12:C13" si="12">C11</f>
        <v>105</v>
      </c>
      <c r="D12" s="28">
        <f t="shared" si="1"/>
        <v>490</v>
      </c>
      <c r="E12" s="18">
        <v>3.0</v>
      </c>
      <c r="F12" s="32">
        <f t="shared" si="4"/>
        <v>126</v>
      </c>
      <c r="G12" s="28">
        <f t="shared" si="2"/>
        <v>616</v>
      </c>
      <c r="H12" s="19">
        <v>3.0</v>
      </c>
      <c r="I12" s="32">
        <f t="shared" si="5"/>
        <v>147</v>
      </c>
      <c r="J12" s="19">
        <v>0.0</v>
      </c>
      <c r="K12" s="32">
        <f t="shared" ref="K12:K15" si="13">K11</f>
        <v>1</v>
      </c>
      <c r="L12" s="19">
        <v>0.0</v>
      </c>
      <c r="M12" s="32">
        <f>M11</f>
        <v>437</v>
      </c>
      <c r="N12" s="19">
        <v>0.0</v>
      </c>
      <c r="O12" s="32">
        <f t="shared" si="6"/>
        <v>28</v>
      </c>
      <c r="P12" s="19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WORKDAY($A$3,row(A10),Holidays!$B$2:$B997)</f>
        <v>45824</v>
      </c>
      <c r="B13" s="29">
        <f>B12+2+5</f>
        <v>392</v>
      </c>
      <c r="C13" s="29">
        <f t="shared" si="12"/>
        <v>105</v>
      </c>
      <c r="D13" s="28">
        <f t="shared" si="1"/>
        <v>497</v>
      </c>
      <c r="E13" s="18">
        <v>7.0</v>
      </c>
      <c r="F13" s="32">
        <f t="shared" si="4"/>
        <v>126</v>
      </c>
      <c r="G13" s="28">
        <f t="shared" si="2"/>
        <v>623</v>
      </c>
      <c r="H13" s="19">
        <v>7.0</v>
      </c>
      <c r="I13" s="32">
        <f t="shared" si="5"/>
        <v>147</v>
      </c>
      <c r="J13" s="19">
        <v>0.0</v>
      </c>
      <c r="K13" s="32">
        <f t="shared" si="13"/>
        <v>1</v>
      </c>
      <c r="L13" s="19">
        <v>0.0</v>
      </c>
      <c r="M13" s="32">
        <f>M12+8</f>
        <v>445</v>
      </c>
      <c r="N13" s="19">
        <v>8.0</v>
      </c>
      <c r="O13" s="32">
        <f t="shared" si="6"/>
        <v>28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WORKDAY($A$3,row(A11),Holidays!$B$2:$B997)</f>
        <v>45825</v>
      </c>
      <c r="B14" s="29">
        <f>B13</f>
        <v>392</v>
      </c>
      <c r="C14" s="29">
        <f>C13-11</f>
        <v>94</v>
      </c>
      <c r="D14" s="28">
        <f t="shared" si="1"/>
        <v>486</v>
      </c>
      <c r="E14" s="18">
        <v>-11.0</v>
      </c>
      <c r="F14" s="32">
        <f t="shared" si="4"/>
        <v>126</v>
      </c>
      <c r="G14" s="28">
        <f t="shared" si="2"/>
        <v>612</v>
      </c>
      <c r="H14" s="19">
        <v>-11.0</v>
      </c>
      <c r="I14" s="32">
        <f t="shared" si="5"/>
        <v>147</v>
      </c>
      <c r="J14" s="19">
        <v>0.0</v>
      </c>
      <c r="K14" s="32">
        <f t="shared" si="13"/>
        <v>1</v>
      </c>
      <c r="L14" s="19">
        <v>0.0</v>
      </c>
      <c r="M14" s="32">
        <f>M13</f>
        <v>445</v>
      </c>
      <c r="N14" s="19">
        <v>0.0</v>
      </c>
      <c r="O14" s="32">
        <f t="shared" si="6"/>
        <v>28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WORKDAY($A$3,row(A12),Holidays!$B$2:$B997)</f>
        <v>45826</v>
      </c>
      <c r="B15" s="29">
        <f>B14+1</f>
        <v>393</v>
      </c>
      <c r="C15" s="29">
        <f t="shared" ref="C15:C16" si="14">C14</f>
        <v>94</v>
      </c>
      <c r="D15" s="28">
        <f t="shared" si="1"/>
        <v>487</v>
      </c>
      <c r="E15" s="18">
        <v>1.0</v>
      </c>
      <c r="F15" s="32">
        <f t="shared" si="4"/>
        <v>126</v>
      </c>
      <c r="G15" s="28">
        <f t="shared" si="2"/>
        <v>613</v>
      </c>
      <c r="H15" s="19">
        <v>1.0</v>
      </c>
      <c r="I15" s="32">
        <f t="shared" si="5"/>
        <v>147</v>
      </c>
      <c r="J15" s="19">
        <v>0.0</v>
      </c>
      <c r="K15" s="32">
        <f t="shared" si="13"/>
        <v>1</v>
      </c>
      <c r="L15" s="19">
        <v>0.0</v>
      </c>
      <c r="M15" s="32">
        <f>M14+1</f>
        <v>446</v>
      </c>
      <c r="N15" s="19">
        <v>1.0</v>
      </c>
      <c r="O15" s="32">
        <f t="shared" si="6"/>
        <v>28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WORKDAY($A$3,row(A13),Holidays!$B$2:$B997)</f>
        <v>45828</v>
      </c>
      <c r="B16" s="29">
        <f>B15+2</f>
        <v>395</v>
      </c>
      <c r="C16" s="29">
        <f t="shared" si="14"/>
        <v>94</v>
      </c>
      <c r="D16" s="28">
        <f t="shared" si="1"/>
        <v>489</v>
      </c>
      <c r="E16" s="18">
        <v>2.0</v>
      </c>
      <c r="F16" s="32">
        <f t="shared" si="4"/>
        <v>126</v>
      </c>
      <c r="G16" s="28">
        <f t="shared" si="2"/>
        <v>615</v>
      </c>
      <c r="H16" s="19">
        <v>2.0</v>
      </c>
      <c r="I16" s="32">
        <f t="shared" si="5"/>
        <v>147</v>
      </c>
      <c r="J16" s="19">
        <v>0.0</v>
      </c>
      <c r="K16" s="32">
        <f>K15+1</f>
        <v>2</v>
      </c>
      <c r="L16" s="19">
        <v>1.0</v>
      </c>
      <c r="M16" s="32">
        <f>M15+2</f>
        <v>448</v>
      </c>
      <c r="N16" s="19">
        <v>2.0</v>
      </c>
      <c r="O16" s="32">
        <f t="shared" si="6"/>
        <v>28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WORKDAY($A$3,row(A14),Holidays!$B$2:$B997)</f>
        <v>45831</v>
      </c>
      <c r="B17" s="29">
        <f>B16-6+2</f>
        <v>391</v>
      </c>
      <c r="C17" s="29">
        <f>C16-7</f>
        <v>87</v>
      </c>
      <c r="D17" s="28">
        <f t="shared" si="1"/>
        <v>478</v>
      </c>
      <c r="E17" s="18">
        <v>-11.0</v>
      </c>
      <c r="F17" s="32">
        <f t="shared" si="4"/>
        <v>126</v>
      </c>
      <c r="G17" s="28">
        <f t="shared" si="2"/>
        <v>604</v>
      </c>
      <c r="H17" s="19">
        <v>-11.0</v>
      </c>
      <c r="I17" s="32">
        <f t="shared" si="5"/>
        <v>147</v>
      </c>
      <c r="J17" s="19">
        <v>0.0</v>
      </c>
      <c r="K17" s="32">
        <f>K16-2</f>
        <v>0</v>
      </c>
      <c r="L17" s="19">
        <v>-2.0</v>
      </c>
      <c r="M17" s="32">
        <f>M16-6+2</f>
        <v>444</v>
      </c>
      <c r="N17" s="19">
        <v>-4.0</v>
      </c>
      <c r="O17" s="32">
        <f t="shared" si="6"/>
        <v>28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WORKDAY($A$3,row(A15),Holidays!$B$2:$B997)</f>
        <v>45832</v>
      </c>
      <c r="B18" s="29">
        <f>B17-2+21+2</f>
        <v>412</v>
      </c>
      <c r="C18" s="29">
        <f>C17-2-3-1-1-3-2-2-4-4-6</f>
        <v>59</v>
      </c>
      <c r="D18" s="28">
        <f t="shared" si="1"/>
        <v>471</v>
      </c>
      <c r="E18" s="18">
        <v>-7.0</v>
      </c>
      <c r="F18" s="32">
        <f t="shared" si="4"/>
        <v>126</v>
      </c>
      <c r="G18" s="28">
        <f t="shared" si="2"/>
        <v>597</v>
      </c>
      <c r="H18" s="18">
        <v>-7.0</v>
      </c>
      <c r="I18" s="32">
        <f t="shared" si="5"/>
        <v>147</v>
      </c>
      <c r="J18" s="19">
        <v>0.0</v>
      </c>
      <c r="K18" s="32">
        <f t="shared" ref="K18:K22" si="16">K17</f>
        <v>0</v>
      </c>
      <c r="L18" s="19">
        <v>0.0</v>
      </c>
      <c r="M18" s="32">
        <f>M17-2+50</f>
        <v>492</v>
      </c>
      <c r="N18" s="19">
        <v>48.0</v>
      </c>
      <c r="O18" s="32">
        <f t="shared" si="6"/>
        <v>28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WORKDAY($A$3,row(A16),Holidays!$B$2:$B997)</f>
        <v>45833</v>
      </c>
      <c r="B19" s="29">
        <f t="shared" ref="B19:C19" si="15">B18</f>
        <v>412</v>
      </c>
      <c r="C19" s="29">
        <f t="shared" si="15"/>
        <v>59</v>
      </c>
      <c r="D19" s="28">
        <f t="shared" si="1"/>
        <v>471</v>
      </c>
      <c r="E19" s="18">
        <v>0.0</v>
      </c>
      <c r="F19" s="32">
        <f t="shared" si="4"/>
        <v>126</v>
      </c>
      <c r="G19" s="28">
        <f t="shared" si="2"/>
        <v>597</v>
      </c>
      <c r="H19" s="18">
        <v>0.0</v>
      </c>
      <c r="I19" s="32">
        <f t="shared" si="5"/>
        <v>147</v>
      </c>
      <c r="J19" s="19">
        <v>0.0</v>
      </c>
      <c r="K19" s="32">
        <f t="shared" si="16"/>
        <v>0</v>
      </c>
      <c r="L19" s="19">
        <v>0.0</v>
      </c>
      <c r="M19" s="32">
        <f>M18</f>
        <v>492</v>
      </c>
      <c r="N19" s="19">
        <v>0.0</v>
      </c>
      <c r="O19" s="32">
        <f t="shared" si="6"/>
        <v>28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WORKDAY($A$3,row(A17),Holidays!$B$2:$B997)</f>
        <v>45834</v>
      </c>
      <c r="B20" s="29">
        <f>B19-7</f>
        <v>405</v>
      </c>
      <c r="C20" s="29">
        <f>C19-17</f>
        <v>42</v>
      </c>
      <c r="D20" s="28">
        <f t="shared" si="1"/>
        <v>447</v>
      </c>
      <c r="E20" s="18">
        <v>-24.0</v>
      </c>
      <c r="F20" s="32">
        <f t="shared" si="4"/>
        <v>126</v>
      </c>
      <c r="G20" s="28">
        <f t="shared" si="2"/>
        <v>573</v>
      </c>
      <c r="H20" s="18">
        <v>-24.0</v>
      </c>
      <c r="I20" s="32">
        <f t="shared" si="5"/>
        <v>147</v>
      </c>
      <c r="J20" s="19">
        <v>0.0</v>
      </c>
      <c r="K20" s="32">
        <f t="shared" si="16"/>
        <v>0</v>
      </c>
      <c r="L20" s="19">
        <v>0.0</v>
      </c>
      <c r="M20" s="32">
        <f>M19-7</f>
        <v>485</v>
      </c>
      <c r="N20" s="19">
        <v>-7.0</v>
      </c>
      <c r="O20" s="32">
        <f t="shared" si="6"/>
        <v>28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WORKDAY($A$3,row(A18),Holidays!$B$2:$B997)</f>
        <v>45835</v>
      </c>
      <c r="B21" s="29">
        <f>B20+3</f>
        <v>408</v>
      </c>
      <c r="C21" s="29">
        <f>C20</f>
        <v>42</v>
      </c>
      <c r="D21" s="28">
        <f t="shared" si="1"/>
        <v>450</v>
      </c>
      <c r="E21" s="18">
        <v>3.0</v>
      </c>
      <c r="F21" s="32">
        <f t="shared" si="4"/>
        <v>126</v>
      </c>
      <c r="G21" s="28">
        <f t="shared" si="2"/>
        <v>576</v>
      </c>
      <c r="H21" s="18">
        <v>3.0</v>
      </c>
      <c r="I21" s="32">
        <f t="shared" si="5"/>
        <v>147</v>
      </c>
      <c r="J21" s="19">
        <v>0.0</v>
      </c>
      <c r="K21" s="32">
        <f t="shared" si="16"/>
        <v>0</v>
      </c>
      <c r="L21" s="19">
        <v>0.0</v>
      </c>
      <c r="M21" s="32">
        <f t="shared" ref="M21:M22" si="18">M20</f>
        <v>485</v>
      </c>
      <c r="N21" s="19">
        <v>0.0</v>
      </c>
      <c r="O21" s="32">
        <f t="shared" si="6"/>
        <v>28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WORKDAY($A$3,row(A19),Holidays!$B$2:$B997)</f>
        <v>45838</v>
      </c>
      <c r="B22" s="29">
        <f t="shared" ref="B22:C22" si="17">B21</f>
        <v>408</v>
      </c>
      <c r="C22" s="29">
        <f t="shared" si="17"/>
        <v>42</v>
      </c>
      <c r="D22" s="28">
        <f t="shared" si="1"/>
        <v>450</v>
      </c>
      <c r="E22" s="18">
        <v>0.0</v>
      </c>
      <c r="F22" s="32">
        <f t="shared" si="4"/>
        <v>126</v>
      </c>
      <c r="G22" s="28">
        <f t="shared" si="2"/>
        <v>576</v>
      </c>
      <c r="H22" s="18">
        <v>0.0</v>
      </c>
      <c r="I22" s="32">
        <f t="shared" si="5"/>
        <v>147</v>
      </c>
      <c r="J22" s="19">
        <v>0.0</v>
      </c>
      <c r="K22" s="32">
        <f t="shared" si="16"/>
        <v>0</v>
      </c>
      <c r="L22" s="19">
        <v>0.0</v>
      </c>
      <c r="M22" s="32">
        <f t="shared" si="18"/>
        <v>485</v>
      </c>
      <c r="N22" s="19">
        <v>0.0</v>
      </c>
      <c r="O22" s="32">
        <f t="shared" si="6"/>
        <v>28</v>
      </c>
      <c r="P22" s="19">
        <v>0.0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2"/>
      <c r="B23" s="23"/>
      <c r="C23" s="23"/>
      <c r="D23" s="23"/>
      <c r="E23" s="24"/>
      <c r="F23" s="23"/>
      <c r="G23" s="23"/>
      <c r="H23" s="25"/>
      <c r="I23" s="23"/>
      <c r="J23" s="25"/>
      <c r="K23" s="23"/>
      <c r="L23" s="25"/>
      <c r="M23" s="23"/>
      <c r="N23" s="25"/>
      <c r="O23" s="23"/>
      <c r="P23" s="25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4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4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4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4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4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4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4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4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4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4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4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4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4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4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4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4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4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4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4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4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4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4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4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4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4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4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4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4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4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4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4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4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4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4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4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4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4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4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4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4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4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4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4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4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4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4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4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4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4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4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4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4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4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4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4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4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4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4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4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4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4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4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4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4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4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4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4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4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4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4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4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4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4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4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4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4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4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4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4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4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4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4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4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4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4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4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4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4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4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4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4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4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4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4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4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4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4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4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4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4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4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4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4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4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4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4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4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4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4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4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4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4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4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4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4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4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4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4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4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4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4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4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4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4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4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4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4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4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4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4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4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4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4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4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4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4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4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4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4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4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4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4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4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4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4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4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4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4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4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4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4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4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4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4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4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4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4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4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4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4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4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4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4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4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4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4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4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4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4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4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4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4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4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4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4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4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4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4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4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4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4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4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4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4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4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4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4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4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4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4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4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4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4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4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4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4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4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4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4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4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4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4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4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4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4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4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4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4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4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4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4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4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4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4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4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4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4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4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4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4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4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4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4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4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4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4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4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4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4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4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4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4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4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4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4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4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4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4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4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4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4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4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4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4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4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4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4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4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4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4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4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4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4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4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4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4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4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4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4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4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4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4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4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4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4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4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4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4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4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4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4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4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4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4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4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4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4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4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4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4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4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4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4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4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4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4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4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4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4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4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4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4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4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4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4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4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4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4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4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4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4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4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4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4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4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4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4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4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4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4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4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4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4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4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4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4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4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4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4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4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4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4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4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4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4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4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4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4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4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4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4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4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4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4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4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4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4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4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4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4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4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4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4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4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4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4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4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4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4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4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4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4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4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4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4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4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4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4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4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4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4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4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4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4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4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4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4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4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4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4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4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4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4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4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4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4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4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4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4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4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4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4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4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4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4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4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4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4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4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4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4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4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4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4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4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4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4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4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4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4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4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4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4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4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4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4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4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4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4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4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4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4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4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4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4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4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4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4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4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4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4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4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4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4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4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4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4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4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4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4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4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4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4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4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4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4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4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4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4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4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4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4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4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4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4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4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4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4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4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4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4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4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4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4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4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4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4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4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4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4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4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4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4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4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4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4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4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4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4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4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4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4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4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4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4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4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4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4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4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4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4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4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4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4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4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4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4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4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4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4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4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4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4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4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4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4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4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4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4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4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4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4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4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4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4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4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4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4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4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4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4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4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4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4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4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4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4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4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4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4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4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4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4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4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4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4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4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4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4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4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4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4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4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4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4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4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4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4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4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4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4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4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4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4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4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4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4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4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4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4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4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4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4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4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4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4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4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4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4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4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4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4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4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4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4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4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4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4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4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4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4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4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4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4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4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4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4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4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4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4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4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4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4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4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4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4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4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4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4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4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4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4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4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4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4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4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4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4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4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4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4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4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4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4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4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4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4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4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4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4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4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4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4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4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4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4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4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4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4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4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4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4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4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4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4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4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4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4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4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4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4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4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4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4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4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4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4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4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4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4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4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4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4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4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4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4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4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4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4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4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4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4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4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4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4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4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4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4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4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4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4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4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4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4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4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4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4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4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4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4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4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4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4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4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4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4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4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4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4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4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4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4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4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4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4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4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4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4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4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4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4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4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4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4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4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4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4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4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4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4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4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4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4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4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4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4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4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4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4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4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4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4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4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4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4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4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4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4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4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4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4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4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4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4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4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4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4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4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4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4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4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4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4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4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4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4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4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4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4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4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4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4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4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4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4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4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4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4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4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4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4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4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4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4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4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4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4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4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4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4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4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4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4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4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4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4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4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4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4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4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4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4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4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4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4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4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4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4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4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4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4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4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4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4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4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4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4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4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4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4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4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4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4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4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4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4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4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4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4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4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4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4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4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4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4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4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4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4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4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4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4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4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4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4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4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4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4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4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4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4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4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4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4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4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4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4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4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4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4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4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4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4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4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4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4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4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4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4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4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4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4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4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4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4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4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4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4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4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4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4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4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4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4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4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4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4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4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4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4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4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4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4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4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4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4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4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4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4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4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4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4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4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4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4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4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4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4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4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4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4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4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4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4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4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4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4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4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4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4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4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4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4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4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4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4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4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4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4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4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4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4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4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4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4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4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4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4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4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4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4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4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4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4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4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4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4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4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4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4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4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4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4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4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4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4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4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4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4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4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4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4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4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4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4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4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4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4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4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4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4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4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4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4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4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4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4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4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4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4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4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4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4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4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4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4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4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4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4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4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4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4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4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4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4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4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4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4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4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4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4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4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4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4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2"/>
      <c r="B997" s="23"/>
      <c r="C997" s="23"/>
      <c r="D997" s="23"/>
      <c r="E997" s="24"/>
      <c r="F997" s="23"/>
      <c r="G997" s="23"/>
      <c r="H997" s="25"/>
      <c r="I997" s="23"/>
      <c r="J997" s="25"/>
      <c r="K997" s="23"/>
      <c r="L997" s="25"/>
      <c r="M997" s="23"/>
      <c r="N997" s="25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</sheetData>
  <mergeCells count="2">
    <mergeCell ref="B1:J1"/>
    <mergeCell ref="K1:P1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8" t="s">
        <v>6</v>
      </c>
      <c r="F2" s="7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45839.0</v>
      </c>
      <c r="B3" s="29">
        <f>'June 2025'!B22</f>
        <v>408</v>
      </c>
      <c r="C3" s="29">
        <f>'June 2025'!C22+1</f>
        <v>43</v>
      </c>
      <c r="D3" s="28">
        <f t="shared" ref="D3:D24" si="2">SUM(B3:C3)</f>
        <v>451</v>
      </c>
      <c r="E3" s="19">
        <f>D3-'June 2025'!D22</f>
        <v>1</v>
      </c>
      <c r="F3" s="33">
        <f>'June 2025'!F22</f>
        <v>126</v>
      </c>
      <c r="G3" s="28">
        <f t="shared" ref="G3:G24" si="3">SUM(D3,F3)</f>
        <v>577</v>
      </c>
      <c r="H3" s="19">
        <f>G3-'June 2025'!G22</f>
        <v>1</v>
      </c>
      <c r="I3" s="33">
        <f>'June 2025'!I22</f>
        <v>147</v>
      </c>
      <c r="J3" s="19">
        <f>I3-'June 2025'!I22</f>
        <v>0</v>
      </c>
      <c r="K3" s="33">
        <f>'June 2025'!K22+1</f>
        <v>1</v>
      </c>
      <c r="L3" s="19">
        <f>K3-'June 2025'!K22</f>
        <v>1</v>
      </c>
      <c r="M3" s="33">
        <f>'June 2025'!M22+1</f>
        <v>486</v>
      </c>
      <c r="N3" s="18">
        <f>M3-'June 2025'!M22</f>
        <v>1</v>
      </c>
      <c r="O3" s="33">
        <f>'June 2025'!O22</f>
        <v>28</v>
      </c>
      <c r="P3" s="18">
        <f>O3-'June 2025'!O22</f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WORKDAY($A$3,row(A1),Holidays!$B$2:$B997)</f>
        <v>45840</v>
      </c>
      <c r="B4" s="29">
        <f t="shared" ref="B4:C4" si="1">B3</f>
        <v>408</v>
      </c>
      <c r="C4" s="29">
        <f t="shared" si="1"/>
        <v>43</v>
      </c>
      <c r="D4" s="28">
        <f t="shared" si="2"/>
        <v>451</v>
      </c>
      <c r="E4" s="19">
        <f t="array" ref="E4:E24">D4:D24-D3:D23</f>
        <v>0</v>
      </c>
      <c r="F4" s="32">
        <f t="shared" ref="F4:F24" si="4">F3</f>
        <v>126</v>
      </c>
      <c r="G4" s="28">
        <f t="shared" si="3"/>
        <v>577</v>
      </c>
      <c r="H4" s="19">
        <f t="array" ref="H4:H24">G4:G24-G3:G23</f>
        <v>0</v>
      </c>
      <c r="I4" s="32">
        <f t="shared" ref="I4:I15" si="5">I3</f>
        <v>147</v>
      </c>
      <c r="J4" s="19">
        <f t="array" ref="J4:J24">I4:I24-I3:I23</f>
        <v>0</v>
      </c>
      <c r="K4" s="33">
        <f t="shared" ref="K4:K5" si="6">K3</f>
        <v>1</v>
      </c>
      <c r="L4" s="19">
        <f t="array" ref="L4:L24">K4:K24-K3:K23</f>
        <v>0</v>
      </c>
      <c r="M4" s="33">
        <f>M3</f>
        <v>486</v>
      </c>
      <c r="N4" s="19">
        <f t="array" ref="N4:N24">M4:M24-M3:M23</f>
        <v>0</v>
      </c>
      <c r="O4" s="32">
        <f t="shared" ref="O4:O24" si="7">O3</f>
        <v>28</v>
      </c>
      <c r="P4" s="19">
        <f t="array" ref="P4:P24">O4:O24-O3:O23</f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WORKDAY($A$3,row(A2),Holidays!$B$2:$B997)</f>
        <v>45841</v>
      </c>
      <c r="B5" s="29">
        <f>B4-2</f>
        <v>406</v>
      </c>
      <c r="C5" s="29">
        <f>C4-19</f>
        <v>24</v>
      </c>
      <c r="D5" s="28">
        <f t="shared" si="2"/>
        <v>430</v>
      </c>
      <c r="E5" s="19">
        <v>-21.0</v>
      </c>
      <c r="F5" s="32">
        <f t="shared" si="4"/>
        <v>126</v>
      </c>
      <c r="G5" s="28">
        <f t="shared" si="3"/>
        <v>556</v>
      </c>
      <c r="H5" s="19">
        <v>-21.0</v>
      </c>
      <c r="I5" s="32">
        <f t="shared" si="5"/>
        <v>147</v>
      </c>
      <c r="J5" s="19">
        <v>0.0</v>
      </c>
      <c r="K5" s="32">
        <f t="shared" si="6"/>
        <v>1</v>
      </c>
      <c r="L5" s="19">
        <v>0.0</v>
      </c>
      <c r="M5" s="32">
        <f>M4-2</f>
        <v>484</v>
      </c>
      <c r="N5" s="19">
        <v>-2.0</v>
      </c>
      <c r="O5" s="32">
        <f t="shared" si="7"/>
        <v>28</v>
      </c>
      <c r="P5" s="19">
        <v>0.0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WORKDAY($A$3,row(A3),Holidays!$B$2:$B997)</f>
        <v>45845</v>
      </c>
      <c r="B6" s="29">
        <f>B5+15+6+17-9</f>
        <v>435</v>
      </c>
      <c r="C6" s="29">
        <f>C5-7</f>
        <v>17</v>
      </c>
      <c r="D6" s="28">
        <f t="shared" si="2"/>
        <v>452</v>
      </c>
      <c r="E6" s="19">
        <v>22.0</v>
      </c>
      <c r="F6" s="32">
        <f t="shared" si="4"/>
        <v>126</v>
      </c>
      <c r="G6" s="28">
        <f t="shared" si="3"/>
        <v>578</v>
      </c>
      <c r="H6" s="19">
        <v>22.0</v>
      </c>
      <c r="I6" s="32">
        <f t="shared" si="5"/>
        <v>147</v>
      </c>
      <c r="J6" s="19">
        <v>0.0</v>
      </c>
      <c r="K6" s="32">
        <f>K5-1</f>
        <v>0</v>
      </c>
      <c r="L6" s="19">
        <v>-1.0</v>
      </c>
      <c r="M6" s="32">
        <f>M5-8+38</f>
        <v>514</v>
      </c>
      <c r="N6" s="19">
        <v>30.0</v>
      </c>
      <c r="O6" s="32">
        <f t="shared" si="7"/>
        <v>28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WORKDAY($A$3,row(A4),Holidays!$B$2:$B997)</f>
        <v>45846</v>
      </c>
      <c r="B7" s="29">
        <f>B6-11</f>
        <v>424</v>
      </c>
      <c r="C7" s="29">
        <f>C6-6</f>
        <v>11</v>
      </c>
      <c r="D7" s="28">
        <f t="shared" si="2"/>
        <v>435</v>
      </c>
      <c r="E7" s="19">
        <v>-17.0</v>
      </c>
      <c r="F7" s="32">
        <f t="shared" si="4"/>
        <v>126</v>
      </c>
      <c r="G7" s="28">
        <f t="shared" si="3"/>
        <v>561</v>
      </c>
      <c r="H7" s="19">
        <v>-17.0</v>
      </c>
      <c r="I7" s="32">
        <f t="shared" si="5"/>
        <v>147</v>
      </c>
      <c r="J7" s="19">
        <v>0.0</v>
      </c>
      <c r="K7" s="32">
        <f t="shared" ref="K7:K24" si="9">K6</f>
        <v>0</v>
      </c>
      <c r="L7" s="19">
        <v>0.0</v>
      </c>
      <c r="M7" s="32">
        <f>M6-11</f>
        <v>503</v>
      </c>
      <c r="N7" s="19">
        <v>-11.0</v>
      </c>
      <c r="O7" s="32">
        <f t="shared" si="7"/>
        <v>28</v>
      </c>
      <c r="P7" s="19">
        <v>0.0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WORKDAY($A$3,row(A5),Holidays!$B$2:$B997)</f>
        <v>45847</v>
      </c>
      <c r="B8" s="29">
        <f t="shared" ref="B8:C8" si="8">B7</f>
        <v>424</v>
      </c>
      <c r="C8" s="29">
        <f t="shared" si="8"/>
        <v>11</v>
      </c>
      <c r="D8" s="28">
        <f t="shared" si="2"/>
        <v>435</v>
      </c>
      <c r="E8" s="19">
        <v>0.0</v>
      </c>
      <c r="F8" s="32">
        <f t="shared" si="4"/>
        <v>126</v>
      </c>
      <c r="G8" s="28">
        <f t="shared" si="3"/>
        <v>561</v>
      </c>
      <c r="H8" s="19">
        <v>0.0</v>
      </c>
      <c r="I8" s="32">
        <f t="shared" si="5"/>
        <v>147</v>
      </c>
      <c r="J8" s="19">
        <v>0.0</v>
      </c>
      <c r="K8" s="32">
        <f t="shared" si="9"/>
        <v>0</v>
      </c>
      <c r="L8" s="19">
        <v>0.0</v>
      </c>
      <c r="M8" s="32">
        <f t="shared" ref="M8:M9" si="11">M7</f>
        <v>503</v>
      </c>
      <c r="N8" s="19">
        <v>0.0</v>
      </c>
      <c r="O8" s="32">
        <f t="shared" si="7"/>
        <v>28</v>
      </c>
      <c r="P8" s="19">
        <v>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WORKDAY($A$3,row(A6),Holidays!$B$2:$B997)</f>
        <v>45848</v>
      </c>
      <c r="B9" s="29">
        <f t="shared" ref="B9:C9" si="10">B8</f>
        <v>424</v>
      </c>
      <c r="C9" s="29">
        <f t="shared" si="10"/>
        <v>11</v>
      </c>
      <c r="D9" s="28">
        <f t="shared" si="2"/>
        <v>435</v>
      </c>
      <c r="E9" s="19">
        <v>0.0</v>
      </c>
      <c r="F9" s="32">
        <f t="shared" si="4"/>
        <v>126</v>
      </c>
      <c r="G9" s="28">
        <f t="shared" si="3"/>
        <v>561</v>
      </c>
      <c r="H9" s="19">
        <v>0.0</v>
      </c>
      <c r="I9" s="33">
        <f t="shared" si="5"/>
        <v>147</v>
      </c>
      <c r="J9" s="19">
        <v>0.0</v>
      </c>
      <c r="K9" s="32">
        <f t="shared" si="9"/>
        <v>0</v>
      </c>
      <c r="L9" s="19">
        <v>0.0</v>
      </c>
      <c r="M9" s="32">
        <f t="shared" si="11"/>
        <v>503</v>
      </c>
      <c r="N9" s="19">
        <v>0.0</v>
      </c>
      <c r="O9" s="32">
        <f t="shared" si="7"/>
        <v>28</v>
      </c>
      <c r="P9" s="19">
        <v>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WORKDAY($A$3,row(A7),Holidays!$B$2:$B997)</f>
        <v>45849</v>
      </c>
      <c r="B10" s="29">
        <f>B9+2-5</f>
        <v>421</v>
      </c>
      <c r="C10" s="29">
        <f t="shared" ref="C10:C11" si="12">C9-1</f>
        <v>10</v>
      </c>
      <c r="D10" s="28">
        <f t="shared" si="2"/>
        <v>431</v>
      </c>
      <c r="E10" s="19">
        <v>-4.0</v>
      </c>
      <c r="F10" s="32">
        <f t="shared" si="4"/>
        <v>126</v>
      </c>
      <c r="G10" s="28">
        <f t="shared" si="3"/>
        <v>557</v>
      </c>
      <c r="H10" s="19">
        <v>-4.0</v>
      </c>
      <c r="I10" s="32">
        <f t="shared" si="5"/>
        <v>147</v>
      </c>
      <c r="J10" s="19">
        <v>0.0</v>
      </c>
      <c r="K10" s="32">
        <f t="shared" si="9"/>
        <v>0</v>
      </c>
      <c r="L10" s="19">
        <v>0.0</v>
      </c>
      <c r="M10" s="32">
        <f>M9+2-5</f>
        <v>500</v>
      </c>
      <c r="N10" s="19">
        <v>-3.0</v>
      </c>
      <c r="O10" s="32">
        <f t="shared" si="7"/>
        <v>28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WORKDAY($A$3,row(A8),Holidays!$B$2:$B997)</f>
        <v>45852</v>
      </c>
      <c r="B11" s="29">
        <f>B10</f>
        <v>421</v>
      </c>
      <c r="C11" s="29">
        <f t="shared" si="12"/>
        <v>9</v>
      </c>
      <c r="D11" s="28">
        <f t="shared" si="2"/>
        <v>430</v>
      </c>
      <c r="E11" s="19">
        <v>-1.0</v>
      </c>
      <c r="F11" s="32">
        <f t="shared" si="4"/>
        <v>126</v>
      </c>
      <c r="G11" s="28">
        <f t="shared" si="3"/>
        <v>556</v>
      </c>
      <c r="H11" s="19">
        <v>-1.0</v>
      </c>
      <c r="I11" s="32">
        <f t="shared" si="5"/>
        <v>147</v>
      </c>
      <c r="J11" s="19">
        <v>0.0</v>
      </c>
      <c r="K11" s="32">
        <f t="shared" si="9"/>
        <v>0</v>
      </c>
      <c r="L11" s="19">
        <v>0.0</v>
      </c>
      <c r="M11" s="32">
        <f>M10</f>
        <v>500</v>
      </c>
      <c r="N11" s="19">
        <v>0.0</v>
      </c>
      <c r="O11" s="32">
        <f t="shared" si="7"/>
        <v>28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WORKDAY($A$3,row(A9),Holidays!$B$2:$B997)</f>
        <v>45853</v>
      </c>
      <c r="B12" s="29">
        <f>B11-9</f>
        <v>412</v>
      </c>
      <c r="C12" s="29">
        <f>C11-6</f>
        <v>3</v>
      </c>
      <c r="D12" s="28">
        <f t="shared" si="2"/>
        <v>415</v>
      </c>
      <c r="E12" s="19">
        <v>-15.0</v>
      </c>
      <c r="F12" s="32">
        <f t="shared" si="4"/>
        <v>126</v>
      </c>
      <c r="G12" s="28">
        <f t="shared" si="3"/>
        <v>541</v>
      </c>
      <c r="H12" s="19">
        <v>-15.0</v>
      </c>
      <c r="I12" s="32">
        <f t="shared" si="5"/>
        <v>147</v>
      </c>
      <c r="J12" s="19">
        <v>0.0</v>
      </c>
      <c r="K12" s="32">
        <f t="shared" si="9"/>
        <v>0</v>
      </c>
      <c r="L12" s="19">
        <v>0.0</v>
      </c>
      <c r="M12" s="32">
        <f>M11-9</f>
        <v>491</v>
      </c>
      <c r="N12" s="19">
        <v>-9.0</v>
      </c>
      <c r="O12" s="32">
        <f t="shared" si="7"/>
        <v>28</v>
      </c>
      <c r="P12" s="19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WORKDAY($A$3,row(A10),Holidays!$B$2:$B997)</f>
        <v>45854</v>
      </c>
      <c r="B13" s="29">
        <f>B12-6+1+1</f>
        <v>408</v>
      </c>
      <c r="C13" s="29">
        <f>C12-5</f>
        <v>-2</v>
      </c>
      <c r="D13" s="28">
        <f t="shared" si="2"/>
        <v>406</v>
      </c>
      <c r="E13" s="19">
        <v>-9.0</v>
      </c>
      <c r="F13" s="32">
        <f t="shared" si="4"/>
        <v>126</v>
      </c>
      <c r="G13" s="28">
        <f t="shared" si="3"/>
        <v>532</v>
      </c>
      <c r="H13" s="19">
        <v>-9.0</v>
      </c>
      <c r="I13" s="32">
        <f t="shared" si="5"/>
        <v>147</v>
      </c>
      <c r="J13" s="19">
        <v>0.0</v>
      </c>
      <c r="K13" s="32">
        <f t="shared" si="9"/>
        <v>0</v>
      </c>
      <c r="L13" s="19">
        <v>0.0</v>
      </c>
      <c r="M13" s="32">
        <f>M12-6+2</f>
        <v>487</v>
      </c>
      <c r="N13" s="19">
        <v>-4.0</v>
      </c>
      <c r="O13" s="32">
        <f t="shared" si="7"/>
        <v>28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WORKDAY($A$3,row(A11),Holidays!$B$2:$B997)</f>
        <v>45855</v>
      </c>
      <c r="B14" s="29">
        <f>B13-6</f>
        <v>402</v>
      </c>
      <c r="C14" s="29">
        <f>C13</f>
        <v>-2</v>
      </c>
      <c r="D14" s="28">
        <f t="shared" si="2"/>
        <v>400</v>
      </c>
      <c r="E14" s="19">
        <v>-6.0</v>
      </c>
      <c r="F14" s="32">
        <f t="shared" si="4"/>
        <v>126</v>
      </c>
      <c r="G14" s="28">
        <f t="shared" si="3"/>
        <v>526</v>
      </c>
      <c r="H14" s="19">
        <v>-6.0</v>
      </c>
      <c r="I14" s="32">
        <f t="shared" si="5"/>
        <v>147</v>
      </c>
      <c r="J14" s="19">
        <v>0.0</v>
      </c>
      <c r="K14" s="32">
        <f t="shared" si="9"/>
        <v>0</v>
      </c>
      <c r="L14" s="19">
        <v>0.0</v>
      </c>
      <c r="M14" s="32">
        <f>M13-6</f>
        <v>481</v>
      </c>
      <c r="N14" s="19">
        <v>-6.0</v>
      </c>
      <c r="O14" s="32">
        <f t="shared" si="7"/>
        <v>28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WORKDAY($A$3,row(A12),Holidays!$B$2:$B997)</f>
        <v>45856</v>
      </c>
      <c r="B15" s="29">
        <f>B14-5</f>
        <v>397</v>
      </c>
      <c r="C15" s="29">
        <f>C14-8</f>
        <v>-10</v>
      </c>
      <c r="D15" s="28">
        <f t="shared" si="2"/>
        <v>387</v>
      </c>
      <c r="E15" s="19">
        <v>-13.0</v>
      </c>
      <c r="F15" s="32">
        <f t="shared" si="4"/>
        <v>126</v>
      </c>
      <c r="G15" s="28">
        <f t="shared" si="3"/>
        <v>513</v>
      </c>
      <c r="H15" s="19">
        <v>-13.0</v>
      </c>
      <c r="I15" s="32">
        <f t="shared" si="5"/>
        <v>147</v>
      </c>
      <c r="J15" s="19">
        <v>0.0</v>
      </c>
      <c r="K15" s="32">
        <f t="shared" si="9"/>
        <v>0</v>
      </c>
      <c r="L15" s="19">
        <v>0.0</v>
      </c>
      <c r="M15" s="32">
        <f>M14-5</f>
        <v>476</v>
      </c>
      <c r="N15" s="19">
        <v>-5.0</v>
      </c>
      <c r="O15" s="32">
        <f t="shared" si="7"/>
        <v>28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WORKDAY($A$3,row(A13),Holidays!$B$2:$B997)</f>
        <v>45859</v>
      </c>
      <c r="B16" s="29">
        <f>B15-3</f>
        <v>394</v>
      </c>
      <c r="C16" s="29">
        <f>C15-4</f>
        <v>-14</v>
      </c>
      <c r="D16" s="28">
        <f t="shared" si="2"/>
        <v>380</v>
      </c>
      <c r="E16" s="19">
        <v>-7.0</v>
      </c>
      <c r="F16" s="32">
        <f t="shared" si="4"/>
        <v>126</v>
      </c>
      <c r="G16" s="28">
        <f t="shared" si="3"/>
        <v>506</v>
      </c>
      <c r="H16" s="19">
        <v>-7.0</v>
      </c>
      <c r="I16" s="32">
        <f>I15-1</f>
        <v>146</v>
      </c>
      <c r="J16" s="19">
        <v>-1.0</v>
      </c>
      <c r="K16" s="32">
        <f t="shared" si="9"/>
        <v>0</v>
      </c>
      <c r="L16" s="19">
        <v>0.0</v>
      </c>
      <c r="M16" s="32">
        <f>M15-3</f>
        <v>473</v>
      </c>
      <c r="N16" s="19">
        <v>-3.0</v>
      </c>
      <c r="O16" s="32">
        <f t="shared" si="7"/>
        <v>28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WORKDAY($A$3,row(A14),Holidays!$B$2:$B997)</f>
        <v>45860</v>
      </c>
      <c r="B17" s="29">
        <f>B16+1-5</f>
        <v>390</v>
      </c>
      <c r="C17" s="29">
        <f>C16-5-1</f>
        <v>-20</v>
      </c>
      <c r="D17" s="28">
        <f t="shared" si="2"/>
        <v>370</v>
      </c>
      <c r="E17" s="19">
        <v>-10.0</v>
      </c>
      <c r="F17" s="32">
        <f t="shared" si="4"/>
        <v>126</v>
      </c>
      <c r="G17" s="28">
        <f t="shared" si="3"/>
        <v>496</v>
      </c>
      <c r="H17" s="19">
        <v>-10.0</v>
      </c>
      <c r="I17" s="32">
        <f t="shared" ref="I17:I20" si="13">I16</f>
        <v>146</v>
      </c>
      <c r="J17" s="19">
        <v>0.0</v>
      </c>
      <c r="K17" s="32">
        <f t="shared" si="9"/>
        <v>0</v>
      </c>
      <c r="L17" s="19">
        <v>0.0</v>
      </c>
      <c r="M17" s="32">
        <f>M16-5</f>
        <v>468</v>
      </c>
      <c r="N17" s="19">
        <v>-5.0</v>
      </c>
      <c r="O17" s="32">
        <f t="shared" si="7"/>
        <v>28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WORKDAY($A$3,row(A15),Holidays!$B$2:$B997)</f>
        <v>45861</v>
      </c>
      <c r="B18" s="29">
        <f>B17+2-1</f>
        <v>391</v>
      </c>
      <c r="C18" s="29">
        <f>C17-2</f>
        <v>-22</v>
      </c>
      <c r="D18" s="28">
        <f t="shared" si="2"/>
        <v>369</v>
      </c>
      <c r="E18" s="19">
        <v>-1.0</v>
      </c>
      <c r="F18" s="32">
        <f t="shared" si="4"/>
        <v>126</v>
      </c>
      <c r="G18" s="28">
        <f t="shared" si="3"/>
        <v>495</v>
      </c>
      <c r="H18" s="19">
        <v>-1.0</v>
      </c>
      <c r="I18" s="32">
        <f t="shared" si="13"/>
        <v>146</v>
      </c>
      <c r="J18" s="19">
        <v>0.0</v>
      </c>
      <c r="K18" s="32">
        <f t="shared" si="9"/>
        <v>0</v>
      </c>
      <c r="L18" s="19">
        <v>0.0</v>
      </c>
      <c r="M18" s="32">
        <f>M17-1+2</f>
        <v>469</v>
      </c>
      <c r="N18" s="19">
        <v>1.0</v>
      </c>
      <c r="O18" s="32">
        <f t="shared" si="7"/>
        <v>28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WORKDAY($A$3,row(A16),Holidays!$B$2:$B997)</f>
        <v>45862</v>
      </c>
      <c r="B19" s="29">
        <f>B18-12</f>
        <v>379</v>
      </c>
      <c r="C19" s="29">
        <f>C18</f>
        <v>-22</v>
      </c>
      <c r="D19" s="28">
        <f t="shared" si="2"/>
        <v>357</v>
      </c>
      <c r="E19" s="19">
        <v>-12.0</v>
      </c>
      <c r="F19" s="32">
        <f t="shared" si="4"/>
        <v>126</v>
      </c>
      <c r="G19" s="28">
        <f t="shared" si="3"/>
        <v>483</v>
      </c>
      <c r="H19" s="19">
        <v>-12.0</v>
      </c>
      <c r="I19" s="32">
        <f t="shared" si="13"/>
        <v>146</v>
      </c>
      <c r="J19" s="19">
        <v>0.0</v>
      </c>
      <c r="K19" s="32">
        <f t="shared" si="9"/>
        <v>0</v>
      </c>
      <c r="L19" s="19">
        <v>0.0</v>
      </c>
      <c r="M19" s="32">
        <f>M18-12</f>
        <v>457</v>
      </c>
      <c r="N19" s="19">
        <v>-12.0</v>
      </c>
      <c r="O19" s="33">
        <f t="shared" si="7"/>
        <v>28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WORKDAY($A$3,row(A17),Holidays!$B$2:$B997)</f>
        <v>45863</v>
      </c>
      <c r="B20" s="29">
        <f>B19-8</f>
        <v>371</v>
      </c>
      <c r="C20" s="29">
        <f>C19-8-1</f>
        <v>-31</v>
      </c>
      <c r="D20" s="28">
        <f t="shared" si="2"/>
        <v>340</v>
      </c>
      <c r="E20" s="19">
        <v>-17.0</v>
      </c>
      <c r="F20" s="32">
        <f t="shared" si="4"/>
        <v>126</v>
      </c>
      <c r="G20" s="28">
        <f t="shared" si="3"/>
        <v>466</v>
      </c>
      <c r="H20" s="19">
        <v>-17.0</v>
      </c>
      <c r="I20" s="32">
        <f t="shared" si="13"/>
        <v>146</v>
      </c>
      <c r="J20" s="19">
        <v>0.0</v>
      </c>
      <c r="K20" s="32">
        <f t="shared" si="9"/>
        <v>0</v>
      </c>
      <c r="L20" s="19">
        <v>0.0</v>
      </c>
      <c r="M20" s="32">
        <f>M19-8</f>
        <v>449</v>
      </c>
      <c r="N20" s="19">
        <v>-8.0</v>
      </c>
      <c r="O20" s="32">
        <f t="shared" si="7"/>
        <v>28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WORKDAY($A$3,row(A18),Holidays!$B$2:$B997)</f>
        <v>45866</v>
      </c>
      <c r="B21" s="29">
        <f>B20-2</f>
        <v>369</v>
      </c>
      <c r="C21" s="29">
        <f>C20-3</f>
        <v>-34</v>
      </c>
      <c r="D21" s="28">
        <f t="shared" si="2"/>
        <v>335</v>
      </c>
      <c r="E21" s="19">
        <v>-5.0</v>
      </c>
      <c r="F21" s="32">
        <f t="shared" si="4"/>
        <v>126</v>
      </c>
      <c r="G21" s="28">
        <f t="shared" si="3"/>
        <v>461</v>
      </c>
      <c r="H21" s="19">
        <v>-5.0</v>
      </c>
      <c r="I21" s="32">
        <f>I20-1</f>
        <v>145</v>
      </c>
      <c r="J21" s="19">
        <v>-1.0</v>
      </c>
      <c r="K21" s="32">
        <f t="shared" si="9"/>
        <v>0</v>
      </c>
      <c r="L21" s="19">
        <v>0.0</v>
      </c>
      <c r="M21" s="32">
        <f>M20-2</f>
        <v>447</v>
      </c>
      <c r="N21" s="19">
        <v>-2.0</v>
      </c>
      <c r="O21" s="32">
        <f t="shared" si="7"/>
        <v>28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WORKDAY($A$3,row(A19),Holidays!$B$2:$B997)</f>
        <v>45867</v>
      </c>
      <c r="B22" s="29">
        <f t="shared" ref="B22:C22" si="14">B21</f>
        <v>369</v>
      </c>
      <c r="C22" s="29">
        <f t="shared" si="14"/>
        <v>-34</v>
      </c>
      <c r="D22" s="28">
        <f t="shared" si="2"/>
        <v>335</v>
      </c>
      <c r="E22" s="19">
        <v>0.0</v>
      </c>
      <c r="F22" s="32">
        <f t="shared" si="4"/>
        <v>126</v>
      </c>
      <c r="G22" s="28">
        <f t="shared" si="3"/>
        <v>461</v>
      </c>
      <c r="H22" s="19">
        <v>0.0</v>
      </c>
      <c r="I22" s="32">
        <f t="shared" ref="I22:I24" si="16">I21</f>
        <v>145</v>
      </c>
      <c r="J22" s="19">
        <v>0.0</v>
      </c>
      <c r="K22" s="32">
        <f t="shared" si="9"/>
        <v>0</v>
      </c>
      <c r="L22" s="19">
        <v>0.0</v>
      </c>
      <c r="M22" s="32">
        <f t="shared" ref="M22:M23" si="17">M21</f>
        <v>447</v>
      </c>
      <c r="N22" s="19">
        <v>0.0</v>
      </c>
      <c r="O22" s="32">
        <f t="shared" si="7"/>
        <v>28</v>
      </c>
      <c r="P22" s="19">
        <v>0.0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0">
        <f>WORKDAY($A$3,row(A20),Holidays!$B$2:$B997)</f>
        <v>45868</v>
      </c>
      <c r="B23" s="29">
        <f t="shared" ref="B23:C23" si="15">B22</f>
        <v>369</v>
      </c>
      <c r="C23" s="29">
        <f t="shared" si="15"/>
        <v>-34</v>
      </c>
      <c r="D23" s="28">
        <f t="shared" si="2"/>
        <v>335</v>
      </c>
      <c r="E23" s="19">
        <v>0.0</v>
      </c>
      <c r="F23" s="32">
        <f t="shared" si="4"/>
        <v>126</v>
      </c>
      <c r="G23" s="28">
        <f t="shared" si="3"/>
        <v>461</v>
      </c>
      <c r="H23" s="19">
        <v>0.0</v>
      </c>
      <c r="I23" s="32">
        <f t="shared" si="16"/>
        <v>145</v>
      </c>
      <c r="J23" s="19">
        <v>0.0</v>
      </c>
      <c r="K23" s="32">
        <f t="shared" si="9"/>
        <v>0</v>
      </c>
      <c r="L23" s="19">
        <v>0.0</v>
      </c>
      <c r="M23" s="32">
        <f t="shared" si="17"/>
        <v>447</v>
      </c>
      <c r="N23" s="19">
        <v>0.0</v>
      </c>
      <c r="O23" s="32">
        <f t="shared" si="7"/>
        <v>28</v>
      </c>
      <c r="P23" s="19">
        <v>0.0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0">
        <f>WORKDAY($A$3,row(A21),Holidays!$B$2:$B997)</f>
        <v>45869</v>
      </c>
      <c r="B24" s="29">
        <f>B23+1-1</f>
        <v>369</v>
      </c>
      <c r="C24" s="29">
        <f>C23</f>
        <v>-34</v>
      </c>
      <c r="D24" s="28">
        <f t="shared" si="2"/>
        <v>335</v>
      </c>
      <c r="E24" s="19">
        <v>0.0</v>
      </c>
      <c r="F24" s="32">
        <f t="shared" si="4"/>
        <v>126</v>
      </c>
      <c r="G24" s="28">
        <f t="shared" si="3"/>
        <v>461</v>
      </c>
      <c r="H24" s="19">
        <v>0.0</v>
      </c>
      <c r="I24" s="32">
        <f t="shared" si="16"/>
        <v>145</v>
      </c>
      <c r="J24" s="19">
        <v>0.0</v>
      </c>
      <c r="K24" s="32">
        <f t="shared" si="9"/>
        <v>0</v>
      </c>
      <c r="L24" s="19">
        <v>0.0</v>
      </c>
      <c r="M24" s="32">
        <f>M23-1</f>
        <v>446</v>
      </c>
      <c r="N24" s="19">
        <v>-1.0</v>
      </c>
      <c r="O24" s="32">
        <f t="shared" si="7"/>
        <v>28</v>
      </c>
      <c r="P24" s="19">
        <v>0.0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5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5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5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5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5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5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5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5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5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5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5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5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5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5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5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5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5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5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5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5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5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5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5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5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5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5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5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5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5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5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5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5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5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5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5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5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5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5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5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5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5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5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5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5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5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5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5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5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5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5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5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5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5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5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5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5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5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5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5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5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5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5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5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5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5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5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5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5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5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5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5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5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5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5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5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5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5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5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5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5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5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5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5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5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5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5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5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5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5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5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5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5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5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5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5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5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5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5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5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5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5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5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5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5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5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5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5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5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5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5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5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5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5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5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5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5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5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5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5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5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5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5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5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5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5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5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5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5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5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5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5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5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5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5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5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5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5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5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5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5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5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5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5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5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5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5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5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5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5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5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5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5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5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5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5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5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5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5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5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5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5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5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5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5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5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5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5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5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5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5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5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5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5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5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5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5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5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5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5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5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5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5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5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5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5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5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5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5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5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5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5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5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5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5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5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5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5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5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5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5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5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5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5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5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5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5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5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5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5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5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5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5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5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5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5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5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5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5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5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5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5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5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5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5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5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5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5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5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5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5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5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5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5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5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5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5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5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5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5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5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5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5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5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5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5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5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5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5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5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5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5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5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5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5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5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5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5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5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5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5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5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5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5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5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5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5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5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5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5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5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5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5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5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5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5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5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5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5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5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5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5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5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5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5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5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5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5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5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5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5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5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5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5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5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5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5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5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5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5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5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5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5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5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5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5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5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5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5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5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5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5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5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5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5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5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5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5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5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5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5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5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5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5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5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5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5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5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5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5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5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5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5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5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5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5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5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5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5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5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5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5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5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5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5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5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5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5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5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5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5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5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5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5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5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5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5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5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5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5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5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5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5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5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5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5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5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5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5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5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5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5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5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5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5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5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5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5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5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5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5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5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5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5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5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5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5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5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5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5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5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5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5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5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5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5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5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5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5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5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5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5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5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5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5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5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5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5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5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5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5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5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5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5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5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5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5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5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5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5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5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5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5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5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5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5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5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5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5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5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5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5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5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5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5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5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5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5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5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5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5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5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5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5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5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5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5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5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5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5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5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5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5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5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5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5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5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5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5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5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5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5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5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5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5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5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5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5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5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5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5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5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5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5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5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5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5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5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5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5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5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5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5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5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5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5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5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5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5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5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5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5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5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5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5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5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5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5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5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5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5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5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5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5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5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5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5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5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5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5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5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5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5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5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5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5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5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5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5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5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5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5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5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5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5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5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5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5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5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5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5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5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5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5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5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5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5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5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5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5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5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5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5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5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5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5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5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5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5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5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5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5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5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5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5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5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5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5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5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5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5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5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5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5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5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5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5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5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5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5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5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5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5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5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5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5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5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5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5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5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5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5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5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5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5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5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5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5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5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5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5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5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5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5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5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5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5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5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5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5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5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5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5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5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5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5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5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5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5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5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5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5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5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5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5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5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5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5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5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5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5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5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5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5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5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5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5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5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5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5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5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5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5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5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5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5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5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5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5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5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5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5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5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5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5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5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5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5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5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5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5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5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5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5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5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5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5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5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5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5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5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5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5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5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5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5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5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5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5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5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5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5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5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5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5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5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5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5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5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5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5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5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5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5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5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5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5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5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5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5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5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5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5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5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5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5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5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5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5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5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5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5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5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5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5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5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5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5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5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5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5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5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5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5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5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5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5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5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5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5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5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5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5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5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5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5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5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5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5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5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5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5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5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5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5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5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5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5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5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5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5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5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5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5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5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5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5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5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5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5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5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5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5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5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5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5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5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5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5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5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5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5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5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5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5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5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5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5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5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5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5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5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5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5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5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5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5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5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5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5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5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5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5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5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5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5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5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5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5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5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5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5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5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5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5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5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5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5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5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5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5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5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5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5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5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5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5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5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5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5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5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5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5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5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5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5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5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5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5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5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5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5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5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5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5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5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5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5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5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5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5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5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5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5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5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5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5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5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5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5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5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5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5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5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5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5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5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5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5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5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5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5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5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5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5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5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5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5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5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5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5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5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5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5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5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5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5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5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5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5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5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5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5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5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5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5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5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5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5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5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5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5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5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5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5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5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5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5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5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5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5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5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5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5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5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5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5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5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5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5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5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5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5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5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5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5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5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5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5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5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5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5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5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5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5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5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5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5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5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5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5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5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5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5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5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5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5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5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5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5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5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5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5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5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5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5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5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5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5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5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5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5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5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5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5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5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5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5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5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5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5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5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5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5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5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5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5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5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5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5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5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5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5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5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5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5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5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5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5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5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5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5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5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2"/>
      <c r="B997" s="23"/>
      <c r="C997" s="23"/>
      <c r="D997" s="23"/>
      <c r="E997" s="25"/>
      <c r="F997" s="23"/>
      <c r="G997" s="23"/>
      <c r="H997" s="25"/>
      <c r="I997" s="23"/>
      <c r="J997" s="25"/>
      <c r="K997" s="23"/>
      <c r="L997" s="25"/>
      <c r="M997" s="23"/>
      <c r="N997" s="25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</sheetData>
  <mergeCells count="2">
    <mergeCell ref="B1:J1"/>
    <mergeCell ref="K1:P1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8" t="s">
        <v>6</v>
      </c>
      <c r="F2" s="7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45870.0</v>
      </c>
      <c r="B3" s="29">
        <f>'July 2025'!B24</f>
        <v>369</v>
      </c>
      <c r="C3" s="29">
        <f>'July 2025'!C24</f>
        <v>-34</v>
      </c>
      <c r="D3" s="28">
        <f t="shared" ref="D3:D23" si="1">SUM(B3:C3)</f>
        <v>335</v>
      </c>
      <c r="E3" s="19">
        <f>D3-'July 2025'!D24</f>
        <v>0</v>
      </c>
      <c r="F3" s="33">
        <f>'July 2025'!F24</f>
        <v>126</v>
      </c>
      <c r="G3" s="28">
        <f t="shared" ref="G3:G23" si="2">SUM(D3,F3)</f>
        <v>461</v>
      </c>
      <c r="H3" s="19">
        <f>G3-'July 2025'!G24</f>
        <v>0</v>
      </c>
      <c r="I3" s="33">
        <f>'July 2025'!I24</f>
        <v>145</v>
      </c>
      <c r="J3" s="19">
        <f>I3-'July 2025'!I24</f>
        <v>0</v>
      </c>
      <c r="K3" s="33">
        <f>'July 2025'!K24</f>
        <v>0</v>
      </c>
      <c r="L3" s="19">
        <f>K3-'July 2025'!K24</f>
        <v>0</v>
      </c>
      <c r="M3" s="33">
        <f>'July 2025'!M24</f>
        <v>446</v>
      </c>
      <c r="N3" s="19">
        <f>M3-'July 2025'!M24</f>
        <v>0</v>
      </c>
      <c r="O3" s="33">
        <f>'July 2025'!O24</f>
        <v>28</v>
      </c>
      <c r="P3" s="19">
        <f>O3-'July 2025'!O24</f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WORKDAY($A$3,row(A1),Holidays!$B$2:$B996)</f>
        <v>45873</v>
      </c>
      <c r="B4" s="29">
        <f>B3-1</f>
        <v>368</v>
      </c>
      <c r="C4" s="29">
        <f t="shared" ref="C4:C5" si="3">C3</f>
        <v>-34</v>
      </c>
      <c r="D4" s="28">
        <f t="shared" si="1"/>
        <v>334</v>
      </c>
      <c r="E4" s="19">
        <f t="array" ref="E4:E23">D4:D23-D3:D22</f>
        <v>-1</v>
      </c>
      <c r="F4" s="32">
        <f t="shared" ref="F4:F23" si="4">F3</f>
        <v>126</v>
      </c>
      <c r="G4" s="28">
        <f t="shared" si="2"/>
        <v>460</v>
      </c>
      <c r="H4" s="19">
        <f t="array" ref="H4:H23">G4:G23-G3:G22</f>
        <v>-1</v>
      </c>
      <c r="I4" s="32">
        <f t="shared" ref="I4:I7" si="5">I3</f>
        <v>145</v>
      </c>
      <c r="J4" s="19">
        <f t="array" ref="J4:J23">I4:I23-I3:I22</f>
        <v>0</v>
      </c>
      <c r="K4" s="33">
        <f t="shared" ref="K4:K11" si="6">K3</f>
        <v>0</v>
      </c>
      <c r="L4" s="19">
        <f t="array" ref="L4:L23">K4:K23-K3:K22</f>
        <v>0</v>
      </c>
      <c r="M4" s="33">
        <f>M3-1</f>
        <v>445</v>
      </c>
      <c r="N4" s="19">
        <f t="array" ref="N4:N23">M4:M23-M3:M22</f>
        <v>-1</v>
      </c>
      <c r="O4" s="32">
        <f t="shared" ref="O4:O23" si="7">O3</f>
        <v>28</v>
      </c>
      <c r="P4" s="19">
        <f t="array" ref="P4:P23">O4:O23-O3:O22</f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WORKDAY($A$3,row(A2),Holidays!$B$2:$B996)</f>
        <v>45874</v>
      </c>
      <c r="B5" s="29">
        <f>B4-3</f>
        <v>365</v>
      </c>
      <c r="C5" s="29">
        <f t="shared" si="3"/>
        <v>-34</v>
      </c>
      <c r="D5" s="28">
        <f t="shared" si="1"/>
        <v>331</v>
      </c>
      <c r="E5" s="19">
        <v>-3.0</v>
      </c>
      <c r="F5" s="32">
        <f t="shared" si="4"/>
        <v>126</v>
      </c>
      <c r="G5" s="28">
        <f t="shared" si="2"/>
        <v>457</v>
      </c>
      <c r="H5" s="19">
        <v>-3.0</v>
      </c>
      <c r="I5" s="32">
        <f t="shared" si="5"/>
        <v>145</v>
      </c>
      <c r="J5" s="19">
        <v>0.0</v>
      </c>
      <c r="K5" s="32">
        <f t="shared" si="6"/>
        <v>0</v>
      </c>
      <c r="L5" s="19">
        <v>0.0</v>
      </c>
      <c r="M5" s="32">
        <f>M4-3</f>
        <v>442</v>
      </c>
      <c r="N5" s="19">
        <v>-3.0</v>
      </c>
      <c r="O5" s="32">
        <f t="shared" si="7"/>
        <v>28</v>
      </c>
      <c r="P5" s="19">
        <v>0.0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WORKDAY($A$3,row(A3),Holidays!$B$2:$B996)</f>
        <v>45875</v>
      </c>
      <c r="B6" s="29">
        <f>B5-2</f>
        <v>363</v>
      </c>
      <c r="C6" s="29">
        <f>C5-1</f>
        <v>-35</v>
      </c>
      <c r="D6" s="28">
        <f t="shared" si="1"/>
        <v>328</v>
      </c>
      <c r="E6" s="19">
        <v>-3.0</v>
      </c>
      <c r="F6" s="32">
        <f t="shared" si="4"/>
        <v>126</v>
      </c>
      <c r="G6" s="28">
        <f t="shared" si="2"/>
        <v>454</v>
      </c>
      <c r="H6" s="19">
        <v>-3.0</v>
      </c>
      <c r="I6" s="32">
        <f t="shared" si="5"/>
        <v>145</v>
      </c>
      <c r="J6" s="19">
        <v>0.0</v>
      </c>
      <c r="K6" s="32">
        <f t="shared" si="6"/>
        <v>0</v>
      </c>
      <c r="L6" s="19">
        <v>0.0</v>
      </c>
      <c r="M6" s="32">
        <f>M5-2</f>
        <v>440</v>
      </c>
      <c r="N6" s="19">
        <v>-2.0</v>
      </c>
      <c r="O6" s="32">
        <f t="shared" si="7"/>
        <v>28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WORKDAY($A$3,row(A4),Holidays!$B$2:$B996)</f>
        <v>45876</v>
      </c>
      <c r="B7" s="29">
        <f t="shared" ref="B7:C7" si="8">B6</f>
        <v>363</v>
      </c>
      <c r="C7" s="29">
        <f t="shared" si="8"/>
        <v>-35</v>
      </c>
      <c r="D7" s="28">
        <f t="shared" si="1"/>
        <v>328</v>
      </c>
      <c r="E7" s="19">
        <v>0.0</v>
      </c>
      <c r="F7" s="32">
        <f t="shared" si="4"/>
        <v>126</v>
      </c>
      <c r="G7" s="28">
        <f t="shared" si="2"/>
        <v>454</v>
      </c>
      <c r="H7" s="19">
        <v>0.0</v>
      </c>
      <c r="I7" s="32">
        <f t="shared" si="5"/>
        <v>145</v>
      </c>
      <c r="J7" s="19">
        <v>0.0</v>
      </c>
      <c r="K7" s="32">
        <f t="shared" si="6"/>
        <v>0</v>
      </c>
      <c r="L7" s="19">
        <v>0.0</v>
      </c>
      <c r="M7" s="32">
        <f t="shared" ref="M7:M8" si="10">M6</f>
        <v>440</v>
      </c>
      <c r="N7" s="19">
        <v>0.0</v>
      </c>
      <c r="O7" s="32">
        <f t="shared" si="7"/>
        <v>28</v>
      </c>
      <c r="P7" s="19">
        <v>0.0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WORKDAY($A$3,row(A5),Holidays!$B$2:$B996)</f>
        <v>45877</v>
      </c>
      <c r="B8" s="29">
        <f t="shared" ref="B8:C8" si="9">B7</f>
        <v>363</v>
      </c>
      <c r="C8" s="29">
        <f t="shared" si="9"/>
        <v>-35</v>
      </c>
      <c r="D8" s="28">
        <f t="shared" si="1"/>
        <v>328</v>
      </c>
      <c r="E8" s="19">
        <v>0.0</v>
      </c>
      <c r="F8" s="32">
        <f t="shared" si="4"/>
        <v>126</v>
      </c>
      <c r="G8" s="28">
        <f t="shared" si="2"/>
        <v>454</v>
      </c>
      <c r="H8" s="19">
        <v>0.0</v>
      </c>
      <c r="I8" s="32">
        <f>I7-1</f>
        <v>144</v>
      </c>
      <c r="J8" s="19">
        <v>-1.0</v>
      </c>
      <c r="K8" s="32">
        <f t="shared" si="6"/>
        <v>0</v>
      </c>
      <c r="L8" s="19">
        <v>0.0</v>
      </c>
      <c r="M8" s="32">
        <f t="shared" si="10"/>
        <v>440</v>
      </c>
      <c r="N8" s="19">
        <v>0.0</v>
      </c>
      <c r="O8" s="32">
        <f t="shared" si="7"/>
        <v>28</v>
      </c>
      <c r="P8" s="19">
        <v>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WORKDAY($A$3,row(A6),Holidays!$B$2:$B996)</f>
        <v>45880</v>
      </c>
      <c r="B9" s="29">
        <f>B8+1-2-2</f>
        <v>360</v>
      </c>
      <c r="C9" s="29">
        <f>C8-1+2</f>
        <v>-34</v>
      </c>
      <c r="D9" s="28">
        <f t="shared" si="1"/>
        <v>326</v>
      </c>
      <c r="E9" s="19">
        <v>-2.0</v>
      </c>
      <c r="F9" s="32">
        <f t="shared" si="4"/>
        <v>126</v>
      </c>
      <c r="G9" s="28">
        <f t="shared" si="2"/>
        <v>452</v>
      </c>
      <c r="H9" s="19">
        <v>-2.0</v>
      </c>
      <c r="I9" s="33">
        <f t="shared" ref="I9:I10" si="12">I8</f>
        <v>144</v>
      </c>
      <c r="J9" s="19">
        <v>0.0</v>
      </c>
      <c r="K9" s="32">
        <f t="shared" si="6"/>
        <v>0</v>
      </c>
      <c r="L9" s="19">
        <v>0.0</v>
      </c>
      <c r="M9" s="32">
        <f>M8-2</f>
        <v>438</v>
      </c>
      <c r="N9" s="19">
        <v>-2.0</v>
      </c>
      <c r="O9" s="32">
        <f t="shared" si="7"/>
        <v>28</v>
      </c>
      <c r="P9" s="19">
        <v>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WORKDAY($A$3,row(A7),Holidays!$B$2:$B996)</f>
        <v>45881</v>
      </c>
      <c r="B10" s="29">
        <f t="shared" ref="B10:C10" si="11">B9</f>
        <v>360</v>
      </c>
      <c r="C10" s="29">
        <f t="shared" si="11"/>
        <v>-34</v>
      </c>
      <c r="D10" s="28">
        <f t="shared" si="1"/>
        <v>326</v>
      </c>
      <c r="E10" s="19">
        <v>0.0</v>
      </c>
      <c r="F10" s="32">
        <f t="shared" si="4"/>
        <v>126</v>
      </c>
      <c r="G10" s="28">
        <f t="shared" si="2"/>
        <v>452</v>
      </c>
      <c r="H10" s="19">
        <v>0.0</v>
      </c>
      <c r="I10" s="32">
        <f t="shared" si="12"/>
        <v>144</v>
      </c>
      <c r="J10" s="19">
        <v>0.0</v>
      </c>
      <c r="K10" s="32">
        <f t="shared" si="6"/>
        <v>0</v>
      </c>
      <c r="L10" s="19">
        <v>0.0</v>
      </c>
      <c r="M10" s="32">
        <f>M9</f>
        <v>438</v>
      </c>
      <c r="N10" s="19">
        <v>0.0</v>
      </c>
      <c r="O10" s="32">
        <f t="shared" si="7"/>
        <v>28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WORKDAY($A$3,row(A8),Holidays!$B$2:$B996)</f>
        <v>45882</v>
      </c>
      <c r="B11" s="29">
        <f>B10-5</f>
        <v>355</v>
      </c>
      <c r="C11" s="29">
        <f>C10</f>
        <v>-34</v>
      </c>
      <c r="D11" s="28">
        <f t="shared" si="1"/>
        <v>321</v>
      </c>
      <c r="E11" s="19">
        <v>-5.0</v>
      </c>
      <c r="F11" s="32">
        <f t="shared" si="4"/>
        <v>126</v>
      </c>
      <c r="G11" s="28">
        <f t="shared" si="2"/>
        <v>447</v>
      </c>
      <c r="H11" s="19">
        <v>-5.0</v>
      </c>
      <c r="I11" s="32">
        <f>I10-5</f>
        <v>139</v>
      </c>
      <c r="J11" s="19">
        <v>-5.0</v>
      </c>
      <c r="K11" s="32">
        <f t="shared" si="6"/>
        <v>0</v>
      </c>
      <c r="L11" s="19">
        <v>0.0</v>
      </c>
      <c r="M11" s="32">
        <f>M10-5</f>
        <v>433</v>
      </c>
      <c r="N11" s="19">
        <v>-5.0</v>
      </c>
      <c r="O11" s="32">
        <f t="shared" si="7"/>
        <v>28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WORKDAY($A$3,row(A9),Holidays!$B$2:$B996)</f>
        <v>45883</v>
      </c>
      <c r="B12" s="29">
        <f>B11</f>
        <v>355</v>
      </c>
      <c r="C12" s="29">
        <f>C11-1+2</f>
        <v>-33</v>
      </c>
      <c r="D12" s="28">
        <f t="shared" si="1"/>
        <v>322</v>
      </c>
      <c r="E12" s="19">
        <v>1.0</v>
      </c>
      <c r="F12" s="32">
        <f t="shared" si="4"/>
        <v>126</v>
      </c>
      <c r="G12" s="28">
        <f t="shared" si="2"/>
        <v>448</v>
      </c>
      <c r="H12" s="19">
        <v>1.0</v>
      </c>
      <c r="I12" s="32">
        <f t="shared" ref="I12:I23" si="13">I11</f>
        <v>139</v>
      </c>
      <c r="J12" s="19">
        <v>0.0</v>
      </c>
      <c r="K12" s="32">
        <f>K11+1</f>
        <v>1</v>
      </c>
      <c r="L12" s="19">
        <v>1.0</v>
      </c>
      <c r="M12" s="32">
        <f>M11+2</f>
        <v>435</v>
      </c>
      <c r="N12" s="19">
        <v>2.0</v>
      </c>
      <c r="O12" s="32">
        <f t="shared" si="7"/>
        <v>28</v>
      </c>
      <c r="P12" s="19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WORKDAY($A$3,row(A10),Holidays!$B$2:$B996)</f>
        <v>45884</v>
      </c>
      <c r="B13" s="29">
        <f>B12-1</f>
        <v>354</v>
      </c>
      <c r="C13" s="29">
        <f>C12-6</f>
        <v>-39</v>
      </c>
      <c r="D13" s="28">
        <f t="shared" si="1"/>
        <v>315</v>
      </c>
      <c r="E13" s="19">
        <v>-7.0</v>
      </c>
      <c r="F13" s="32">
        <f t="shared" si="4"/>
        <v>126</v>
      </c>
      <c r="G13" s="28">
        <f t="shared" si="2"/>
        <v>441</v>
      </c>
      <c r="H13" s="19">
        <v>-7.0</v>
      </c>
      <c r="I13" s="32">
        <f t="shared" si="13"/>
        <v>139</v>
      </c>
      <c r="J13" s="19">
        <v>0.0</v>
      </c>
      <c r="K13" s="32">
        <f>K12-1</f>
        <v>0</v>
      </c>
      <c r="L13" s="19">
        <v>-1.0</v>
      </c>
      <c r="M13" s="32">
        <f>M12-1</f>
        <v>434</v>
      </c>
      <c r="N13" s="19">
        <v>-1.0</v>
      </c>
      <c r="O13" s="32">
        <f t="shared" si="7"/>
        <v>28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WORKDAY($A$3,row(A11),Holidays!$B$2:$B996)</f>
        <v>45887</v>
      </c>
      <c r="B14" s="29">
        <f>B13+2+2</f>
        <v>358</v>
      </c>
      <c r="C14" s="29">
        <f>C13-2</f>
        <v>-41</v>
      </c>
      <c r="D14" s="28">
        <f t="shared" si="1"/>
        <v>317</v>
      </c>
      <c r="E14" s="19">
        <v>2.0</v>
      </c>
      <c r="F14" s="32">
        <f t="shared" si="4"/>
        <v>126</v>
      </c>
      <c r="G14" s="28">
        <f t="shared" si="2"/>
        <v>443</v>
      </c>
      <c r="H14" s="19">
        <v>2.0</v>
      </c>
      <c r="I14" s="32">
        <f t="shared" si="13"/>
        <v>139</v>
      </c>
      <c r="J14" s="19">
        <v>0.0</v>
      </c>
      <c r="K14" s="32">
        <f>K13+1</f>
        <v>1</v>
      </c>
      <c r="L14" s="19">
        <v>1.0</v>
      </c>
      <c r="M14" s="32">
        <f>M13+4</f>
        <v>438</v>
      </c>
      <c r="N14" s="19">
        <v>4.0</v>
      </c>
      <c r="O14" s="32">
        <f t="shared" si="7"/>
        <v>28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WORKDAY($A$3,row(A12),Holidays!$B$2:$B996)</f>
        <v>45888</v>
      </c>
      <c r="B15" s="29">
        <f>B14-5</f>
        <v>353</v>
      </c>
      <c r="C15" s="29">
        <f>C14</f>
        <v>-41</v>
      </c>
      <c r="D15" s="28">
        <f t="shared" si="1"/>
        <v>312</v>
      </c>
      <c r="E15" s="19">
        <v>-5.0</v>
      </c>
      <c r="F15" s="32">
        <f t="shared" si="4"/>
        <v>126</v>
      </c>
      <c r="G15" s="28">
        <f t="shared" si="2"/>
        <v>438</v>
      </c>
      <c r="H15" s="19">
        <v>-5.0</v>
      </c>
      <c r="I15" s="32">
        <f t="shared" si="13"/>
        <v>139</v>
      </c>
      <c r="J15" s="19">
        <v>0.0</v>
      </c>
      <c r="K15" s="32">
        <f>K14-1</f>
        <v>0</v>
      </c>
      <c r="L15" s="19">
        <v>-1.0</v>
      </c>
      <c r="M15" s="32">
        <f>M14-5</f>
        <v>433</v>
      </c>
      <c r="N15" s="19">
        <v>-5.0</v>
      </c>
      <c r="O15" s="32">
        <f t="shared" si="7"/>
        <v>28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WORKDAY($A$3,row(A13),Holidays!$B$2:$B996)</f>
        <v>45889</v>
      </c>
      <c r="B16" s="29">
        <f t="shared" ref="B16:C16" si="14">B15</f>
        <v>353</v>
      </c>
      <c r="C16" s="29">
        <f t="shared" si="14"/>
        <v>-41</v>
      </c>
      <c r="D16" s="28">
        <f t="shared" si="1"/>
        <v>312</v>
      </c>
      <c r="E16" s="19">
        <v>0.0</v>
      </c>
      <c r="F16" s="32">
        <f t="shared" si="4"/>
        <v>126</v>
      </c>
      <c r="G16" s="28">
        <f t="shared" si="2"/>
        <v>438</v>
      </c>
      <c r="H16" s="19">
        <v>0.0</v>
      </c>
      <c r="I16" s="32">
        <f t="shared" si="13"/>
        <v>139</v>
      </c>
      <c r="J16" s="19">
        <v>0.0</v>
      </c>
      <c r="K16" s="32">
        <f t="shared" ref="K16:K23" si="15">K15</f>
        <v>0</v>
      </c>
      <c r="L16" s="19">
        <v>0.0</v>
      </c>
      <c r="M16" s="32">
        <f>M15</f>
        <v>433</v>
      </c>
      <c r="N16" s="19">
        <v>0.0</v>
      </c>
      <c r="O16" s="32">
        <f t="shared" si="7"/>
        <v>28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WORKDAY($A$3,row(A14),Holidays!$B$2:$B996)</f>
        <v>45890</v>
      </c>
      <c r="B17" s="29">
        <f>B16-10</f>
        <v>343</v>
      </c>
      <c r="C17" s="29">
        <f t="shared" ref="C17:C18" si="16">C16-5</f>
        <v>-46</v>
      </c>
      <c r="D17" s="28">
        <f t="shared" si="1"/>
        <v>297</v>
      </c>
      <c r="E17" s="19">
        <v>-15.0</v>
      </c>
      <c r="F17" s="32">
        <f t="shared" si="4"/>
        <v>126</v>
      </c>
      <c r="G17" s="28">
        <f t="shared" si="2"/>
        <v>423</v>
      </c>
      <c r="H17" s="19">
        <v>-15.0</v>
      </c>
      <c r="I17" s="32">
        <f t="shared" si="13"/>
        <v>139</v>
      </c>
      <c r="J17" s="19">
        <v>0.0</v>
      </c>
      <c r="K17" s="32">
        <f t="shared" si="15"/>
        <v>0</v>
      </c>
      <c r="L17" s="19">
        <v>0.0</v>
      </c>
      <c r="M17" s="32">
        <f>M16-11</f>
        <v>422</v>
      </c>
      <c r="N17" s="19">
        <v>-11.0</v>
      </c>
      <c r="O17" s="32">
        <f t="shared" si="7"/>
        <v>28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WORKDAY($A$3,row(A15),Holidays!$B$2:$B996)</f>
        <v>45891</v>
      </c>
      <c r="B18" s="29">
        <f>B17-4</f>
        <v>339</v>
      </c>
      <c r="C18" s="29">
        <f t="shared" si="16"/>
        <v>-51</v>
      </c>
      <c r="D18" s="28">
        <f t="shared" si="1"/>
        <v>288</v>
      </c>
      <c r="E18" s="19">
        <v>-9.0</v>
      </c>
      <c r="F18" s="32">
        <f t="shared" si="4"/>
        <v>126</v>
      </c>
      <c r="G18" s="28">
        <f t="shared" si="2"/>
        <v>414</v>
      </c>
      <c r="H18" s="19">
        <v>-9.0</v>
      </c>
      <c r="I18" s="32">
        <f t="shared" si="13"/>
        <v>139</v>
      </c>
      <c r="J18" s="19">
        <v>0.0</v>
      </c>
      <c r="K18" s="32">
        <f t="shared" si="15"/>
        <v>0</v>
      </c>
      <c r="L18" s="19">
        <v>0.0</v>
      </c>
      <c r="M18" s="32">
        <f>M17-6</f>
        <v>416</v>
      </c>
      <c r="N18" s="19">
        <v>-6.0</v>
      </c>
      <c r="O18" s="32">
        <f t="shared" si="7"/>
        <v>28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WORKDAY($A$3,row(A16),Holidays!$B$2:$B996)</f>
        <v>45894</v>
      </c>
      <c r="B19" s="29">
        <f>B18-5</f>
        <v>334</v>
      </c>
      <c r="C19" s="29">
        <f>C18-3</f>
        <v>-54</v>
      </c>
      <c r="D19" s="28">
        <f t="shared" si="1"/>
        <v>280</v>
      </c>
      <c r="E19" s="19">
        <v>-8.0</v>
      </c>
      <c r="F19" s="32">
        <f t="shared" si="4"/>
        <v>126</v>
      </c>
      <c r="G19" s="28">
        <f t="shared" si="2"/>
        <v>406</v>
      </c>
      <c r="H19" s="19">
        <v>-8.0</v>
      </c>
      <c r="I19" s="32">
        <f t="shared" si="13"/>
        <v>139</v>
      </c>
      <c r="J19" s="19">
        <v>0.0</v>
      </c>
      <c r="K19" s="32">
        <f t="shared" si="15"/>
        <v>0</v>
      </c>
      <c r="L19" s="19">
        <v>0.0</v>
      </c>
      <c r="M19" s="32">
        <f>M18-5</f>
        <v>411</v>
      </c>
      <c r="N19" s="19">
        <v>-5.0</v>
      </c>
      <c r="O19" s="33">
        <f t="shared" si="7"/>
        <v>28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WORKDAY($A$3,row(A17),Holidays!$B$2:$B996)</f>
        <v>45895</v>
      </c>
      <c r="B20" s="29">
        <f t="shared" ref="B20:C20" si="17">B19</f>
        <v>334</v>
      </c>
      <c r="C20" s="29">
        <f t="shared" si="17"/>
        <v>-54</v>
      </c>
      <c r="D20" s="28">
        <f t="shared" si="1"/>
        <v>280</v>
      </c>
      <c r="E20" s="19">
        <v>0.0</v>
      </c>
      <c r="F20" s="32">
        <f t="shared" si="4"/>
        <v>126</v>
      </c>
      <c r="G20" s="28">
        <f t="shared" si="2"/>
        <v>406</v>
      </c>
      <c r="H20" s="19">
        <v>0.0</v>
      </c>
      <c r="I20" s="32">
        <f t="shared" si="13"/>
        <v>139</v>
      </c>
      <c r="J20" s="19">
        <v>0.0</v>
      </c>
      <c r="K20" s="32">
        <f t="shared" si="15"/>
        <v>0</v>
      </c>
      <c r="L20" s="19">
        <v>0.0</v>
      </c>
      <c r="M20" s="32">
        <f>M19</f>
        <v>411</v>
      </c>
      <c r="N20" s="19">
        <v>0.0</v>
      </c>
      <c r="O20" s="32">
        <f t="shared" si="7"/>
        <v>28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WORKDAY($A$3,row(A18),Holidays!$B$2:$B996)</f>
        <v>45896</v>
      </c>
      <c r="B21" s="29">
        <f>B20-3</f>
        <v>331</v>
      </c>
      <c r="C21" s="29">
        <f>C20-2</f>
        <v>-56</v>
      </c>
      <c r="D21" s="28">
        <f t="shared" si="1"/>
        <v>275</v>
      </c>
      <c r="E21" s="19">
        <v>-5.0</v>
      </c>
      <c r="F21" s="32">
        <f t="shared" si="4"/>
        <v>126</v>
      </c>
      <c r="G21" s="28">
        <f t="shared" si="2"/>
        <v>401</v>
      </c>
      <c r="H21" s="19">
        <v>-5.0</v>
      </c>
      <c r="I21" s="32">
        <f t="shared" si="13"/>
        <v>139</v>
      </c>
      <c r="J21" s="19">
        <v>0.0</v>
      </c>
      <c r="K21" s="32">
        <f t="shared" si="15"/>
        <v>0</v>
      </c>
      <c r="L21" s="19">
        <v>0.0</v>
      </c>
      <c r="M21" s="32">
        <f>M20-3</f>
        <v>408</v>
      </c>
      <c r="N21" s="19">
        <v>-3.0</v>
      </c>
      <c r="O21" s="32">
        <f t="shared" si="7"/>
        <v>28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WORKDAY($A$3,row(A19),Holidays!$B$2:$B996)</f>
        <v>45897</v>
      </c>
      <c r="B22" s="29">
        <f>B21-7</f>
        <v>324</v>
      </c>
      <c r="C22" s="29">
        <f>C21-1</f>
        <v>-57</v>
      </c>
      <c r="D22" s="28">
        <f t="shared" si="1"/>
        <v>267</v>
      </c>
      <c r="E22" s="19">
        <v>-8.0</v>
      </c>
      <c r="F22" s="32">
        <f t="shared" si="4"/>
        <v>126</v>
      </c>
      <c r="G22" s="28">
        <f t="shared" si="2"/>
        <v>393</v>
      </c>
      <c r="H22" s="19">
        <v>-8.0</v>
      </c>
      <c r="I22" s="32">
        <f t="shared" si="13"/>
        <v>139</v>
      </c>
      <c r="J22" s="19">
        <v>0.0</v>
      </c>
      <c r="K22" s="32">
        <f t="shared" si="15"/>
        <v>0</v>
      </c>
      <c r="L22" s="19">
        <v>0.0</v>
      </c>
      <c r="M22" s="32">
        <f>M21</f>
        <v>408</v>
      </c>
      <c r="N22" s="19">
        <v>0.0</v>
      </c>
      <c r="O22" s="32">
        <f t="shared" si="7"/>
        <v>28</v>
      </c>
      <c r="P22" s="19">
        <v>0.0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0">
        <f>WORKDAY($A$3,row(A20),Holidays!$B$2:$B996)</f>
        <v>45898</v>
      </c>
      <c r="B23" s="29">
        <f>B22-3</f>
        <v>321</v>
      </c>
      <c r="C23" s="29">
        <f>C22-4</f>
        <v>-61</v>
      </c>
      <c r="D23" s="28">
        <f t="shared" si="1"/>
        <v>260</v>
      </c>
      <c r="E23" s="19">
        <v>-7.0</v>
      </c>
      <c r="F23" s="32">
        <f t="shared" si="4"/>
        <v>126</v>
      </c>
      <c r="G23" s="28">
        <f t="shared" si="2"/>
        <v>386</v>
      </c>
      <c r="H23" s="19">
        <v>-7.0</v>
      </c>
      <c r="I23" s="32">
        <f t="shared" si="13"/>
        <v>139</v>
      </c>
      <c r="J23" s="19">
        <v>0.0</v>
      </c>
      <c r="K23" s="32">
        <f t="shared" si="15"/>
        <v>0</v>
      </c>
      <c r="L23" s="19">
        <v>0.0</v>
      </c>
      <c r="M23" s="32">
        <f>M22-3</f>
        <v>405</v>
      </c>
      <c r="N23" s="19">
        <v>-3.0</v>
      </c>
      <c r="O23" s="32">
        <f t="shared" si="7"/>
        <v>28</v>
      </c>
      <c r="P23" s="19">
        <v>0.0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5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5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5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5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5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5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5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5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5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5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5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5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5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5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5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5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5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5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5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5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5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5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5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5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5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5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5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5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5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5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5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5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5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5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5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5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5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5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5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5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5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5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5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5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5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5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5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5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5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5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5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5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5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5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5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5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5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5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5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5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5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5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5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5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5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5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5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5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5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5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5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5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5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5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5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5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5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5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5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5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5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5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5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5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5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5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5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5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5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5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5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5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5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5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5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5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5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5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5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5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5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5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5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5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5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5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5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5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5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5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5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5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5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5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5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5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5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5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5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5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5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5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5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5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5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5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5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5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5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5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5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5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5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5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5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5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5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5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5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5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5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5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5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5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5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5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5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5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5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5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5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5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5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5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5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5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5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5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5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5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5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5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5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5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5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5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5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5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5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5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5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5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5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5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5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5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5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5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5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5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5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5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5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5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5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5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5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5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5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5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5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5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5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5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5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5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5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5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5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5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5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5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5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5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5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5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5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5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5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5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5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5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5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5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5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5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5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5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5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5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5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5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5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5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5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5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5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5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5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5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5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5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5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5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5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5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5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5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5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5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5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5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5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5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5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5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5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5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5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5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5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5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5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5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5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5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5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5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5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5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5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5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5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5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5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5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5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5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5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5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5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5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5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5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5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5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5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5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5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5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5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5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5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5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5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5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5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5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5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5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5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5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5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5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5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5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5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5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5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5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5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5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5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5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5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5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5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5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5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5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5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5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5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5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5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5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5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5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5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5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5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5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5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5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5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5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5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5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5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5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5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5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5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5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5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5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5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5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5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5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5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5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5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5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5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5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5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5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5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5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5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5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5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5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5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5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5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5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5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5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5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5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5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5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5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5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5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5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5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5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5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5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5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5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5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5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5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5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5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5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5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5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5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5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5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5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5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5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5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5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5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5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5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5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5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5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5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5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5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5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5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5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5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5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5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5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5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5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5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5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5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5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5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5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5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5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5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5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5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5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5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5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5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5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5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5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5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5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5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5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5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5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5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5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5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5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5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5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5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5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5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5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5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5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5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5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5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5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5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5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5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5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5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5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5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5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5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5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5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5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5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5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5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5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5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5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5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5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5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5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5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5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5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5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5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5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5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5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5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5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5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5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5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5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5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5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5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5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5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5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5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5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5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5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5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5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5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5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5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5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5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5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5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5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5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5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5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5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5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5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5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5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5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5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5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5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5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5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5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5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5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5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5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5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5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5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5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5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5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5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5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5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5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5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5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5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5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5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5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5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5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5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5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5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5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5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5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5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5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5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5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5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5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5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5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5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5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5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5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5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5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5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5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5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5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5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5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5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5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5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5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5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5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5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5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5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5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5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5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5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5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5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5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5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5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5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5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5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5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5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5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5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5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5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5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5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5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5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5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5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5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5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5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5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5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5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5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5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5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5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5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5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5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5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5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5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5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5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5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5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5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5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5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5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5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5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5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5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5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5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5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5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5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5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5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5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5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5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5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5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5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5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5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5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5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5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5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5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5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5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5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5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5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5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5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5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5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5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5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5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5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5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5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5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5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5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5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5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5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5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5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5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5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5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5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5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5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5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5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5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5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5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5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5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5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5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5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5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5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5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5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5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5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5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5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5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5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5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5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5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5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5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5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5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5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5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5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5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5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5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5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5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5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5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5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5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5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5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5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5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5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5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5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5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5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5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5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5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5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5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5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5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5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5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5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5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5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5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5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5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5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5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5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5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5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5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5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5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5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5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5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5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5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5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5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5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5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5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5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5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5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5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5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5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5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5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5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5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5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5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5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5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5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5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5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5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5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5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5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5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5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5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5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5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5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5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5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5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5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5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5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5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5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5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5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5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5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5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5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5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5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5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5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5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5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5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5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5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5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5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5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5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5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5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5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5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5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5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5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5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5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5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5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5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5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5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5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5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5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5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5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5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5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5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5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5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5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5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5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5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5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5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5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5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5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5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5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5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5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5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5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5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5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5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5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5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5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5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5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5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5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5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5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5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5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5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5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5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5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5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5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5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5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5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5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5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5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5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5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5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5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5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5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5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5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5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5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5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5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5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5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5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5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5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5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5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5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5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5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5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5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5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5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5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5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5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5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5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5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5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5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5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5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5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5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5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5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5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5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5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5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5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5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5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5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5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5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5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5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5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5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5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5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5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5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5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5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5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5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5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5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5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5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5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5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5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5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5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5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5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5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5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5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5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5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5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5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5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5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5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5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5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5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5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5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5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5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5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5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5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5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5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5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</sheetData>
  <mergeCells count="2">
    <mergeCell ref="B1:J1"/>
    <mergeCell ref="K1:P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8" t="s">
        <v>6</v>
      </c>
      <c r="F2" s="7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45902.0</v>
      </c>
      <c r="B3" s="29">
        <f>'August 2025'!B23+2</f>
        <v>323</v>
      </c>
      <c r="C3" s="29">
        <f>'August 2025'!C23</f>
        <v>-61</v>
      </c>
      <c r="D3" s="28">
        <f t="shared" ref="D3:D23" si="2">SUM(B3:C3)</f>
        <v>262</v>
      </c>
      <c r="E3" s="19">
        <f>D3-'August 2025'!D23</f>
        <v>2</v>
      </c>
      <c r="F3" s="33">
        <f>'August 2025'!F23</f>
        <v>126</v>
      </c>
      <c r="G3" s="28">
        <f t="shared" ref="G3:G23" si="3">SUM(D3,F3)</f>
        <v>388</v>
      </c>
      <c r="H3" s="19">
        <f>G3-'August 2025'!G23</f>
        <v>2</v>
      </c>
      <c r="I3" s="33">
        <f>'August 2025'!I23</f>
        <v>139</v>
      </c>
      <c r="J3" s="19">
        <f>I3-'August 2025'!I23</f>
        <v>0</v>
      </c>
      <c r="K3" s="33">
        <f>'August 2025'!K23+1</f>
        <v>1</v>
      </c>
      <c r="L3" s="19">
        <f>K3-'August 2025'!K23</f>
        <v>1</v>
      </c>
      <c r="M3" s="33">
        <f>'August 2025'!M23+2</f>
        <v>407</v>
      </c>
      <c r="N3" s="19">
        <f>M3-'August 2025'!M23</f>
        <v>2</v>
      </c>
      <c r="O3" s="33">
        <f>'August 2025'!O23</f>
        <v>28</v>
      </c>
      <c r="P3" s="19">
        <f>O3-'August 2025'!O23</f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WORKDAY($A$3,row(A1),Holidays!$B$2:$B996)</f>
        <v>45903</v>
      </c>
      <c r="B4" s="34">
        <f t="shared" ref="B4:C4" si="1">B3</f>
        <v>323</v>
      </c>
      <c r="C4" s="29">
        <f t="shared" si="1"/>
        <v>-61</v>
      </c>
      <c r="D4" s="28">
        <f t="shared" si="2"/>
        <v>262</v>
      </c>
      <c r="E4" s="19">
        <f t="array" ref="E4:E23">D4:D23-D3:D22</f>
        <v>0</v>
      </c>
      <c r="F4" s="32">
        <f t="shared" ref="F4:F23" si="5">F3</f>
        <v>126</v>
      </c>
      <c r="G4" s="28">
        <f t="shared" si="3"/>
        <v>388</v>
      </c>
      <c r="H4" s="19">
        <f t="array" ref="H4:H23">G4:G23-G3:G22</f>
        <v>0</v>
      </c>
      <c r="I4" s="32">
        <f t="shared" ref="I4:I23" si="6">I3</f>
        <v>139</v>
      </c>
      <c r="J4" s="19">
        <f t="array" ref="J4:J23">I4:I23-I3:I22</f>
        <v>0</v>
      </c>
      <c r="K4" s="33">
        <f t="shared" ref="K4:K6" si="7">K3</f>
        <v>1</v>
      </c>
      <c r="L4" s="19">
        <f t="array" ref="L4:L23">K4:K23-K3:K22</f>
        <v>0</v>
      </c>
      <c r="M4" s="33">
        <f>M3</f>
        <v>407</v>
      </c>
      <c r="N4" s="19">
        <f t="array" ref="N4:N23">M4:M23-M3:M22</f>
        <v>0</v>
      </c>
      <c r="O4" s="32">
        <f t="shared" ref="O4:O23" si="8">O3</f>
        <v>28</v>
      </c>
      <c r="P4" s="19">
        <f t="array" ref="P4:P23">O4:O23-O3:O22</f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WORKDAY($A$3,row(A2),Holidays!$B$2:$B996)</f>
        <v>45904</v>
      </c>
      <c r="B5" s="34">
        <f t="shared" ref="B5:C5" si="4">B4-1</f>
        <v>322</v>
      </c>
      <c r="C5" s="29">
        <f t="shared" si="4"/>
        <v>-62</v>
      </c>
      <c r="D5" s="28">
        <f t="shared" si="2"/>
        <v>260</v>
      </c>
      <c r="E5" s="19">
        <v>-2.0</v>
      </c>
      <c r="F5" s="32">
        <f t="shared" si="5"/>
        <v>126</v>
      </c>
      <c r="G5" s="28">
        <f t="shared" si="3"/>
        <v>386</v>
      </c>
      <c r="H5" s="19">
        <v>-2.0</v>
      </c>
      <c r="I5" s="32">
        <f t="shared" si="6"/>
        <v>139</v>
      </c>
      <c r="J5" s="19">
        <v>0.0</v>
      </c>
      <c r="K5" s="32">
        <f t="shared" si="7"/>
        <v>1</v>
      </c>
      <c r="L5" s="19">
        <v>0.0</v>
      </c>
      <c r="M5" s="32">
        <f>M4-1</f>
        <v>406</v>
      </c>
      <c r="N5" s="19">
        <v>-1.0</v>
      </c>
      <c r="O5" s="32">
        <f t="shared" si="8"/>
        <v>28</v>
      </c>
      <c r="P5" s="19">
        <v>0.0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WORKDAY($A$3,row(A3),Holidays!$B$2:$B996)</f>
        <v>45905</v>
      </c>
      <c r="B6" s="34">
        <f>B5</f>
        <v>322</v>
      </c>
      <c r="C6" s="29">
        <f>C5-3</f>
        <v>-65</v>
      </c>
      <c r="D6" s="28">
        <f t="shared" si="2"/>
        <v>257</v>
      </c>
      <c r="E6" s="19">
        <v>-3.0</v>
      </c>
      <c r="F6" s="32">
        <f t="shared" si="5"/>
        <v>126</v>
      </c>
      <c r="G6" s="28">
        <f t="shared" si="3"/>
        <v>383</v>
      </c>
      <c r="H6" s="19">
        <v>-3.0</v>
      </c>
      <c r="I6" s="32">
        <f t="shared" si="6"/>
        <v>139</v>
      </c>
      <c r="J6" s="19">
        <v>0.0</v>
      </c>
      <c r="K6" s="32">
        <f t="shared" si="7"/>
        <v>1</v>
      </c>
      <c r="L6" s="19">
        <v>0.0</v>
      </c>
      <c r="M6" s="32">
        <f>M5</f>
        <v>406</v>
      </c>
      <c r="N6" s="19">
        <v>0.0</v>
      </c>
      <c r="O6" s="32">
        <f t="shared" si="8"/>
        <v>28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WORKDAY($A$3,row(A4),Holidays!$B$2:$B996)</f>
        <v>45908</v>
      </c>
      <c r="B7" s="34">
        <f>B6-2</f>
        <v>320</v>
      </c>
      <c r="C7" s="29">
        <f>C6</f>
        <v>-65</v>
      </c>
      <c r="D7" s="28">
        <f t="shared" si="2"/>
        <v>255</v>
      </c>
      <c r="E7" s="19">
        <v>-2.0</v>
      </c>
      <c r="F7" s="32">
        <f t="shared" si="5"/>
        <v>126</v>
      </c>
      <c r="G7" s="28">
        <f t="shared" si="3"/>
        <v>381</v>
      </c>
      <c r="H7" s="19">
        <v>-2.0</v>
      </c>
      <c r="I7" s="32">
        <f t="shared" si="6"/>
        <v>139</v>
      </c>
      <c r="J7" s="19">
        <v>0.0</v>
      </c>
      <c r="K7" s="32">
        <f>K6-1</f>
        <v>0</v>
      </c>
      <c r="L7" s="19">
        <v>-1.0</v>
      </c>
      <c r="M7" s="32">
        <f>M6-2</f>
        <v>404</v>
      </c>
      <c r="N7" s="19">
        <v>-2.0</v>
      </c>
      <c r="O7" s="32">
        <f t="shared" si="8"/>
        <v>28</v>
      </c>
      <c r="P7" s="19">
        <v>0.0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WORKDAY($A$3,row(A5),Holidays!$B$2:$B996)</f>
        <v>45909</v>
      </c>
      <c r="B8" s="34">
        <f t="shared" ref="B8:C8" si="9">B7</f>
        <v>320</v>
      </c>
      <c r="C8" s="29">
        <f t="shared" si="9"/>
        <v>-65</v>
      </c>
      <c r="D8" s="28">
        <f t="shared" si="2"/>
        <v>255</v>
      </c>
      <c r="E8" s="19">
        <v>0.0</v>
      </c>
      <c r="F8" s="32">
        <f t="shared" si="5"/>
        <v>126</v>
      </c>
      <c r="G8" s="28">
        <f t="shared" si="3"/>
        <v>381</v>
      </c>
      <c r="H8" s="19">
        <v>0.0</v>
      </c>
      <c r="I8" s="32">
        <f t="shared" si="6"/>
        <v>139</v>
      </c>
      <c r="J8" s="19">
        <v>0.0</v>
      </c>
      <c r="K8" s="32">
        <f t="shared" ref="K8:K23" si="10">K7</f>
        <v>0</v>
      </c>
      <c r="L8" s="19">
        <v>0.0</v>
      </c>
      <c r="M8" s="32">
        <f>M7</f>
        <v>404</v>
      </c>
      <c r="N8" s="19">
        <v>0.0</v>
      </c>
      <c r="O8" s="32">
        <f t="shared" si="8"/>
        <v>28</v>
      </c>
      <c r="P8" s="19">
        <v>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WORKDAY($A$3,row(A6),Holidays!$B$2:$B996)</f>
        <v>45910</v>
      </c>
      <c r="B9" s="34">
        <f>B8-2</f>
        <v>318</v>
      </c>
      <c r="C9" s="29">
        <f t="shared" ref="C9:C10" si="11">C8</f>
        <v>-65</v>
      </c>
      <c r="D9" s="28">
        <f t="shared" si="2"/>
        <v>253</v>
      </c>
      <c r="E9" s="19">
        <v>-2.0</v>
      </c>
      <c r="F9" s="32">
        <f t="shared" si="5"/>
        <v>126</v>
      </c>
      <c r="G9" s="28">
        <f t="shared" si="3"/>
        <v>379</v>
      </c>
      <c r="H9" s="19">
        <v>-2.0</v>
      </c>
      <c r="I9" s="33">
        <f t="shared" si="6"/>
        <v>139</v>
      </c>
      <c r="J9" s="19">
        <v>0.0</v>
      </c>
      <c r="K9" s="32">
        <f t="shared" si="10"/>
        <v>0</v>
      </c>
      <c r="L9" s="19">
        <v>0.0</v>
      </c>
      <c r="M9" s="32">
        <f>M8-2</f>
        <v>402</v>
      </c>
      <c r="N9" s="19">
        <v>-2.0</v>
      </c>
      <c r="O9" s="32">
        <f t="shared" si="8"/>
        <v>28</v>
      </c>
      <c r="P9" s="19">
        <v>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WORKDAY($A$3,row(A7),Holidays!$B$2:$B996)</f>
        <v>45911</v>
      </c>
      <c r="B10" s="34">
        <f>B9-6+3</f>
        <v>315</v>
      </c>
      <c r="C10" s="29">
        <f t="shared" si="11"/>
        <v>-65</v>
      </c>
      <c r="D10" s="28">
        <f t="shared" si="2"/>
        <v>250</v>
      </c>
      <c r="E10" s="19">
        <v>-3.0</v>
      </c>
      <c r="F10" s="32">
        <f t="shared" si="5"/>
        <v>126</v>
      </c>
      <c r="G10" s="28">
        <f t="shared" si="3"/>
        <v>376</v>
      </c>
      <c r="H10" s="19">
        <v>-3.0</v>
      </c>
      <c r="I10" s="32">
        <f t="shared" si="6"/>
        <v>139</v>
      </c>
      <c r="J10" s="19">
        <v>0.0</v>
      </c>
      <c r="K10" s="32">
        <f t="shared" si="10"/>
        <v>0</v>
      </c>
      <c r="L10" s="19">
        <v>0.0</v>
      </c>
      <c r="M10" s="32">
        <f>M9-6+3</f>
        <v>399</v>
      </c>
      <c r="N10" s="19">
        <v>-3.0</v>
      </c>
      <c r="O10" s="32">
        <f t="shared" si="8"/>
        <v>28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WORKDAY($A$3,row(A8),Holidays!$B$2:$B996)</f>
        <v>45912</v>
      </c>
      <c r="B11" s="34">
        <f t="shared" ref="B11:C11" si="12">B10</f>
        <v>315</v>
      </c>
      <c r="C11" s="29">
        <f t="shared" si="12"/>
        <v>-65</v>
      </c>
      <c r="D11" s="28">
        <f t="shared" si="2"/>
        <v>250</v>
      </c>
      <c r="E11" s="19">
        <v>0.0</v>
      </c>
      <c r="F11" s="32">
        <f t="shared" si="5"/>
        <v>126</v>
      </c>
      <c r="G11" s="28">
        <f t="shared" si="3"/>
        <v>376</v>
      </c>
      <c r="H11" s="19">
        <v>0.0</v>
      </c>
      <c r="I11" s="32">
        <f t="shared" si="6"/>
        <v>139</v>
      </c>
      <c r="J11" s="19">
        <v>0.0</v>
      </c>
      <c r="K11" s="32">
        <f t="shared" si="10"/>
        <v>0</v>
      </c>
      <c r="L11" s="19">
        <v>0.0</v>
      </c>
      <c r="M11" s="32">
        <f>M10</f>
        <v>399</v>
      </c>
      <c r="N11" s="19">
        <v>0.0</v>
      </c>
      <c r="O11" s="32">
        <f t="shared" si="8"/>
        <v>28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WORKDAY($A$3,row(A9),Holidays!$B$2:$B996)</f>
        <v>45915</v>
      </c>
      <c r="B12" s="34">
        <f>B11-1</f>
        <v>314</v>
      </c>
      <c r="C12" s="29">
        <f>C11</f>
        <v>-65</v>
      </c>
      <c r="D12" s="28">
        <f t="shared" si="2"/>
        <v>249</v>
      </c>
      <c r="E12" s="19">
        <v>-1.0</v>
      </c>
      <c r="F12" s="32">
        <f t="shared" si="5"/>
        <v>126</v>
      </c>
      <c r="G12" s="28">
        <f t="shared" si="3"/>
        <v>375</v>
      </c>
      <c r="H12" s="19">
        <v>-1.0</v>
      </c>
      <c r="I12" s="32">
        <f t="shared" si="6"/>
        <v>139</v>
      </c>
      <c r="J12" s="19">
        <v>0.0</v>
      </c>
      <c r="K12" s="32">
        <f t="shared" si="10"/>
        <v>0</v>
      </c>
      <c r="L12" s="19">
        <v>0.0</v>
      </c>
      <c r="M12" s="32">
        <f>M11-1</f>
        <v>398</v>
      </c>
      <c r="N12" s="19">
        <v>-1.0</v>
      </c>
      <c r="O12" s="32">
        <f t="shared" si="8"/>
        <v>28</v>
      </c>
      <c r="P12" s="19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WORKDAY($A$3,row(A10),Holidays!$B$2:$B996)</f>
        <v>45916</v>
      </c>
      <c r="B13" s="34">
        <f t="shared" ref="B13:C13" si="13">B12</f>
        <v>314</v>
      </c>
      <c r="C13" s="29">
        <f t="shared" si="13"/>
        <v>-65</v>
      </c>
      <c r="D13" s="28">
        <f t="shared" si="2"/>
        <v>249</v>
      </c>
      <c r="E13" s="19">
        <v>0.0</v>
      </c>
      <c r="F13" s="32">
        <f t="shared" si="5"/>
        <v>126</v>
      </c>
      <c r="G13" s="28">
        <f t="shared" si="3"/>
        <v>375</v>
      </c>
      <c r="H13" s="19">
        <v>0.0</v>
      </c>
      <c r="I13" s="32">
        <f t="shared" si="6"/>
        <v>139</v>
      </c>
      <c r="J13" s="19">
        <v>0.0</v>
      </c>
      <c r="K13" s="32">
        <f t="shared" si="10"/>
        <v>0</v>
      </c>
      <c r="L13" s="19">
        <v>0.0</v>
      </c>
      <c r="M13" s="32">
        <f t="shared" ref="M13:M14" si="14">M12</f>
        <v>398</v>
      </c>
      <c r="N13" s="19">
        <v>0.0</v>
      </c>
      <c r="O13" s="32">
        <f t="shared" si="8"/>
        <v>28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WORKDAY($A$3,row(A11),Holidays!$B$2:$B996)</f>
        <v>45917</v>
      </c>
      <c r="B14" s="34">
        <f>B13</f>
        <v>314</v>
      </c>
      <c r="C14" s="29">
        <f>C13-2</f>
        <v>-67</v>
      </c>
      <c r="D14" s="28">
        <f t="shared" si="2"/>
        <v>247</v>
      </c>
      <c r="E14" s="19">
        <v>-2.0</v>
      </c>
      <c r="F14" s="32">
        <f t="shared" si="5"/>
        <v>126</v>
      </c>
      <c r="G14" s="28">
        <f t="shared" si="3"/>
        <v>373</v>
      </c>
      <c r="H14" s="19">
        <v>-2.0</v>
      </c>
      <c r="I14" s="32">
        <f t="shared" si="6"/>
        <v>139</v>
      </c>
      <c r="J14" s="19">
        <v>0.0</v>
      </c>
      <c r="K14" s="32">
        <f t="shared" si="10"/>
        <v>0</v>
      </c>
      <c r="L14" s="19">
        <v>0.0</v>
      </c>
      <c r="M14" s="32">
        <f t="shared" si="14"/>
        <v>398</v>
      </c>
      <c r="N14" s="19">
        <v>0.0</v>
      </c>
      <c r="O14" s="32">
        <f t="shared" si="8"/>
        <v>28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WORKDAY($A$3,row(A12),Holidays!$B$2:$B996)</f>
        <v>45918</v>
      </c>
      <c r="B15" s="34">
        <f>B14-9</f>
        <v>305</v>
      </c>
      <c r="C15" s="29">
        <f t="shared" ref="C15:C16" si="15">C14-1</f>
        <v>-68</v>
      </c>
      <c r="D15" s="28">
        <f t="shared" si="2"/>
        <v>237</v>
      </c>
      <c r="E15" s="19">
        <v>-10.0</v>
      </c>
      <c r="F15" s="32">
        <f t="shared" si="5"/>
        <v>126</v>
      </c>
      <c r="G15" s="28">
        <f t="shared" si="3"/>
        <v>363</v>
      </c>
      <c r="H15" s="19">
        <v>-10.0</v>
      </c>
      <c r="I15" s="32">
        <f t="shared" si="6"/>
        <v>139</v>
      </c>
      <c r="J15" s="19">
        <v>0.0</v>
      </c>
      <c r="K15" s="32">
        <f t="shared" si="10"/>
        <v>0</v>
      </c>
      <c r="L15" s="19">
        <v>0.0</v>
      </c>
      <c r="M15" s="32">
        <f>M14-9</f>
        <v>389</v>
      </c>
      <c r="N15" s="19">
        <v>-9.0</v>
      </c>
      <c r="O15" s="32">
        <f t="shared" si="8"/>
        <v>28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WORKDAY($A$3,row(A13),Holidays!$B$2:$B996)</f>
        <v>45919</v>
      </c>
      <c r="B16" s="34">
        <f>B15-10-1</f>
        <v>294</v>
      </c>
      <c r="C16" s="29">
        <f t="shared" si="15"/>
        <v>-69</v>
      </c>
      <c r="D16" s="28">
        <f t="shared" si="2"/>
        <v>225</v>
      </c>
      <c r="E16" s="19">
        <v>-12.0</v>
      </c>
      <c r="F16" s="32">
        <f t="shared" si="5"/>
        <v>126</v>
      </c>
      <c r="G16" s="28">
        <f t="shared" si="3"/>
        <v>351</v>
      </c>
      <c r="H16" s="19">
        <v>-12.0</v>
      </c>
      <c r="I16" s="32">
        <f t="shared" si="6"/>
        <v>139</v>
      </c>
      <c r="J16" s="19">
        <v>0.0</v>
      </c>
      <c r="K16" s="32">
        <f t="shared" si="10"/>
        <v>0</v>
      </c>
      <c r="L16" s="19">
        <v>0.0</v>
      </c>
      <c r="M16" s="32">
        <f>M15-11</f>
        <v>378</v>
      </c>
      <c r="N16" s="19">
        <v>-11.0</v>
      </c>
      <c r="O16" s="32">
        <f t="shared" si="8"/>
        <v>28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WORKDAY($A$3,row(A14),Holidays!$B$2:$B996)</f>
        <v>45922</v>
      </c>
      <c r="B17" s="34">
        <f t="shared" ref="B17:C17" si="16">B16</f>
        <v>294</v>
      </c>
      <c r="C17" s="29">
        <f t="shared" si="16"/>
        <v>-69</v>
      </c>
      <c r="D17" s="28">
        <f t="shared" si="2"/>
        <v>225</v>
      </c>
      <c r="E17" s="19">
        <v>0.0</v>
      </c>
      <c r="F17" s="32">
        <f t="shared" si="5"/>
        <v>126</v>
      </c>
      <c r="G17" s="28">
        <f t="shared" si="3"/>
        <v>351</v>
      </c>
      <c r="H17" s="19">
        <v>0.0</v>
      </c>
      <c r="I17" s="32">
        <f t="shared" si="6"/>
        <v>139</v>
      </c>
      <c r="J17" s="19">
        <v>0.0</v>
      </c>
      <c r="K17" s="32">
        <f t="shared" si="10"/>
        <v>0</v>
      </c>
      <c r="L17" s="19">
        <v>0.0</v>
      </c>
      <c r="M17" s="32">
        <f>M16</f>
        <v>378</v>
      </c>
      <c r="N17" s="19">
        <v>0.0</v>
      </c>
      <c r="O17" s="32">
        <f t="shared" si="8"/>
        <v>28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WORKDAY($A$3,row(A15),Holidays!$B$2:$B996)</f>
        <v>45923</v>
      </c>
      <c r="B18" s="34">
        <f>B17-8</f>
        <v>286</v>
      </c>
      <c r="C18" s="29">
        <f t="shared" ref="C18:C19" si="17">C17-1+1</f>
        <v>-69</v>
      </c>
      <c r="D18" s="28">
        <f t="shared" si="2"/>
        <v>217</v>
      </c>
      <c r="E18" s="19">
        <v>-8.0</v>
      </c>
      <c r="F18" s="32">
        <f t="shared" si="5"/>
        <v>126</v>
      </c>
      <c r="G18" s="28">
        <f t="shared" si="3"/>
        <v>343</v>
      </c>
      <c r="H18" s="19">
        <v>-8.0</v>
      </c>
      <c r="I18" s="32">
        <f t="shared" si="6"/>
        <v>139</v>
      </c>
      <c r="J18" s="19">
        <v>0.0</v>
      </c>
      <c r="K18" s="32">
        <f t="shared" si="10"/>
        <v>0</v>
      </c>
      <c r="L18" s="19">
        <v>0.0</v>
      </c>
      <c r="M18" s="32">
        <f>M17-8+1</f>
        <v>371</v>
      </c>
      <c r="N18" s="19">
        <v>-7.0</v>
      </c>
      <c r="O18" s="32">
        <f t="shared" si="8"/>
        <v>28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WORKDAY($A$3,row(A16),Holidays!$B$2:$B996)</f>
        <v>45924</v>
      </c>
      <c r="B19" s="34">
        <f>B18-10</f>
        <v>276</v>
      </c>
      <c r="C19" s="29">
        <f t="shared" si="17"/>
        <v>-69</v>
      </c>
      <c r="D19" s="28">
        <f t="shared" si="2"/>
        <v>207</v>
      </c>
      <c r="E19" s="19">
        <v>-10.0</v>
      </c>
      <c r="F19" s="32">
        <f t="shared" si="5"/>
        <v>126</v>
      </c>
      <c r="G19" s="28">
        <f t="shared" si="3"/>
        <v>333</v>
      </c>
      <c r="H19" s="19">
        <v>-10.0</v>
      </c>
      <c r="I19" s="32">
        <f t="shared" si="6"/>
        <v>139</v>
      </c>
      <c r="J19" s="19">
        <v>0.0</v>
      </c>
      <c r="K19" s="32">
        <f t="shared" si="10"/>
        <v>0</v>
      </c>
      <c r="L19" s="19">
        <v>0.0</v>
      </c>
      <c r="M19" s="32">
        <f>M18-10</f>
        <v>361</v>
      </c>
      <c r="N19" s="19">
        <v>-10.0</v>
      </c>
      <c r="O19" s="33">
        <f t="shared" si="8"/>
        <v>28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WORKDAY($A$3,row(A17),Holidays!$B$2:$B996)</f>
        <v>45925</v>
      </c>
      <c r="B20" s="34">
        <f>B19+2</f>
        <v>278</v>
      </c>
      <c r="C20" s="29">
        <f>C19-1</f>
        <v>-70</v>
      </c>
      <c r="D20" s="28">
        <f t="shared" si="2"/>
        <v>208</v>
      </c>
      <c r="E20" s="19">
        <v>1.0</v>
      </c>
      <c r="F20" s="32">
        <f t="shared" si="5"/>
        <v>126</v>
      </c>
      <c r="G20" s="28">
        <f t="shared" si="3"/>
        <v>334</v>
      </c>
      <c r="H20" s="19">
        <v>1.0</v>
      </c>
      <c r="I20" s="32">
        <f t="shared" si="6"/>
        <v>139</v>
      </c>
      <c r="J20" s="19">
        <v>0.0</v>
      </c>
      <c r="K20" s="32">
        <f t="shared" si="10"/>
        <v>0</v>
      </c>
      <c r="L20" s="19">
        <v>0.0</v>
      </c>
      <c r="M20" s="32">
        <f t="shared" ref="M20:M21" si="19">M19</f>
        <v>361</v>
      </c>
      <c r="N20" s="19">
        <v>0.0</v>
      </c>
      <c r="O20" s="32">
        <f t="shared" si="8"/>
        <v>28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WORKDAY($A$3,row(A18),Holidays!$B$2:$B996)</f>
        <v>45926</v>
      </c>
      <c r="B21" s="34">
        <f t="shared" ref="B21:C21" si="18">B20</f>
        <v>278</v>
      </c>
      <c r="C21" s="29">
        <f t="shared" si="18"/>
        <v>-70</v>
      </c>
      <c r="D21" s="28">
        <f t="shared" si="2"/>
        <v>208</v>
      </c>
      <c r="E21" s="19">
        <v>0.0</v>
      </c>
      <c r="F21" s="32">
        <f t="shared" si="5"/>
        <v>126</v>
      </c>
      <c r="G21" s="28">
        <f t="shared" si="3"/>
        <v>334</v>
      </c>
      <c r="H21" s="19">
        <v>0.0</v>
      </c>
      <c r="I21" s="32">
        <f t="shared" si="6"/>
        <v>139</v>
      </c>
      <c r="J21" s="19">
        <v>0.0</v>
      </c>
      <c r="K21" s="32">
        <f t="shared" si="10"/>
        <v>0</v>
      </c>
      <c r="L21" s="19">
        <v>0.0</v>
      </c>
      <c r="M21" s="32">
        <f t="shared" si="19"/>
        <v>361</v>
      </c>
      <c r="N21" s="19">
        <v>0.0</v>
      </c>
      <c r="O21" s="32">
        <f t="shared" si="8"/>
        <v>28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WORKDAY($A$3,row(A19),Holidays!$B$2:$B996)</f>
        <v>45929</v>
      </c>
      <c r="B22" s="34">
        <f>B21+4-2</f>
        <v>280</v>
      </c>
      <c r="C22" s="29">
        <f t="shared" ref="C22:C23" si="20">C21</f>
        <v>-70</v>
      </c>
      <c r="D22" s="28">
        <f t="shared" si="2"/>
        <v>210</v>
      </c>
      <c r="E22" s="19">
        <v>2.0</v>
      </c>
      <c r="F22" s="32">
        <f t="shared" si="5"/>
        <v>126</v>
      </c>
      <c r="G22" s="28">
        <f t="shared" si="3"/>
        <v>336</v>
      </c>
      <c r="H22" s="19">
        <v>2.0</v>
      </c>
      <c r="I22" s="32">
        <f t="shared" si="6"/>
        <v>139</v>
      </c>
      <c r="J22" s="19">
        <v>0.0</v>
      </c>
      <c r="K22" s="32">
        <f t="shared" si="10"/>
        <v>0</v>
      </c>
      <c r="L22" s="19">
        <v>0.0</v>
      </c>
      <c r="M22" s="32">
        <f>M21+4-2</f>
        <v>363</v>
      </c>
      <c r="N22" s="19">
        <v>2.0</v>
      </c>
      <c r="O22" s="32">
        <f t="shared" si="8"/>
        <v>28</v>
      </c>
      <c r="P22" s="19">
        <v>0.0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0">
        <f>WORKDAY($A$3,row(A20),Holidays!$B$2:$B996)</f>
        <v>45930</v>
      </c>
      <c r="B23" s="34">
        <f>B22-2</f>
        <v>278</v>
      </c>
      <c r="C23" s="29">
        <f t="shared" si="20"/>
        <v>-70</v>
      </c>
      <c r="D23" s="28">
        <f t="shared" si="2"/>
        <v>208</v>
      </c>
      <c r="E23" s="19">
        <v>-2.0</v>
      </c>
      <c r="F23" s="32">
        <f t="shared" si="5"/>
        <v>126</v>
      </c>
      <c r="G23" s="28">
        <f t="shared" si="3"/>
        <v>334</v>
      </c>
      <c r="H23" s="19">
        <v>-2.0</v>
      </c>
      <c r="I23" s="32">
        <f t="shared" si="6"/>
        <v>139</v>
      </c>
      <c r="J23" s="19">
        <v>0.0</v>
      </c>
      <c r="K23" s="32">
        <f t="shared" si="10"/>
        <v>0</v>
      </c>
      <c r="L23" s="19">
        <v>0.0</v>
      </c>
      <c r="M23" s="32">
        <f>M22-2</f>
        <v>361</v>
      </c>
      <c r="N23" s="19">
        <v>-2.0</v>
      </c>
      <c r="O23" s="32">
        <f t="shared" si="8"/>
        <v>28</v>
      </c>
      <c r="P23" s="19">
        <v>0.0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5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5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5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5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5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5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5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5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5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5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5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5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5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5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5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5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5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5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5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5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5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5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5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5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5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5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5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5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5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5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5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5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5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5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5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5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5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5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5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5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5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5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5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5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5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5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5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5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5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5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5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5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5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5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5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5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5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5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5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5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5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5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5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5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5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5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5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5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5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5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5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5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5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5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5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5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5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5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5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5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5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5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5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5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5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5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5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5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5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5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5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5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5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5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5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5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5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5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5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5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5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5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5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5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5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5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5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5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5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5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5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5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5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5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5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5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5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5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5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5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5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5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5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5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5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5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5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5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5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5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5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5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5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5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5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5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5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5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5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5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5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5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5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5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5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5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5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5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5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5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5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5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5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5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5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5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5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5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5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5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5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5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5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5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5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5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5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5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5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5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5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5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5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5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5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5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5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5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5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5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5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5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5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5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5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5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5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5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5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5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5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5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5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5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5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5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5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5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5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5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5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5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5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5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5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5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5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5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5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5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5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5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5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5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5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5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5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5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5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5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5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5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5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5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5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5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5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5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5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5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5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5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5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5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5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5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5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5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5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5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5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5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5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5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5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5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5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5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5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5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5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5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5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5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5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5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5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5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5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5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5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5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5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5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5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5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5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5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5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5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5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5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5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5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5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5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5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5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5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5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5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5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5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5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5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5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5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5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5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5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5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5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5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5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5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5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5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5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5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5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5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5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5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5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5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5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5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5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5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5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5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5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5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5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5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5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5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5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5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5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5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5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5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5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5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5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5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5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5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5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5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5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5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5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5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5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5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5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5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5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5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5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5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5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5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5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5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5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5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5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5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5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5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5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5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5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5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5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5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5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5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5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5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5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5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5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5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5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5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5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5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5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5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5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5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5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5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5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5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5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5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5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5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5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5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5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5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5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5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5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5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5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5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5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5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5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5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5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5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5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5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5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5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5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5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5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5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5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5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5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5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5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5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5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5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5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5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5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5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5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5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5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5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5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5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5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5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5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5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5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5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5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5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5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5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5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5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5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5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5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5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5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5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5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5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5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5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5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5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5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5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5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5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5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5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5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5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5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5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5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5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5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5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5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5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5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5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5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5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5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5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5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5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5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5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5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5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5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5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5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5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5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5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5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5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5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5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5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5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5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5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5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5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5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5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5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5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5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5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5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5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5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5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5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5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5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5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5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5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5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5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5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5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5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5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5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5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5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5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5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5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5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5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5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5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5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5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5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5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5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5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5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5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5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5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5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5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5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5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5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5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5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5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5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5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5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5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5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5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5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5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5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5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5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5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5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5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5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5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5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5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5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5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5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5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5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5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5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5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5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5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5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5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5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5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5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5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5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5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5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5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5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5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5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5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5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5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5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5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5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5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5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5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5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5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5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5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5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5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5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5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5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5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5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5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5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5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5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5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5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5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5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5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5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5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5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5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5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5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5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5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5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5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5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5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5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5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5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5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5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5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5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5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5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5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5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5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5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5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5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5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5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5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5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5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5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5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5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5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5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5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5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5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5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5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5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5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5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5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5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5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5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5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5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5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5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5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5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5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5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5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5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5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5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5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5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5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5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5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5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5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5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5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5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5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5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5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5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5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5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5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5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5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5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5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5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5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5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5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5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5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5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5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5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5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5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5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5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5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5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5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5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5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5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5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5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5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5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5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5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5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5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5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5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5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5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5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5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5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5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5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5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5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5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5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5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5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5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5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5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5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5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5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5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5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5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5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5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5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5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5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5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5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5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5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5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5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5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5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5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5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5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5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5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5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5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5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5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5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5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5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5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5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5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5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5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5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5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5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5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5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5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5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5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5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5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5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5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5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5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5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5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5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5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5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5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5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5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5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5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5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5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5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5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5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5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5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5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5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5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5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5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5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5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5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5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5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5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5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5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5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5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5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5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5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5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5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5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5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5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5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5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5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5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5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5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5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5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5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5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5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5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5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5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5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5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5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5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5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5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5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5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5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5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5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5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5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5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5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5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5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5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5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5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5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5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5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5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5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5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5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5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5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5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5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5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5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5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5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5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5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5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5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5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5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5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5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5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5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5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5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5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5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5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5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5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5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5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5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5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5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5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5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5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5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5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5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5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5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5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5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5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5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5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5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5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5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5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5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5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5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5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5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5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5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5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5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5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5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5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5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5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5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5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5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5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5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5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5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5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5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5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5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5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5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5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5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5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5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5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5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5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5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5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5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5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5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5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5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5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5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5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5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5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5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5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5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5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5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5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5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5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5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</sheetData>
  <mergeCells count="2">
    <mergeCell ref="B1:J1"/>
    <mergeCell ref="K1:P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45931.0</v>
      </c>
      <c r="B3" s="29">
        <f>'September 2025'!B23-16</f>
        <v>262</v>
      </c>
      <c r="C3" s="29">
        <f>'September 2025'!C23</f>
        <v>-70</v>
      </c>
      <c r="D3" s="28">
        <f t="shared" ref="D3:D24" si="1">SUM(B3:C3)</f>
        <v>192</v>
      </c>
      <c r="E3" s="18">
        <f>D3-'September 2025'!D23</f>
        <v>-16</v>
      </c>
      <c r="F3" s="33">
        <f>'September 2025'!F23</f>
        <v>126</v>
      </c>
      <c r="G3" s="28">
        <f t="shared" ref="G3:G24" si="2">SUM(D3,F3)</f>
        <v>318</v>
      </c>
      <c r="H3" s="18">
        <f>G3-'September 2025'!G23</f>
        <v>-16</v>
      </c>
      <c r="I3" s="33">
        <f>'September 2025'!I23</f>
        <v>139</v>
      </c>
      <c r="J3" s="19">
        <f>I3-'August 2025'!I23</f>
        <v>0</v>
      </c>
      <c r="K3" s="33">
        <f>'September 2025'!K23</f>
        <v>0</v>
      </c>
      <c r="L3" s="18">
        <f>K3-'September 2025'!K23</f>
        <v>0</v>
      </c>
      <c r="M3" s="33">
        <f>'September 2025'!M23-16</f>
        <v>345</v>
      </c>
      <c r="N3" s="18">
        <f>M3-'September 2025'!M23</f>
        <v>-16</v>
      </c>
      <c r="O3" s="33">
        <f>'September 2025'!O23</f>
        <v>28</v>
      </c>
      <c r="P3" s="18">
        <f>O3-'September 2025'!O23</f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WORKDAY($A$3,row(A1),Holidays!$B$2:$B996)</f>
        <v>45932</v>
      </c>
      <c r="B4" s="29">
        <f t="shared" ref="B4:B5" si="3">B3-1</f>
        <v>261</v>
      </c>
      <c r="C4" s="29">
        <f t="shared" ref="C4:C5" si="4">C3</f>
        <v>-70</v>
      </c>
      <c r="D4" s="28">
        <f t="shared" si="1"/>
        <v>191</v>
      </c>
      <c r="E4" s="18">
        <f t="array" ref="E4:E24">D4:D24-D3:D23</f>
        <v>-1</v>
      </c>
      <c r="F4" s="32">
        <f t="shared" ref="F4:F20" si="5">F3</f>
        <v>126</v>
      </c>
      <c r="G4" s="28">
        <f t="shared" si="2"/>
        <v>317</v>
      </c>
      <c r="H4" s="18">
        <f t="array" ref="H4:H24">G4:G24-G3:G23</f>
        <v>-1</v>
      </c>
      <c r="I4" s="32">
        <f t="shared" ref="I4:I6" si="6">I3</f>
        <v>139</v>
      </c>
      <c r="J4" s="18">
        <f t="array" ref="J4:J24">I4:I24-I3:I23</f>
        <v>0</v>
      </c>
      <c r="K4" s="33">
        <f t="shared" ref="K4:K6" si="7">K3</f>
        <v>0</v>
      </c>
      <c r="L4" s="18">
        <f t="array" ref="L4:L24">K4:K24-K3:K23</f>
        <v>0</v>
      </c>
      <c r="M4" s="33">
        <f t="shared" ref="M4:M5" si="8">M3-1</f>
        <v>344</v>
      </c>
      <c r="N4" s="18">
        <f t="array" ref="N4:N24">M4:M24-M3:M23</f>
        <v>-1</v>
      </c>
      <c r="O4" s="32">
        <f t="shared" ref="O4:O20" si="9">O3</f>
        <v>28</v>
      </c>
      <c r="P4" s="18">
        <f t="array" ref="P4:P24">O4:O24-O3:O23</f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WORKDAY($A$3,row(A2),Holidays!$B$2:$B996)</f>
        <v>45933</v>
      </c>
      <c r="B5" s="29">
        <f t="shared" si="3"/>
        <v>260</v>
      </c>
      <c r="C5" s="29">
        <f t="shared" si="4"/>
        <v>-70</v>
      </c>
      <c r="D5" s="28">
        <f t="shared" si="1"/>
        <v>190</v>
      </c>
      <c r="E5" s="18">
        <v>-1.0</v>
      </c>
      <c r="F5" s="32">
        <f t="shared" si="5"/>
        <v>126</v>
      </c>
      <c r="G5" s="28">
        <f t="shared" si="2"/>
        <v>316</v>
      </c>
      <c r="H5" s="19">
        <v>-1.0</v>
      </c>
      <c r="I5" s="32">
        <f t="shared" si="6"/>
        <v>139</v>
      </c>
      <c r="J5" s="19">
        <v>0.0</v>
      </c>
      <c r="K5" s="33">
        <f t="shared" si="7"/>
        <v>0</v>
      </c>
      <c r="L5" s="19">
        <v>0.0</v>
      </c>
      <c r="M5" s="33">
        <f t="shared" si="8"/>
        <v>343</v>
      </c>
      <c r="N5" s="19">
        <v>-1.0</v>
      </c>
      <c r="O5" s="32">
        <f t="shared" si="9"/>
        <v>28</v>
      </c>
      <c r="P5" s="19">
        <v>0.0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WORKDAY($A$3,row(A3),Holidays!$B$2:$B996)</f>
        <v>45936</v>
      </c>
      <c r="B6" s="29">
        <f t="shared" ref="B6:C6" si="10">B5</f>
        <v>260</v>
      </c>
      <c r="C6" s="29">
        <f t="shared" si="10"/>
        <v>-70</v>
      </c>
      <c r="D6" s="28">
        <f t="shared" si="1"/>
        <v>190</v>
      </c>
      <c r="E6" s="18">
        <v>0.0</v>
      </c>
      <c r="F6" s="32">
        <f t="shared" si="5"/>
        <v>126</v>
      </c>
      <c r="G6" s="28">
        <f t="shared" si="2"/>
        <v>316</v>
      </c>
      <c r="H6" s="19">
        <v>0.0</v>
      </c>
      <c r="I6" s="32">
        <f t="shared" si="6"/>
        <v>139</v>
      </c>
      <c r="J6" s="19">
        <v>0.0</v>
      </c>
      <c r="K6" s="33">
        <f t="shared" si="7"/>
        <v>0</v>
      </c>
      <c r="L6" s="19">
        <v>0.0</v>
      </c>
      <c r="M6" s="33">
        <f>M5</f>
        <v>343</v>
      </c>
      <c r="N6" s="19">
        <v>0.0</v>
      </c>
      <c r="O6" s="32">
        <f t="shared" si="9"/>
        <v>28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WORKDAY($A$3,row(A4),Holidays!$B$2:$B996)</f>
        <v>45937</v>
      </c>
      <c r="B7" s="29">
        <f>B6-7+2</f>
        <v>255</v>
      </c>
      <c r="C7" s="29">
        <f>C6-2</f>
        <v>-72</v>
      </c>
      <c r="D7" s="28">
        <f t="shared" si="1"/>
        <v>183</v>
      </c>
      <c r="E7" s="18">
        <v>-7.0</v>
      </c>
      <c r="F7" s="32">
        <f t="shared" si="5"/>
        <v>126</v>
      </c>
      <c r="G7" s="28">
        <f t="shared" si="2"/>
        <v>309</v>
      </c>
      <c r="H7" s="19">
        <v>-7.0</v>
      </c>
      <c r="I7" s="32">
        <f>I6+2</f>
        <v>141</v>
      </c>
      <c r="J7" s="19">
        <v>2.0</v>
      </c>
      <c r="K7" s="32">
        <f>K6+1</f>
        <v>1</v>
      </c>
      <c r="L7" s="19">
        <v>1.0</v>
      </c>
      <c r="M7" s="32">
        <f>M6-7-1+2</f>
        <v>337</v>
      </c>
      <c r="N7" s="19">
        <v>-6.0</v>
      </c>
      <c r="O7" s="32">
        <f t="shared" si="9"/>
        <v>28</v>
      </c>
      <c r="P7" s="19">
        <v>0.0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WORKDAY($A$3,row(A5),Holidays!$B$2:$B996)</f>
        <v>45938</v>
      </c>
      <c r="B8" s="29">
        <f>B7-2+2</f>
        <v>255</v>
      </c>
      <c r="C8" s="29">
        <f t="shared" ref="C8:C9" si="11">C7-1</f>
        <v>-73</v>
      </c>
      <c r="D8" s="28">
        <f t="shared" si="1"/>
        <v>182</v>
      </c>
      <c r="E8" s="18">
        <v>-1.0</v>
      </c>
      <c r="F8" s="32">
        <f t="shared" si="5"/>
        <v>126</v>
      </c>
      <c r="G8" s="28">
        <f t="shared" si="2"/>
        <v>308</v>
      </c>
      <c r="H8" s="19">
        <v>-1.0</v>
      </c>
      <c r="I8" s="32">
        <f t="shared" ref="I8:I20" si="12">I7</f>
        <v>141</v>
      </c>
      <c r="J8" s="19">
        <v>0.0</v>
      </c>
      <c r="K8" s="32">
        <f>K7</f>
        <v>1</v>
      </c>
      <c r="L8" s="19">
        <v>0.0</v>
      </c>
      <c r="M8" s="32">
        <f>M7</f>
        <v>337</v>
      </c>
      <c r="N8" s="19">
        <v>0.0</v>
      </c>
      <c r="O8" s="32">
        <f t="shared" si="9"/>
        <v>28</v>
      </c>
      <c r="P8" s="19">
        <v>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WORKDAY($A$3,row(A6),Holidays!$B$2:$B996)</f>
        <v>45939</v>
      </c>
      <c r="B9" s="29">
        <f>B8-3</f>
        <v>252</v>
      </c>
      <c r="C9" s="29">
        <f t="shared" si="11"/>
        <v>-74</v>
      </c>
      <c r="D9" s="28">
        <f t="shared" si="1"/>
        <v>178</v>
      </c>
      <c r="E9" s="18">
        <v>-4.0</v>
      </c>
      <c r="F9" s="32">
        <f t="shared" si="5"/>
        <v>126</v>
      </c>
      <c r="G9" s="28">
        <f t="shared" si="2"/>
        <v>304</v>
      </c>
      <c r="H9" s="19">
        <v>-4.0</v>
      </c>
      <c r="I9" s="33">
        <f t="shared" si="12"/>
        <v>141</v>
      </c>
      <c r="J9" s="19">
        <v>0.0</v>
      </c>
      <c r="K9" s="32">
        <f>K8-1</f>
        <v>0</v>
      </c>
      <c r="L9" s="19">
        <v>-1.0</v>
      </c>
      <c r="M9" s="32">
        <f>M8-3</f>
        <v>334</v>
      </c>
      <c r="N9" s="19">
        <v>-3.0</v>
      </c>
      <c r="O9" s="32">
        <f t="shared" si="9"/>
        <v>28</v>
      </c>
      <c r="P9" s="19">
        <v>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WORKDAY($A$3,row(A7),Holidays!$B$2:$B996)</f>
        <v>45940</v>
      </c>
      <c r="B10" s="29">
        <f>B9-4</f>
        <v>248</v>
      </c>
      <c r="C10" s="29">
        <f t="shared" ref="C10:C11" si="13">C9</f>
        <v>-74</v>
      </c>
      <c r="D10" s="28">
        <f t="shared" si="1"/>
        <v>174</v>
      </c>
      <c r="E10" s="18">
        <v>-4.0</v>
      </c>
      <c r="F10" s="32">
        <f t="shared" si="5"/>
        <v>126</v>
      </c>
      <c r="G10" s="28">
        <f t="shared" si="2"/>
        <v>300</v>
      </c>
      <c r="H10" s="19">
        <v>-4.0</v>
      </c>
      <c r="I10" s="33">
        <f t="shared" si="12"/>
        <v>141</v>
      </c>
      <c r="J10" s="19">
        <v>0.0</v>
      </c>
      <c r="K10" s="32">
        <f t="shared" ref="K10:K17" si="14">K9</f>
        <v>0</v>
      </c>
      <c r="L10" s="19">
        <v>0.0</v>
      </c>
      <c r="M10" s="32">
        <f>M9-4</f>
        <v>330</v>
      </c>
      <c r="N10" s="19">
        <v>-4.0</v>
      </c>
      <c r="O10" s="32">
        <f t="shared" si="9"/>
        <v>28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WORKDAY($A$3,row(A8),Holidays!$B$2:$B996)</f>
        <v>45944</v>
      </c>
      <c r="B11" s="29">
        <f>B10+9</f>
        <v>257</v>
      </c>
      <c r="C11" s="29">
        <f t="shared" si="13"/>
        <v>-74</v>
      </c>
      <c r="D11" s="28">
        <f t="shared" si="1"/>
        <v>183</v>
      </c>
      <c r="E11" s="18">
        <v>9.0</v>
      </c>
      <c r="F11" s="32">
        <f t="shared" si="5"/>
        <v>126</v>
      </c>
      <c r="G11" s="28">
        <f t="shared" si="2"/>
        <v>309</v>
      </c>
      <c r="H11" s="19">
        <v>9.0</v>
      </c>
      <c r="I11" s="32">
        <f t="shared" si="12"/>
        <v>141</v>
      </c>
      <c r="J11" s="19">
        <v>0.0</v>
      </c>
      <c r="K11" s="32">
        <f t="shared" si="14"/>
        <v>0</v>
      </c>
      <c r="L11" s="19">
        <v>0.0</v>
      </c>
      <c r="M11" s="32">
        <f>M10+3</f>
        <v>333</v>
      </c>
      <c r="N11" s="19">
        <v>3.0</v>
      </c>
      <c r="O11" s="32">
        <f t="shared" si="9"/>
        <v>28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WORKDAY($A$3,row(A9),Holidays!$B$2:$B996)</f>
        <v>45945</v>
      </c>
      <c r="B12" s="29">
        <f t="shared" ref="B12:C12" si="15">B11</f>
        <v>257</v>
      </c>
      <c r="C12" s="29">
        <f t="shared" si="15"/>
        <v>-74</v>
      </c>
      <c r="D12" s="28">
        <f t="shared" si="1"/>
        <v>183</v>
      </c>
      <c r="E12" s="18">
        <v>0.0</v>
      </c>
      <c r="F12" s="32">
        <f t="shared" si="5"/>
        <v>126</v>
      </c>
      <c r="G12" s="28">
        <f t="shared" si="2"/>
        <v>309</v>
      </c>
      <c r="H12" s="19">
        <v>0.0</v>
      </c>
      <c r="I12" s="32">
        <f t="shared" si="12"/>
        <v>141</v>
      </c>
      <c r="J12" s="19">
        <v>0.0</v>
      </c>
      <c r="K12" s="32">
        <f t="shared" si="14"/>
        <v>0</v>
      </c>
      <c r="L12" s="19">
        <v>0.0</v>
      </c>
      <c r="M12" s="32">
        <f t="shared" ref="M12:M13" si="17">M11</f>
        <v>333</v>
      </c>
      <c r="N12" s="19">
        <v>0.0</v>
      </c>
      <c r="O12" s="32">
        <f t="shared" si="9"/>
        <v>28</v>
      </c>
      <c r="P12" s="19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WORKDAY($A$3,row(A10),Holidays!$B$2:$B996)</f>
        <v>45946</v>
      </c>
      <c r="B13" s="29">
        <f t="shared" ref="B13:C13" si="16">B12</f>
        <v>257</v>
      </c>
      <c r="C13" s="29">
        <f t="shared" si="16"/>
        <v>-74</v>
      </c>
      <c r="D13" s="28">
        <f t="shared" si="1"/>
        <v>183</v>
      </c>
      <c r="E13" s="18">
        <v>0.0</v>
      </c>
      <c r="F13" s="32">
        <f t="shared" si="5"/>
        <v>126</v>
      </c>
      <c r="G13" s="28">
        <f t="shared" si="2"/>
        <v>309</v>
      </c>
      <c r="H13" s="19">
        <v>0.0</v>
      </c>
      <c r="I13" s="32">
        <f t="shared" si="12"/>
        <v>141</v>
      </c>
      <c r="J13" s="19">
        <v>0.0</v>
      </c>
      <c r="K13" s="32">
        <f t="shared" si="14"/>
        <v>0</v>
      </c>
      <c r="L13" s="19">
        <v>0.0</v>
      </c>
      <c r="M13" s="32">
        <f t="shared" si="17"/>
        <v>333</v>
      </c>
      <c r="N13" s="19">
        <v>0.0</v>
      </c>
      <c r="O13" s="32">
        <f t="shared" si="9"/>
        <v>28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WORKDAY($A$3,row(A11),Holidays!$B$2:$B996)</f>
        <v>45947</v>
      </c>
      <c r="B14" s="29">
        <f>B13-2+1</f>
        <v>256</v>
      </c>
      <c r="C14" s="29">
        <f>C13+1</f>
        <v>-73</v>
      </c>
      <c r="D14" s="28">
        <f t="shared" si="1"/>
        <v>183</v>
      </c>
      <c r="E14" s="18">
        <v>0.0</v>
      </c>
      <c r="F14" s="32">
        <f t="shared" si="5"/>
        <v>126</v>
      </c>
      <c r="G14" s="28">
        <f t="shared" si="2"/>
        <v>309</v>
      </c>
      <c r="H14" s="19">
        <v>0.0</v>
      </c>
      <c r="I14" s="32">
        <f t="shared" si="12"/>
        <v>141</v>
      </c>
      <c r="J14" s="19">
        <v>0.0</v>
      </c>
      <c r="K14" s="32">
        <f t="shared" si="14"/>
        <v>0</v>
      </c>
      <c r="L14" s="19">
        <v>0.0</v>
      </c>
      <c r="M14" s="32">
        <f>M13-2+2</f>
        <v>333</v>
      </c>
      <c r="N14" s="19">
        <v>0.0</v>
      </c>
      <c r="O14" s="32">
        <f t="shared" si="9"/>
        <v>28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WORKDAY($A$3,row(A12),Holidays!$B$2:$B996)</f>
        <v>45950</v>
      </c>
      <c r="B15" s="29">
        <f t="shared" ref="B15:C15" si="18">B14-2</f>
        <v>254</v>
      </c>
      <c r="C15" s="29">
        <f t="shared" si="18"/>
        <v>-75</v>
      </c>
      <c r="D15" s="28">
        <f t="shared" si="1"/>
        <v>179</v>
      </c>
      <c r="E15" s="18">
        <v>-4.0</v>
      </c>
      <c r="F15" s="32">
        <f t="shared" si="5"/>
        <v>126</v>
      </c>
      <c r="G15" s="28">
        <f t="shared" si="2"/>
        <v>305</v>
      </c>
      <c r="H15" s="19">
        <v>-4.0</v>
      </c>
      <c r="I15" s="32">
        <f t="shared" si="12"/>
        <v>141</v>
      </c>
      <c r="J15" s="19">
        <v>0.0</v>
      </c>
      <c r="K15" s="32">
        <f t="shared" si="14"/>
        <v>0</v>
      </c>
      <c r="L15" s="19">
        <v>0.0</v>
      </c>
      <c r="M15" s="32">
        <f>M14-2</f>
        <v>331</v>
      </c>
      <c r="N15" s="19">
        <v>-2.0</v>
      </c>
      <c r="O15" s="32">
        <f t="shared" si="9"/>
        <v>28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WORKDAY($A$3,row(A13),Holidays!$B$2:$B996)</f>
        <v>45951</v>
      </c>
      <c r="B16" s="29">
        <f>B15-5</f>
        <v>249</v>
      </c>
      <c r="C16" s="29">
        <f>C15+1-1</f>
        <v>-75</v>
      </c>
      <c r="D16" s="28">
        <f t="shared" si="1"/>
        <v>174</v>
      </c>
      <c r="E16" s="18">
        <v>-5.0</v>
      </c>
      <c r="F16" s="32">
        <f t="shared" si="5"/>
        <v>126</v>
      </c>
      <c r="G16" s="28">
        <f t="shared" si="2"/>
        <v>300</v>
      </c>
      <c r="H16" s="19">
        <v>-5.0</v>
      </c>
      <c r="I16" s="32">
        <f t="shared" si="12"/>
        <v>141</v>
      </c>
      <c r="J16" s="19">
        <v>0.0</v>
      </c>
      <c r="K16" s="32">
        <f t="shared" si="14"/>
        <v>0</v>
      </c>
      <c r="L16" s="19">
        <v>0.0</v>
      </c>
      <c r="M16" s="32">
        <f>M15+1-5</f>
        <v>327</v>
      </c>
      <c r="N16" s="19">
        <v>-4.0</v>
      </c>
      <c r="O16" s="32">
        <f t="shared" si="9"/>
        <v>28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WORKDAY($A$3,row(A14),Holidays!$B$2:$B996)</f>
        <v>45952</v>
      </c>
      <c r="B17" s="29">
        <f>B16+8+2+3</f>
        <v>262</v>
      </c>
      <c r="C17" s="29">
        <f>C16+5-2</f>
        <v>-72</v>
      </c>
      <c r="D17" s="28">
        <f t="shared" si="1"/>
        <v>190</v>
      </c>
      <c r="E17" s="18">
        <v>16.0</v>
      </c>
      <c r="F17" s="32">
        <f t="shared" si="5"/>
        <v>126</v>
      </c>
      <c r="G17" s="28">
        <f t="shared" si="2"/>
        <v>316</v>
      </c>
      <c r="H17" s="19">
        <v>16.0</v>
      </c>
      <c r="I17" s="32">
        <f t="shared" si="12"/>
        <v>141</v>
      </c>
      <c r="J17" s="19">
        <v>0.0</v>
      </c>
      <c r="K17" s="32">
        <f t="shared" si="14"/>
        <v>0</v>
      </c>
      <c r="L17" s="19">
        <v>0.0</v>
      </c>
      <c r="M17" s="32">
        <f>M16+12</f>
        <v>339</v>
      </c>
      <c r="N17" s="19">
        <v>12.0</v>
      </c>
      <c r="O17" s="32">
        <f t="shared" si="9"/>
        <v>28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WORKDAY($A$3,row(A15),Holidays!$B$2:$B996)</f>
        <v>45953</v>
      </c>
      <c r="B18" s="29">
        <f>B17+3+2</f>
        <v>267</v>
      </c>
      <c r="C18" s="29">
        <f>C17-2+1</f>
        <v>-73</v>
      </c>
      <c r="D18" s="28">
        <f t="shared" si="1"/>
        <v>194</v>
      </c>
      <c r="E18" s="18">
        <v>4.0</v>
      </c>
      <c r="F18" s="32">
        <f t="shared" si="5"/>
        <v>126</v>
      </c>
      <c r="G18" s="28">
        <f t="shared" si="2"/>
        <v>320</v>
      </c>
      <c r="H18" s="19">
        <v>4.0</v>
      </c>
      <c r="I18" s="32">
        <f t="shared" si="12"/>
        <v>141</v>
      </c>
      <c r="J18" s="19">
        <v>0.0</v>
      </c>
      <c r="K18" s="32">
        <f>K17+1</f>
        <v>1</v>
      </c>
      <c r="L18" s="19">
        <v>1.0</v>
      </c>
      <c r="M18" s="32">
        <f>M17+6</f>
        <v>345</v>
      </c>
      <c r="N18" s="19">
        <v>6.0</v>
      </c>
      <c r="O18" s="32">
        <f t="shared" si="9"/>
        <v>28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WORKDAY($A$3,row(A16),Holidays!$B$2:$B996)</f>
        <v>45954</v>
      </c>
      <c r="B19" s="29">
        <f>B18+1</f>
        <v>268</v>
      </c>
      <c r="C19" s="29">
        <f t="shared" ref="C19:C20" si="19">C18</f>
        <v>-73</v>
      </c>
      <c r="D19" s="28">
        <f t="shared" si="1"/>
        <v>195</v>
      </c>
      <c r="E19" s="18">
        <v>1.0</v>
      </c>
      <c r="F19" s="32">
        <f t="shared" si="5"/>
        <v>126</v>
      </c>
      <c r="G19" s="28">
        <f t="shared" si="2"/>
        <v>321</v>
      </c>
      <c r="H19" s="19">
        <v>1.0</v>
      </c>
      <c r="I19" s="32">
        <f t="shared" si="12"/>
        <v>141</v>
      </c>
      <c r="J19" s="19">
        <v>0.0</v>
      </c>
      <c r="K19" s="32">
        <f t="shared" ref="K19:K20" si="20">K18</f>
        <v>1</v>
      </c>
      <c r="L19" s="19">
        <v>0.0</v>
      </c>
      <c r="M19" s="32">
        <f>M18</f>
        <v>345</v>
      </c>
      <c r="N19" s="19">
        <v>0.0</v>
      </c>
      <c r="O19" s="33">
        <f t="shared" si="9"/>
        <v>28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WORKDAY($A$3,row(A17),Holidays!$B$2:$B996)</f>
        <v>45957</v>
      </c>
      <c r="B20" s="29">
        <f>B19+2+1-3</f>
        <v>268</v>
      </c>
      <c r="C20" s="29">
        <f t="shared" si="19"/>
        <v>-73</v>
      </c>
      <c r="D20" s="28">
        <f t="shared" si="1"/>
        <v>195</v>
      </c>
      <c r="E20" s="18">
        <v>0.0</v>
      </c>
      <c r="F20" s="32">
        <f t="shared" si="5"/>
        <v>126</v>
      </c>
      <c r="G20" s="28">
        <f t="shared" si="2"/>
        <v>321</v>
      </c>
      <c r="H20" s="19">
        <v>0.0</v>
      </c>
      <c r="I20" s="32">
        <f t="shared" si="12"/>
        <v>141</v>
      </c>
      <c r="J20" s="19">
        <v>0.0</v>
      </c>
      <c r="K20" s="32">
        <f t="shared" si="20"/>
        <v>1</v>
      </c>
      <c r="L20" s="19">
        <v>0.0</v>
      </c>
      <c r="M20" s="32">
        <f>M19+3-3</f>
        <v>345</v>
      </c>
      <c r="N20" s="19">
        <v>0.0</v>
      </c>
      <c r="O20" s="32">
        <f t="shared" si="9"/>
        <v>28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WORKDAY($A$3,row(A18),Holidays!$B$2:$B996)</f>
        <v>45958</v>
      </c>
      <c r="B21" s="34"/>
      <c r="C21" s="29"/>
      <c r="D21" s="28">
        <f t="shared" si="1"/>
        <v>0</v>
      </c>
      <c r="E21" s="18">
        <v>-195.0</v>
      </c>
      <c r="F21" s="28"/>
      <c r="G21" s="28">
        <f t="shared" si="2"/>
        <v>0</v>
      </c>
      <c r="H21" s="19">
        <v>-321.0</v>
      </c>
      <c r="I21" s="32"/>
      <c r="J21" s="19">
        <v>-141.0</v>
      </c>
      <c r="K21" s="32"/>
      <c r="L21" s="19">
        <v>-1.0</v>
      </c>
      <c r="M21" s="28"/>
      <c r="N21" s="19">
        <v>-345.0</v>
      </c>
      <c r="O21" s="32"/>
      <c r="P21" s="19">
        <v>-28.0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WORKDAY($A$3,row(A19),Holidays!$B$2:$B996)</f>
        <v>45959</v>
      </c>
      <c r="B22" s="34"/>
      <c r="C22" s="29"/>
      <c r="D22" s="28">
        <f t="shared" si="1"/>
        <v>0</v>
      </c>
      <c r="E22" s="18">
        <v>0.0</v>
      </c>
      <c r="F22" s="32"/>
      <c r="G22" s="28">
        <f t="shared" si="2"/>
        <v>0</v>
      </c>
      <c r="H22" s="19">
        <v>0.0</v>
      </c>
      <c r="I22" s="32"/>
      <c r="J22" s="19">
        <v>0.0</v>
      </c>
      <c r="K22" s="32"/>
      <c r="L22" s="19">
        <v>0.0</v>
      </c>
      <c r="M22" s="32"/>
      <c r="N22" s="19">
        <v>0.0</v>
      </c>
      <c r="O22" s="32"/>
      <c r="P22" s="19">
        <v>0.0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0">
        <f>WORKDAY($A$3,row(A20),Holidays!$B$2:$B996)</f>
        <v>45960</v>
      </c>
      <c r="B23" s="34"/>
      <c r="C23" s="34"/>
      <c r="D23" s="28">
        <f t="shared" si="1"/>
        <v>0</v>
      </c>
      <c r="E23" s="18">
        <v>0.0</v>
      </c>
      <c r="F23" s="28"/>
      <c r="G23" s="28">
        <f t="shared" si="2"/>
        <v>0</v>
      </c>
      <c r="H23" s="19">
        <v>0.0</v>
      </c>
      <c r="I23" s="28"/>
      <c r="J23" s="19">
        <v>0.0</v>
      </c>
      <c r="K23" s="28"/>
      <c r="L23" s="32">
        <v>0.0</v>
      </c>
      <c r="M23" s="28"/>
      <c r="N23" s="32">
        <v>0.0</v>
      </c>
      <c r="O23" s="28"/>
      <c r="P23" s="32">
        <v>0.0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0">
        <f>WORKDAY($A$3,row(A21),Holidays!$B$2:$B996)</f>
        <v>45961</v>
      </c>
      <c r="B24" s="34"/>
      <c r="C24" s="34"/>
      <c r="D24" s="28">
        <f t="shared" si="1"/>
        <v>0</v>
      </c>
      <c r="E24" s="18">
        <v>0.0</v>
      </c>
      <c r="F24" s="28"/>
      <c r="G24" s="28">
        <f t="shared" si="2"/>
        <v>0</v>
      </c>
      <c r="H24" s="19">
        <v>0.0</v>
      </c>
      <c r="I24" s="28"/>
      <c r="J24" s="19">
        <v>0.0</v>
      </c>
      <c r="K24" s="28"/>
      <c r="L24" s="28">
        <v>0.0</v>
      </c>
      <c r="M24" s="28"/>
      <c r="N24" s="28">
        <v>0.0</v>
      </c>
      <c r="O24" s="28"/>
      <c r="P24" s="28">
        <v>0.0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4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4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4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4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4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4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4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4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4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4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4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4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4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4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4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4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4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4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4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4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4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4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4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4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4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4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4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4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4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4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4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4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4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4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4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4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4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4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4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4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4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4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4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4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4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4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4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4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4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4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4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4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4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4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4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4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4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4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4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4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4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4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4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4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4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4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4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4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4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4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4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4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4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4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4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4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4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4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4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4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4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4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4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4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4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4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4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4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4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4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4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4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4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4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4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4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4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4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4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4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4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4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4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4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4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4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4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4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4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4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4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4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4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4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4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4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4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4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4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4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4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4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4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4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4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4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4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4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4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4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4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4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4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4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4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4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4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4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4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4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4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4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4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4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4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4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4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4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4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4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4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4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4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4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4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4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4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4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4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4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4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4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4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4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4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4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4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4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4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4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4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4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4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4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4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4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4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4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4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4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4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4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4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4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4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4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4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4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4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4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4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4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4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4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4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4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4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4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4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4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4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4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4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4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4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4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4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4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4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4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4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4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4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4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4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4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4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4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4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4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4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4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4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4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4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4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4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4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4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4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4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4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4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4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4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4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4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4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4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4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4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4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4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4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4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4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4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4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4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4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4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4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4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4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4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4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4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4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4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4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4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4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4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4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4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4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4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4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4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4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4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4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4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4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4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4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4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4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4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4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4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4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4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4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4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4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4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4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4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4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4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4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4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4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4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4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4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4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4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4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4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4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4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4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4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4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4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4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4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4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4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4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4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4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4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4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4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4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4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4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4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4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4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4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4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4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4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4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4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4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4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4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4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4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4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4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4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4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4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4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4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4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4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4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4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4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4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4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4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4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4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4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4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4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4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4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4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4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4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4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4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4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4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4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4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4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4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4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4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4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4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4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4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4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4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4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4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4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4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4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4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4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4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4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4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4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4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4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4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4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4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4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4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4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4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4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4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4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4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4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4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4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4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4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4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4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4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4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4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4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4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4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4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4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4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4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4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4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4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4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4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4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4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4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4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4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4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4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4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4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4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4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4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4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4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4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4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4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4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4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4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4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4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4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4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4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4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4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4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4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4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4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4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4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4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4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4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4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4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4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4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4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4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4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4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4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4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4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4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4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4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4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4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4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4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4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4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4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4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4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4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4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4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4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4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4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4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4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4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4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4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4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4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4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4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4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4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4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4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4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4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4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4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4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4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4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4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4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4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4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4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4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4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4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4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4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4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4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4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4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4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4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4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4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4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4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4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4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4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4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4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4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4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4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4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4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4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4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4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4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4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4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4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4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4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4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4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4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4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4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4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4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4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4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4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4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4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4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4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4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4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4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4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4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4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4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4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4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4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4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4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4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4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4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4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4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4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4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4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4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4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4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4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4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4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4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4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4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4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4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4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4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4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4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4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4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4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4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4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4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4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4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4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4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4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4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4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4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4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4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4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4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4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4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4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4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4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4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4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4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4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4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4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4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4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4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4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4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4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4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4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4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4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4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4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4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4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4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4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4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4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4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4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4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4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4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4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4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4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4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4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4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4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4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4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4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4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4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4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4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4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4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4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4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4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4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4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4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4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4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4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4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4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4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4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4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4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4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4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4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4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4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4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4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4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4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4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4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4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4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4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4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4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4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4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4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4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4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4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4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4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4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4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4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4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4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4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4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4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4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4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4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4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4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4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4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4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4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4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4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4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4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4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4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4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4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4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4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4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4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4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4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4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4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4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4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4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4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4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4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4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4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4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4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4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4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4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4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4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4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4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4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4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4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4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4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4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4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4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4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4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4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4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4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4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4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4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4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4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4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4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4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4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4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4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4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4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4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4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4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4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4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4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4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4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4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4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4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4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4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4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4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4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4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4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4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4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4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4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4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4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4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4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4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4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4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4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4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4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4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4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4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4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4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4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4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4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4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4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4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4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4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4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4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4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4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4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4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4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4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4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4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4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4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4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4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4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4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4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4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4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4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4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4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4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4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4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4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4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4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4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4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4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4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4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4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4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4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4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4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4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4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4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4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4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4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4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4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4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4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4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4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4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4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4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4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4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4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4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4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4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4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4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4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4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4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4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4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4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4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4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4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4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4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4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4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4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4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4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4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4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4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4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4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4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4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4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4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4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4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4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4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4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4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4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4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4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4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4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4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4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4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4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4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4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4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4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4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4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4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4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4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4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4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4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4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4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4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4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4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4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4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4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4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4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4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4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4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4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4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4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4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4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4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4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4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4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4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4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4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4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4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4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4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4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4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4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4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4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4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4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4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</sheetData>
  <mergeCells count="2">
    <mergeCell ref="B1:J1"/>
    <mergeCell ref="K1:P1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5" t="str">
        <f>IFERROR(__xludf.DUMMYFUNCTION("QUERY(IMPORTRANGE(""https://docs.google.com/spreadsheets/d/1gu8fh9gqpxMAg5gidKr2jFSnH-_u_oen8BMhKMRAyas/edit?usp=sharing"",""'December 2024'!A1:V19""),""select *"")")," Business Days")</f>
        <v> Business Days</v>
      </c>
      <c r="B2" s="35" t="str">
        <f>IFERROR(__xludf.DUMMYFUNCTION("""COMPUTED_VALUE"""),"Primary Supply - Supply of Focus Provisioned Devices w/Cases**")</f>
        <v>Primary Supply - Supply of Focus Provisioned Devices w/Cases**</v>
      </c>
      <c r="C2" s="35" t="str">
        <f>IFERROR(__xludf.DUMMYFUNCTION("""COMPUTED_VALUE""")," Provisioned Devices w/o Cases**")</f>
        <v> Provisioned Devices w/o Cases**</v>
      </c>
      <c r="D2" s="35" t="str">
        <f>IFERROR(__xludf.DUMMYFUNCTION("""COMPUTED_VALUE""")," Total Count of Provisioned Devices**")</f>
        <v> Total Count of Provisioned Devices**</v>
      </c>
      <c r="E2" s="35" t="str">
        <f>IFERROR(__xludf.DUMMYFUNCTION("""COMPUTED_VALUE""")," Change")</f>
        <v> Change</v>
      </c>
      <c r="F2" s="35" t="str">
        <f>IFERROR(__xludf.DUMMYFUNCTION("""COMPUTED_VALUE""")," New Devices Not Provisioned**")</f>
        <v> New Devices Not Provisioned**</v>
      </c>
      <c r="G2" s="35" t="str">
        <f>IFERROR(__xludf.DUMMYFUNCTION("""COMPUTED_VALUE""")," Returned Devices (To be checked)")</f>
        <v> Returned Devices (To be checked)</v>
      </c>
      <c r="H2" s="35" t="str">
        <f>IFERROR(__xludf.DUMMYFUNCTION("""COMPUTED_VALUE""")," Total Count of Devices**")</f>
        <v> Total Count of Devices**</v>
      </c>
      <c r="I2" s="35" t="str">
        <f>IFERROR(__xludf.DUMMYFUNCTION("""COMPUTED_VALUE""")," Change")</f>
        <v> Change</v>
      </c>
      <c r="J2" s="35" t="str">
        <f>IFERROR(__xludf.DUMMYFUNCTION("""COMPUTED_VALUE""")," Boxed Device Stands")</f>
        <v> Boxed Device Stands</v>
      </c>
      <c r="K2" s="35" t="str">
        <f>IFERROR(__xludf.DUMMYFUNCTION("""COMPUTED_VALUE""")," Change")</f>
        <v> Change</v>
      </c>
      <c r="L2" s="35" t="str">
        <f>IFERROR(__xludf.DUMMYFUNCTION("""COMPUTED_VALUE""")," Tagged Hyperwallet Cards")</f>
        <v> Tagged Hyperwallet Cards</v>
      </c>
      <c r="M2" s="35" t="str">
        <f>IFERROR(__xludf.DUMMYFUNCTION("""COMPUTED_VALUE""")," Change")</f>
        <v> Change</v>
      </c>
      <c r="N2" s="35" t="str">
        <f>IFERROR(__xludf.DUMMYFUNCTION("""COMPUTED_VALUE""")," Untagged Hyperwallet Cards")</f>
        <v> Untagged Hyperwallet Cards</v>
      </c>
      <c r="O2" s="35" t="str">
        <f>IFERROR(__xludf.DUMMYFUNCTION("""COMPUTED_VALUE""")," Total Count of Hyperwallet Cards")</f>
        <v> Total Count of Hyperwallet Cards</v>
      </c>
      <c r="P2" s="35" t="str">
        <f>IFERROR(__xludf.DUMMYFUNCTION("""COMPUTED_VALUE""")," Change")</f>
        <v> Change</v>
      </c>
      <c r="Q2" s="35" t="str">
        <f>IFERROR(__xludf.DUMMYFUNCTION("""COMPUTED_VALUE"""),"Secondary Supply - Supporting Supply Laptop Bags")</f>
        <v>Secondary Supply - Supporting Supply Laptop Bags</v>
      </c>
      <c r="R2" s="35" t="str">
        <f>IFERROR(__xludf.DUMMYFUNCTION("""COMPUTED_VALUE""")," Change")</f>
        <v> Change</v>
      </c>
      <c r="S2" s="35" t="str">
        <f>IFERROR(__xludf.DUMMYFUNCTION("""COMPUTED_VALUE""")," Pouches")</f>
        <v> Pouches</v>
      </c>
      <c r="T2" s="35" t="str">
        <f>IFERROR(__xludf.DUMMYFUNCTION("""COMPUTED_VALUE""")," Change")</f>
        <v> Change</v>
      </c>
      <c r="U2" s="35" t="str">
        <f>IFERROR(__xludf.DUMMYFUNCTION("""COMPUTED_VALUE""")," Cases")</f>
        <v> Cases</v>
      </c>
      <c r="V2" s="35" t="str">
        <f>IFERROR(__xludf.DUMMYFUNCTION("""COMPUTED_VALUE""")," Change")</f>
        <v> Change</v>
      </c>
    </row>
    <row r="3">
      <c r="A3" s="36">
        <f>IFERROR(__xludf.DUMMYFUNCTION("""COMPUTED_VALUE"""),45628.0)</f>
        <v>45628</v>
      </c>
      <c r="B3" s="37">
        <f>IFERROR(__xludf.DUMMYFUNCTION("""COMPUTED_VALUE"""),468.0)</f>
        <v>468</v>
      </c>
      <c r="C3" s="37">
        <f>IFERROR(__xludf.DUMMYFUNCTION("""COMPUTED_VALUE"""),433.0)</f>
        <v>433</v>
      </c>
      <c r="D3" s="37">
        <f>IFERROR(__xludf.DUMMYFUNCTION("""COMPUTED_VALUE"""),901.0)</f>
        <v>901</v>
      </c>
      <c r="E3" s="38">
        <f>IFERROR(__xludf.DUMMYFUNCTION("""COMPUTED_VALUE"""),51.0)</f>
        <v>51</v>
      </c>
      <c r="F3" s="37">
        <f>IFERROR(__xludf.DUMMYFUNCTION("""COMPUTED_VALUE"""),140.0)</f>
        <v>140</v>
      </c>
      <c r="G3" s="37">
        <f>IFERROR(__xludf.DUMMYFUNCTION("""COMPUTED_VALUE"""),0.0)</f>
        <v>0</v>
      </c>
      <c r="H3" s="37">
        <f>IFERROR(__xludf.DUMMYFUNCTION("""COMPUTED_VALUE"""),1041.0)</f>
        <v>1041</v>
      </c>
      <c r="I3" s="38">
        <f>IFERROR(__xludf.DUMMYFUNCTION("""COMPUTED_VALUE"""),51.0)</f>
        <v>51</v>
      </c>
      <c r="J3" s="37">
        <f>IFERROR(__xludf.DUMMYFUNCTION("""COMPUTED_VALUE"""),152.0)</f>
        <v>152</v>
      </c>
      <c r="K3" s="38">
        <f>IFERROR(__xludf.DUMMYFUNCTION("""COMPUTED_VALUE"""),0.0)</f>
        <v>0</v>
      </c>
      <c r="L3" s="37">
        <f>IFERROR(__xludf.DUMMYFUNCTION("""COMPUTED_VALUE"""),0.0)</f>
        <v>0</v>
      </c>
      <c r="M3" s="38">
        <f>IFERROR(__xludf.DUMMYFUNCTION("""COMPUTED_VALUE"""),0.0)</f>
        <v>0</v>
      </c>
      <c r="N3" s="38">
        <f>IFERROR(__xludf.DUMMYFUNCTION("""COMPUTED_VALUE"""),0.0)</f>
        <v>0</v>
      </c>
      <c r="O3" s="37">
        <f>IFERROR(__xludf.DUMMYFUNCTION("""COMPUTED_VALUE"""),0.0)</f>
        <v>0</v>
      </c>
      <c r="P3" s="38">
        <f>IFERROR(__xludf.DUMMYFUNCTION("""COMPUTED_VALUE"""),0.0)</f>
        <v>0</v>
      </c>
      <c r="Q3" s="37">
        <f>IFERROR(__xludf.DUMMYFUNCTION("""COMPUTED_VALUE"""),142.0)</f>
        <v>142</v>
      </c>
      <c r="R3" s="38">
        <f>IFERROR(__xludf.DUMMYFUNCTION("""COMPUTED_VALUE"""),2.0)</f>
        <v>2</v>
      </c>
      <c r="S3" s="37">
        <f>IFERROR(__xludf.DUMMYFUNCTION("""COMPUTED_VALUE"""),823.0)</f>
        <v>823</v>
      </c>
      <c r="T3" s="38">
        <f>IFERROR(__xludf.DUMMYFUNCTION("""COMPUTED_VALUE"""),80.0)</f>
        <v>80</v>
      </c>
      <c r="U3" s="37">
        <f>IFERROR(__xludf.DUMMYFUNCTION("""COMPUTED_VALUE"""),30.0)</f>
        <v>30</v>
      </c>
      <c r="V3" s="38">
        <f>IFERROR(__xludf.DUMMYFUNCTION("""COMPUTED_VALUE"""),0.0)</f>
        <v>0</v>
      </c>
    </row>
    <row r="4">
      <c r="A4" s="36">
        <f>IFERROR(__xludf.DUMMYFUNCTION("""COMPUTED_VALUE"""),45629.0)</f>
        <v>45629</v>
      </c>
      <c r="B4" s="37">
        <f>IFERROR(__xludf.DUMMYFUNCTION("""COMPUTED_VALUE"""),467.0)</f>
        <v>467</v>
      </c>
      <c r="C4" s="37">
        <f>IFERROR(__xludf.DUMMYFUNCTION("""COMPUTED_VALUE"""),433.0)</f>
        <v>433</v>
      </c>
      <c r="D4" s="37">
        <f>IFERROR(__xludf.DUMMYFUNCTION("""COMPUTED_VALUE"""),900.0)</f>
        <v>900</v>
      </c>
      <c r="E4" s="38">
        <f>IFERROR(__xludf.DUMMYFUNCTION("""COMPUTED_VALUE"""),-1.0)</f>
        <v>-1</v>
      </c>
      <c r="F4" s="37">
        <f>IFERROR(__xludf.DUMMYFUNCTION("""COMPUTED_VALUE"""),140.0)</f>
        <v>140</v>
      </c>
      <c r="G4" s="37">
        <f>IFERROR(__xludf.DUMMYFUNCTION("""COMPUTED_VALUE"""),0.0)</f>
        <v>0</v>
      </c>
      <c r="H4" s="37">
        <f>IFERROR(__xludf.DUMMYFUNCTION("""COMPUTED_VALUE"""),1040.0)</f>
        <v>1040</v>
      </c>
      <c r="I4" s="38">
        <f>IFERROR(__xludf.DUMMYFUNCTION("""COMPUTED_VALUE"""),-1.0)</f>
        <v>-1</v>
      </c>
      <c r="J4" s="37">
        <f>IFERROR(__xludf.DUMMYFUNCTION("""COMPUTED_VALUE"""),152.0)</f>
        <v>152</v>
      </c>
      <c r="K4" s="38">
        <f>IFERROR(__xludf.DUMMYFUNCTION("""COMPUTED_VALUE"""),0.0)</f>
        <v>0</v>
      </c>
      <c r="L4" s="37">
        <f>IFERROR(__xludf.DUMMYFUNCTION("""COMPUTED_VALUE"""),0.0)</f>
        <v>0</v>
      </c>
      <c r="M4" s="38">
        <f>IFERROR(__xludf.DUMMYFUNCTION("""COMPUTED_VALUE"""),0.0)</f>
        <v>0</v>
      </c>
      <c r="N4" s="38">
        <f>IFERROR(__xludf.DUMMYFUNCTION("""COMPUTED_VALUE"""),0.0)</f>
        <v>0</v>
      </c>
      <c r="O4" s="37">
        <f>IFERROR(__xludf.DUMMYFUNCTION("""COMPUTED_VALUE"""),0.0)</f>
        <v>0</v>
      </c>
      <c r="P4" s="38">
        <f>IFERROR(__xludf.DUMMYFUNCTION("""COMPUTED_VALUE"""),0.0)</f>
        <v>0</v>
      </c>
      <c r="Q4" s="37">
        <f>IFERROR(__xludf.DUMMYFUNCTION("""COMPUTED_VALUE"""),141.0)</f>
        <v>141</v>
      </c>
      <c r="R4" s="38">
        <f>IFERROR(__xludf.DUMMYFUNCTION("""COMPUTED_VALUE"""),-1.0)</f>
        <v>-1</v>
      </c>
      <c r="S4" s="37">
        <f>IFERROR(__xludf.DUMMYFUNCTION("""COMPUTED_VALUE"""),822.0)</f>
        <v>822</v>
      </c>
      <c r="T4" s="38">
        <f>IFERROR(__xludf.DUMMYFUNCTION("""COMPUTED_VALUE"""),-1.0)</f>
        <v>-1</v>
      </c>
      <c r="U4" s="37">
        <f>IFERROR(__xludf.DUMMYFUNCTION("""COMPUTED_VALUE"""),30.0)</f>
        <v>30</v>
      </c>
      <c r="V4" s="38">
        <f>IFERROR(__xludf.DUMMYFUNCTION("""COMPUTED_VALUE"""),0.0)</f>
        <v>0</v>
      </c>
    </row>
    <row r="5">
      <c r="A5" s="36">
        <f>IFERROR(__xludf.DUMMYFUNCTION("""COMPUTED_VALUE"""),45630.0)</f>
        <v>45630</v>
      </c>
      <c r="B5" s="37">
        <f>IFERROR(__xludf.DUMMYFUNCTION("""COMPUTED_VALUE"""),473.0)</f>
        <v>473</v>
      </c>
      <c r="C5" s="37">
        <f>IFERROR(__xludf.DUMMYFUNCTION("""COMPUTED_VALUE"""),430.0)</f>
        <v>430</v>
      </c>
      <c r="D5" s="37">
        <f>IFERROR(__xludf.DUMMYFUNCTION("""COMPUTED_VALUE"""),903.0)</f>
        <v>903</v>
      </c>
      <c r="E5" s="38">
        <f>IFERROR(__xludf.DUMMYFUNCTION("""COMPUTED_VALUE"""),3.0)</f>
        <v>3</v>
      </c>
      <c r="F5" s="37">
        <f>IFERROR(__xludf.DUMMYFUNCTION("""COMPUTED_VALUE"""),140.0)</f>
        <v>140</v>
      </c>
      <c r="G5" s="37">
        <f>IFERROR(__xludf.DUMMYFUNCTION("""COMPUTED_VALUE"""),0.0)</f>
        <v>0</v>
      </c>
      <c r="H5" s="37">
        <f>IFERROR(__xludf.DUMMYFUNCTION("""COMPUTED_VALUE"""),1043.0)</f>
        <v>1043</v>
      </c>
      <c r="I5" s="38">
        <f>IFERROR(__xludf.DUMMYFUNCTION("""COMPUTED_VALUE"""),3.0)</f>
        <v>3</v>
      </c>
      <c r="J5" s="37">
        <f>IFERROR(__xludf.DUMMYFUNCTION("""COMPUTED_VALUE"""),152.0)</f>
        <v>152</v>
      </c>
      <c r="K5" s="38">
        <f>IFERROR(__xludf.DUMMYFUNCTION("""COMPUTED_VALUE"""),0.0)</f>
        <v>0</v>
      </c>
      <c r="L5" s="37">
        <f>IFERROR(__xludf.DUMMYFUNCTION("""COMPUTED_VALUE"""),0.0)</f>
        <v>0</v>
      </c>
      <c r="M5" s="38">
        <f>IFERROR(__xludf.DUMMYFUNCTION("""COMPUTED_VALUE"""),0.0)</f>
        <v>0</v>
      </c>
      <c r="N5" s="38">
        <f>IFERROR(__xludf.DUMMYFUNCTION("""COMPUTED_VALUE"""),0.0)</f>
        <v>0</v>
      </c>
      <c r="O5" s="37">
        <f>IFERROR(__xludf.DUMMYFUNCTION("""COMPUTED_VALUE"""),0.0)</f>
        <v>0</v>
      </c>
      <c r="P5" s="38">
        <f>IFERROR(__xludf.DUMMYFUNCTION("""COMPUTED_VALUE"""),0.0)</f>
        <v>0</v>
      </c>
      <c r="Q5" s="37">
        <f>IFERROR(__xludf.DUMMYFUNCTION("""COMPUTED_VALUE"""),141.0)</f>
        <v>141</v>
      </c>
      <c r="R5" s="38">
        <f>IFERROR(__xludf.DUMMYFUNCTION("""COMPUTED_VALUE"""),0.0)</f>
        <v>0</v>
      </c>
      <c r="S5" s="37">
        <f>IFERROR(__xludf.DUMMYFUNCTION("""COMPUTED_VALUE"""),825.0)</f>
        <v>825</v>
      </c>
      <c r="T5" s="38">
        <f>IFERROR(__xludf.DUMMYFUNCTION("""COMPUTED_VALUE"""),3.0)</f>
        <v>3</v>
      </c>
      <c r="U5" s="37">
        <f>IFERROR(__xludf.DUMMYFUNCTION("""COMPUTED_VALUE"""),30.0)</f>
        <v>30</v>
      </c>
      <c r="V5" s="38">
        <f>IFERROR(__xludf.DUMMYFUNCTION("""COMPUTED_VALUE"""),0.0)</f>
        <v>0</v>
      </c>
    </row>
    <row r="6">
      <c r="A6" s="36">
        <f>IFERROR(__xludf.DUMMYFUNCTION("""COMPUTED_VALUE"""),45631.0)</f>
        <v>45631</v>
      </c>
      <c r="B6" s="37">
        <f>IFERROR(__xludf.DUMMYFUNCTION("""COMPUTED_VALUE"""),475.0)</f>
        <v>475</v>
      </c>
      <c r="C6" s="37">
        <f>IFERROR(__xludf.DUMMYFUNCTION("""COMPUTED_VALUE"""),430.0)</f>
        <v>430</v>
      </c>
      <c r="D6" s="37">
        <f>IFERROR(__xludf.DUMMYFUNCTION("""COMPUTED_VALUE"""),905.0)</f>
        <v>905</v>
      </c>
      <c r="E6" s="38">
        <f>IFERROR(__xludf.DUMMYFUNCTION("""COMPUTED_VALUE"""),2.0)</f>
        <v>2</v>
      </c>
      <c r="F6" s="37">
        <f>IFERROR(__xludf.DUMMYFUNCTION("""COMPUTED_VALUE"""),140.0)</f>
        <v>140</v>
      </c>
      <c r="G6" s="37">
        <f>IFERROR(__xludf.DUMMYFUNCTION("""COMPUTED_VALUE"""),0.0)</f>
        <v>0</v>
      </c>
      <c r="H6" s="37">
        <f>IFERROR(__xludf.DUMMYFUNCTION("""COMPUTED_VALUE"""),1045.0)</f>
        <v>1045</v>
      </c>
      <c r="I6" s="38">
        <f>IFERROR(__xludf.DUMMYFUNCTION("""COMPUTED_VALUE"""),2.0)</f>
        <v>2</v>
      </c>
      <c r="J6" s="37">
        <f>IFERROR(__xludf.DUMMYFUNCTION("""COMPUTED_VALUE"""),152.0)</f>
        <v>152</v>
      </c>
      <c r="K6" s="38">
        <f>IFERROR(__xludf.DUMMYFUNCTION("""COMPUTED_VALUE"""),0.0)</f>
        <v>0</v>
      </c>
      <c r="L6" s="37">
        <f>IFERROR(__xludf.DUMMYFUNCTION("""COMPUTED_VALUE"""),0.0)</f>
        <v>0</v>
      </c>
      <c r="M6" s="38">
        <f>IFERROR(__xludf.DUMMYFUNCTION("""COMPUTED_VALUE"""),0.0)</f>
        <v>0</v>
      </c>
      <c r="N6" s="38">
        <f>IFERROR(__xludf.DUMMYFUNCTION("""COMPUTED_VALUE"""),0.0)</f>
        <v>0</v>
      </c>
      <c r="O6" s="37">
        <f>IFERROR(__xludf.DUMMYFUNCTION("""COMPUTED_VALUE"""),0.0)</f>
        <v>0</v>
      </c>
      <c r="P6" s="38">
        <f>IFERROR(__xludf.DUMMYFUNCTION("""COMPUTED_VALUE"""),0.0)</f>
        <v>0</v>
      </c>
      <c r="Q6" s="37">
        <f>IFERROR(__xludf.DUMMYFUNCTION("""COMPUTED_VALUE"""),141.0)</f>
        <v>141</v>
      </c>
      <c r="R6" s="38">
        <f>IFERROR(__xludf.DUMMYFUNCTION("""COMPUTED_VALUE"""),0.0)</f>
        <v>0</v>
      </c>
      <c r="S6" s="37">
        <f>IFERROR(__xludf.DUMMYFUNCTION("""COMPUTED_VALUE"""),827.0)</f>
        <v>827</v>
      </c>
      <c r="T6" s="38">
        <f>IFERROR(__xludf.DUMMYFUNCTION("""COMPUTED_VALUE"""),2.0)</f>
        <v>2</v>
      </c>
      <c r="U6" s="37">
        <f>IFERROR(__xludf.DUMMYFUNCTION("""COMPUTED_VALUE"""),30.0)</f>
        <v>30</v>
      </c>
      <c r="V6" s="38">
        <f>IFERROR(__xludf.DUMMYFUNCTION("""COMPUTED_VALUE"""),0.0)</f>
        <v>0</v>
      </c>
    </row>
    <row r="7">
      <c r="A7" s="36">
        <f>IFERROR(__xludf.DUMMYFUNCTION("""COMPUTED_VALUE"""),45632.0)</f>
        <v>45632</v>
      </c>
      <c r="B7" s="37">
        <f>IFERROR(__xludf.DUMMYFUNCTION("""COMPUTED_VALUE"""),484.0)</f>
        <v>484</v>
      </c>
      <c r="C7" s="37">
        <f>IFERROR(__xludf.DUMMYFUNCTION("""COMPUTED_VALUE"""),430.0)</f>
        <v>430</v>
      </c>
      <c r="D7" s="37">
        <f>IFERROR(__xludf.DUMMYFUNCTION("""COMPUTED_VALUE"""),914.0)</f>
        <v>914</v>
      </c>
      <c r="E7" s="38">
        <f>IFERROR(__xludf.DUMMYFUNCTION("""COMPUTED_VALUE"""),9.0)</f>
        <v>9</v>
      </c>
      <c r="F7" s="37">
        <f>IFERROR(__xludf.DUMMYFUNCTION("""COMPUTED_VALUE"""),140.0)</f>
        <v>140</v>
      </c>
      <c r="G7" s="37">
        <f>IFERROR(__xludf.DUMMYFUNCTION("""COMPUTED_VALUE"""),0.0)</f>
        <v>0</v>
      </c>
      <c r="H7" s="37">
        <f>IFERROR(__xludf.DUMMYFUNCTION("""COMPUTED_VALUE"""),1054.0)</f>
        <v>1054</v>
      </c>
      <c r="I7" s="38">
        <f>IFERROR(__xludf.DUMMYFUNCTION("""COMPUTED_VALUE"""),9.0)</f>
        <v>9</v>
      </c>
      <c r="J7" s="37">
        <f>IFERROR(__xludf.DUMMYFUNCTION("""COMPUTED_VALUE"""),152.0)</f>
        <v>152</v>
      </c>
      <c r="K7" s="38">
        <f>IFERROR(__xludf.DUMMYFUNCTION("""COMPUTED_VALUE"""),0.0)</f>
        <v>0</v>
      </c>
      <c r="L7" s="37">
        <f>IFERROR(__xludf.DUMMYFUNCTION("""COMPUTED_VALUE"""),0.0)</f>
        <v>0</v>
      </c>
      <c r="M7" s="38">
        <f>IFERROR(__xludf.DUMMYFUNCTION("""COMPUTED_VALUE"""),0.0)</f>
        <v>0</v>
      </c>
      <c r="N7" s="38">
        <f>IFERROR(__xludf.DUMMYFUNCTION("""COMPUTED_VALUE"""),0.0)</f>
        <v>0</v>
      </c>
      <c r="O7" s="37">
        <f>IFERROR(__xludf.DUMMYFUNCTION("""COMPUTED_VALUE"""),0.0)</f>
        <v>0</v>
      </c>
      <c r="P7" s="38">
        <f>IFERROR(__xludf.DUMMYFUNCTION("""COMPUTED_VALUE"""),0.0)</f>
        <v>0</v>
      </c>
      <c r="Q7" s="37">
        <f>IFERROR(__xludf.DUMMYFUNCTION("""COMPUTED_VALUE"""),141.0)</f>
        <v>141</v>
      </c>
      <c r="R7" s="38">
        <f>IFERROR(__xludf.DUMMYFUNCTION("""COMPUTED_VALUE"""),0.0)</f>
        <v>0</v>
      </c>
      <c r="S7" s="37">
        <f>IFERROR(__xludf.DUMMYFUNCTION("""COMPUTED_VALUE"""),831.0)</f>
        <v>831</v>
      </c>
      <c r="T7" s="38">
        <f>IFERROR(__xludf.DUMMYFUNCTION("""COMPUTED_VALUE"""),4.0)</f>
        <v>4</v>
      </c>
      <c r="U7" s="37">
        <f>IFERROR(__xludf.DUMMYFUNCTION("""COMPUTED_VALUE"""),30.0)</f>
        <v>30</v>
      </c>
      <c r="V7" s="38">
        <f>IFERROR(__xludf.DUMMYFUNCTION("""COMPUTED_VALUE"""),0.0)</f>
        <v>0</v>
      </c>
    </row>
    <row r="8">
      <c r="A8" s="36">
        <f>IFERROR(__xludf.DUMMYFUNCTION("""COMPUTED_VALUE"""),45635.0)</f>
        <v>45635</v>
      </c>
      <c r="B8" s="37">
        <f>IFERROR(__xludf.DUMMYFUNCTION("""COMPUTED_VALUE"""),495.0)</f>
        <v>495</v>
      </c>
      <c r="C8" s="37">
        <f>IFERROR(__xludf.DUMMYFUNCTION("""COMPUTED_VALUE"""),430.0)</f>
        <v>430</v>
      </c>
      <c r="D8" s="37">
        <f>IFERROR(__xludf.DUMMYFUNCTION("""COMPUTED_VALUE"""),925.0)</f>
        <v>925</v>
      </c>
      <c r="E8" s="38">
        <f>IFERROR(__xludf.DUMMYFUNCTION("""COMPUTED_VALUE"""),11.0)</f>
        <v>11</v>
      </c>
      <c r="F8" s="37">
        <f>IFERROR(__xludf.DUMMYFUNCTION("""COMPUTED_VALUE"""),140.0)</f>
        <v>140</v>
      </c>
      <c r="G8" s="37">
        <f>IFERROR(__xludf.DUMMYFUNCTION("""COMPUTED_VALUE"""),0.0)</f>
        <v>0</v>
      </c>
      <c r="H8" s="37">
        <f>IFERROR(__xludf.DUMMYFUNCTION("""COMPUTED_VALUE"""),1065.0)</f>
        <v>1065</v>
      </c>
      <c r="I8" s="38">
        <f>IFERROR(__xludf.DUMMYFUNCTION("""COMPUTED_VALUE"""),11.0)</f>
        <v>11</v>
      </c>
      <c r="J8" s="37">
        <f>IFERROR(__xludf.DUMMYFUNCTION("""COMPUTED_VALUE"""),152.0)</f>
        <v>152</v>
      </c>
      <c r="K8" s="38">
        <f>IFERROR(__xludf.DUMMYFUNCTION("""COMPUTED_VALUE"""),0.0)</f>
        <v>0</v>
      </c>
      <c r="L8" s="37">
        <f>IFERROR(__xludf.DUMMYFUNCTION("""COMPUTED_VALUE"""),0.0)</f>
        <v>0</v>
      </c>
      <c r="M8" s="38">
        <f>IFERROR(__xludf.DUMMYFUNCTION("""COMPUTED_VALUE"""),0.0)</f>
        <v>0</v>
      </c>
      <c r="N8" s="38">
        <f>IFERROR(__xludf.DUMMYFUNCTION("""COMPUTED_VALUE"""),0.0)</f>
        <v>0</v>
      </c>
      <c r="O8" s="37">
        <f>IFERROR(__xludf.DUMMYFUNCTION("""COMPUTED_VALUE"""),0.0)</f>
        <v>0</v>
      </c>
      <c r="P8" s="38">
        <f>IFERROR(__xludf.DUMMYFUNCTION("""COMPUTED_VALUE"""),0.0)</f>
        <v>0</v>
      </c>
      <c r="Q8" s="37">
        <f>IFERROR(__xludf.DUMMYFUNCTION("""COMPUTED_VALUE"""),141.0)</f>
        <v>141</v>
      </c>
      <c r="R8" s="38">
        <f>IFERROR(__xludf.DUMMYFUNCTION("""COMPUTED_VALUE"""),0.0)</f>
        <v>0</v>
      </c>
      <c r="S8" s="37">
        <f>IFERROR(__xludf.DUMMYFUNCTION("""COMPUTED_VALUE"""),836.0)</f>
        <v>836</v>
      </c>
      <c r="T8" s="38">
        <f>IFERROR(__xludf.DUMMYFUNCTION("""COMPUTED_VALUE"""),5.0)</f>
        <v>5</v>
      </c>
      <c r="U8" s="37">
        <f>IFERROR(__xludf.DUMMYFUNCTION("""COMPUTED_VALUE"""),30.0)</f>
        <v>30</v>
      </c>
      <c r="V8" s="38">
        <f>IFERROR(__xludf.DUMMYFUNCTION("""COMPUTED_VALUE"""),0.0)</f>
        <v>0</v>
      </c>
    </row>
    <row r="9">
      <c r="A9" s="36">
        <f>IFERROR(__xludf.DUMMYFUNCTION("""COMPUTED_VALUE"""),45636.0)</f>
        <v>45636</v>
      </c>
      <c r="B9" s="37">
        <f>IFERROR(__xludf.DUMMYFUNCTION("""COMPUTED_VALUE"""),489.0)</f>
        <v>489</v>
      </c>
      <c r="C9" s="37">
        <f>IFERROR(__xludf.DUMMYFUNCTION("""COMPUTED_VALUE"""),430.0)</f>
        <v>430</v>
      </c>
      <c r="D9" s="37">
        <f>IFERROR(__xludf.DUMMYFUNCTION("""COMPUTED_VALUE"""),919.0)</f>
        <v>919</v>
      </c>
      <c r="E9" s="38">
        <f>IFERROR(__xludf.DUMMYFUNCTION("""COMPUTED_VALUE"""),-6.0)</f>
        <v>-6</v>
      </c>
      <c r="F9" s="37">
        <f>IFERROR(__xludf.DUMMYFUNCTION("""COMPUTED_VALUE"""),140.0)</f>
        <v>140</v>
      </c>
      <c r="G9" s="37">
        <f>IFERROR(__xludf.DUMMYFUNCTION("""COMPUTED_VALUE"""),0.0)</f>
        <v>0</v>
      </c>
      <c r="H9" s="37">
        <f>IFERROR(__xludf.DUMMYFUNCTION("""COMPUTED_VALUE"""),1059.0)</f>
        <v>1059</v>
      </c>
      <c r="I9" s="38">
        <f>IFERROR(__xludf.DUMMYFUNCTION("""COMPUTED_VALUE"""),-6.0)</f>
        <v>-6</v>
      </c>
      <c r="J9" s="37">
        <f>IFERROR(__xludf.DUMMYFUNCTION("""COMPUTED_VALUE"""),152.0)</f>
        <v>152</v>
      </c>
      <c r="K9" s="38">
        <f>IFERROR(__xludf.DUMMYFUNCTION("""COMPUTED_VALUE"""),0.0)</f>
        <v>0</v>
      </c>
      <c r="L9" s="37">
        <f>IFERROR(__xludf.DUMMYFUNCTION("""COMPUTED_VALUE"""),0.0)</f>
        <v>0</v>
      </c>
      <c r="M9" s="38">
        <f>IFERROR(__xludf.DUMMYFUNCTION("""COMPUTED_VALUE"""),0.0)</f>
        <v>0</v>
      </c>
      <c r="N9" s="38">
        <f>IFERROR(__xludf.DUMMYFUNCTION("""COMPUTED_VALUE"""),0.0)</f>
        <v>0</v>
      </c>
      <c r="O9" s="37">
        <f>IFERROR(__xludf.DUMMYFUNCTION("""COMPUTED_VALUE"""),0.0)</f>
        <v>0</v>
      </c>
      <c r="P9" s="38">
        <f>IFERROR(__xludf.DUMMYFUNCTION("""COMPUTED_VALUE"""),0.0)</f>
        <v>0</v>
      </c>
      <c r="Q9" s="37">
        <f>IFERROR(__xludf.DUMMYFUNCTION("""COMPUTED_VALUE"""),134.0)</f>
        <v>134</v>
      </c>
      <c r="R9" s="38">
        <f>IFERROR(__xludf.DUMMYFUNCTION("""COMPUTED_VALUE"""),-7.0)</f>
        <v>-7</v>
      </c>
      <c r="S9" s="37">
        <f>IFERROR(__xludf.DUMMYFUNCTION("""COMPUTED_VALUE"""),832.0)</f>
        <v>832</v>
      </c>
      <c r="T9" s="38">
        <f>IFERROR(__xludf.DUMMYFUNCTION("""COMPUTED_VALUE"""),-4.0)</f>
        <v>-4</v>
      </c>
      <c r="U9" s="37">
        <f>IFERROR(__xludf.DUMMYFUNCTION("""COMPUTED_VALUE"""),30.0)</f>
        <v>30</v>
      </c>
      <c r="V9" s="38">
        <f>IFERROR(__xludf.DUMMYFUNCTION("""COMPUTED_VALUE"""),0.0)</f>
        <v>0</v>
      </c>
    </row>
    <row r="10">
      <c r="A10" s="36">
        <f>IFERROR(__xludf.DUMMYFUNCTION("""COMPUTED_VALUE"""),45637.0)</f>
        <v>45637</v>
      </c>
      <c r="B10" s="37">
        <f>IFERROR(__xludf.DUMMYFUNCTION("""COMPUTED_VALUE"""),486.0)</f>
        <v>486</v>
      </c>
      <c r="C10" s="37">
        <f>IFERROR(__xludf.DUMMYFUNCTION("""COMPUTED_VALUE"""),430.0)</f>
        <v>430</v>
      </c>
      <c r="D10" s="37">
        <f>IFERROR(__xludf.DUMMYFUNCTION("""COMPUTED_VALUE"""),916.0)</f>
        <v>916</v>
      </c>
      <c r="E10" s="38">
        <f>IFERROR(__xludf.DUMMYFUNCTION("""COMPUTED_VALUE"""),-3.0)</f>
        <v>-3</v>
      </c>
      <c r="F10" s="37">
        <f>IFERROR(__xludf.DUMMYFUNCTION("""COMPUTED_VALUE"""),139.0)</f>
        <v>139</v>
      </c>
      <c r="G10" s="37">
        <f>IFERROR(__xludf.DUMMYFUNCTION("""COMPUTED_VALUE"""),0.0)</f>
        <v>0</v>
      </c>
      <c r="H10" s="37">
        <f>IFERROR(__xludf.DUMMYFUNCTION("""COMPUTED_VALUE"""),1055.0)</f>
        <v>1055</v>
      </c>
      <c r="I10" s="38">
        <f>IFERROR(__xludf.DUMMYFUNCTION("""COMPUTED_VALUE"""),-4.0)</f>
        <v>-4</v>
      </c>
      <c r="J10" s="37">
        <f>IFERROR(__xludf.DUMMYFUNCTION("""COMPUTED_VALUE"""),156.0)</f>
        <v>156</v>
      </c>
      <c r="K10" s="38">
        <f>IFERROR(__xludf.DUMMYFUNCTION("""COMPUTED_VALUE"""),4.0)</f>
        <v>4</v>
      </c>
      <c r="L10" s="37">
        <f>IFERROR(__xludf.DUMMYFUNCTION("""COMPUTED_VALUE"""),0.0)</f>
        <v>0</v>
      </c>
      <c r="M10" s="38">
        <f>IFERROR(__xludf.DUMMYFUNCTION("""COMPUTED_VALUE"""),0.0)</f>
        <v>0</v>
      </c>
      <c r="N10" s="38">
        <f>IFERROR(__xludf.DUMMYFUNCTION("""COMPUTED_VALUE"""),0.0)</f>
        <v>0</v>
      </c>
      <c r="O10" s="37">
        <f>IFERROR(__xludf.DUMMYFUNCTION("""COMPUTED_VALUE"""),0.0)</f>
        <v>0</v>
      </c>
      <c r="P10" s="38">
        <f>IFERROR(__xludf.DUMMYFUNCTION("""COMPUTED_VALUE"""),0.0)</f>
        <v>0</v>
      </c>
      <c r="Q10" s="37">
        <f>IFERROR(__xludf.DUMMYFUNCTION("""COMPUTED_VALUE"""),135.0)</f>
        <v>135</v>
      </c>
      <c r="R10" s="38">
        <f>IFERROR(__xludf.DUMMYFUNCTION("""COMPUTED_VALUE"""),1.0)</f>
        <v>1</v>
      </c>
      <c r="S10" s="37">
        <f>IFERROR(__xludf.DUMMYFUNCTION("""COMPUTED_VALUE"""),829.0)</f>
        <v>829</v>
      </c>
      <c r="T10" s="38">
        <f>IFERROR(__xludf.DUMMYFUNCTION("""COMPUTED_VALUE"""),-3.0)</f>
        <v>-3</v>
      </c>
      <c r="U10" s="37">
        <f>IFERROR(__xludf.DUMMYFUNCTION("""COMPUTED_VALUE"""),31.0)</f>
        <v>31</v>
      </c>
      <c r="V10" s="38">
        <f>IFERROR(__xludf.DUMMYFUNCTION("""COMPUTED_VALUE"""),1.0)</f>
        <v>1</v>
      </c>
    </row>
    <row r="11">
      <c r="A11" s="36">
        <f>IFERROR(__xludf.DUMMYFUNCTION("""COMPUTED_VALUE"""),45638.0)</f>
        <v>45638</v>
      </c>
      <c r="B11" s="37">
        <f>IFERROR(__xludf.DUMMYFUNCTION("""COMPUTED_VALUE"""),474.0)</f>
        <v>474</v>
      </c>
      <c r="C11" s="37">
        <f>IFERROR(__xludf.DUMMYFUNCTION("""COMPUTED_VALUE"""),430.0)</f>
        <v>430</v>
      </c>
      <c r="D11" s="37">
        <f>IFERROR(__xludf.DUMMYFUNCTION("""COMPUTED_VALUE"""),904.0)</f>
        <v>904</v>
      </c>
      <c r="E11" s="38">
        <f>IFERROR(__xludf.DUMMYFUNCTION("""COMPUTED_VALUE"""),-12.0)</f>
        <v>-12</v>
      </c>
      <c r="F11" s="37">
        <f>IFERROR(__xludf.DUMMYFUNCTION("""COMPUTED_VALUE"""),138.0)</f>
        <v>138</v>
      </c>
      <c r="G11" s="37">
        <f>IFERROR(__xludf.DUMMYFUNCTION("""COMPUTED_VALUE"""),0.0)</f>
        <v>0</v>
      </c>
      <c r="H11" s="37">
        <f>IFERROR(__xludf.DUMMYFUNCTION("""COMPUTED_VALUE"""),1042.0)</f>
        <v>1042</v>
      </c>
      <c r="I11" s="38">
        <f>IFERROR(__xludf.DUMMYFUNCTION("""COMPUTED_VALUE"""),-13.0)</f>
        <v>-13</v>
      </c>
      <c r="J11" s="37">
        <f>IFERROR(__xludf.DUMMYFUNCTION("""COMPUTED_VALUE"""),156.0)</f>
        <v>156</v>
      </c>
      <c r="K11" s="38">
        <f>IFERROR(__xludf.DUMMYFUNCTION("""COMPUTED_VALUE"""),0.0)</f>
        <v>0</v>
      </c>
      <c r="L11" s="37">
        <f>IFERROR(__xludf.DUMMYFUNCTION("""COMPUTED_VALUE"""),0.0)</f>
        <v>0</v>
      </c>
      <c r="M11" s="38">
        <f>IFERROR(__xludf.DUMMYFUNCTION("""COMPUTED_VALUE"""),0.0)</f>
        <v>0</v>
      </c>
      <c r="N11" s="38">
        <f>IFERROR(__xludf.DUMMYFUNCTION("""COMPUTED_VALUE"""),0.0)</f>
        <v>0</v>
      </c>
      <c r="O11" s="37">
        <f>IFERROR(__xludf.DUMMYFUNCTION("""COMPUTED_VALUE"""),0.0)</f>
        <v>0</v>
      </c>
      <c r="P11" s="38">
        <f>IFERROR(__xludf.DUMMYFUNCTION("""COMPUTED_VALUE"""),0.0)</f>
        <v>0</v>
      </c>
      <c r="Q11" s="37">
        <f>IFERROR(__xludf.DUMMYFUNCTION("""COMPUTED_VALUE"""),135.0)</f>
        <v>135</v>
      </c>
      <c r="R11" s="38">
        <f>IFERROR(__xludf.DUMMYFUNCTION("""COMPUTED_VALUE"""),0.0)</f>
        <v>0</v>
      </c>
      <c r="S11" s="37">
        <f>IFERROR(__xludf.DUMMYFUNCTION("""COMPUTED_VALUE"""),829.0)</f>
        <v>829</v>
      </c>
      <c r="T11" s="38">
        <f>IFERROR(__xludf.DUMMYFUNCTION("""COMPUTED_VALUE"""),0.0)</f>
        <v>0</v>
      </c>
      <c r="U11" s="37">
        <f>IFERROR(__xludf.DUMMYFUNCTION("""COMPUTED_VALUE"""),32.0)</f>
        <v>32</v>
      </c>
      <c r="V11" s="38">
        <f>IFERROR(__xludf.DUMMYFUNCTION("""COMPUTED_VALUE"""),1.0)</f>
        <v>1</v>
      </c>
    </row>
    <row r="12">
      <c r="A12" s="36">
        <f>IFERROR(__xludf.DUMMYFUNCTION("""COMPUTED_VALUE"""),45639.0)</f>
        <v>45639</v>
      </c>
      <c r="B12" s="37">
        <f>IFERROR(__xludf.DUMMYFUNCTION("""COMPUTED_VALUE"""),489.0)</f>
        <v>489</v>
      </c>
      <c r="C12" s="37">
        <f>IFERROR(__xludf.DUMMYFUNCTION("""COMPUTED_VALUE"""),429.0)</f>
        <v>429</v>
      </c>
      <c r="D12" s="37">
        <f>IFERROR(__xludf.DUMMYFUNCTION("""COMPUTED_VALUE"""),918.0)</f>
        <v>918</v>
      </c>
      <c r="E12" s="38">
        <f>IFERROR(__xludf.DUMMYFUNCTION("""COMPUTED_VALUE"""),14.0)</f>
        <v>14</v>
      </c>
      <c r="F12" s="37">
        <f>IFERROR(__xludf.DUMMYFUNCTION("""COMPUTED_VALUE"""),138.0)</f>
        <v>138</v>
      </c>
      <c r="G12" s="37">
        <f>IFERROR(__xludf.DUMMYFUNCTION("""COMPUTED_VALUE"""),0.0)</f>
        <v>0</v>
      </c>
      <c r="H12" s="37">
        <f>IFERROR(__xludf.DUMMYFUNCTION("""COMPUTED_VALUE"""),1056.0)</f>
        <v>1056</v>
      </c>
      <c r="I12" s="38">
        <f>IFERROR(__xludf.DUMMYFUNCTION("""COMPUTED_VALUE"""),14.0)</f>
        <v>14</v>
      </c>
      <c r="J12" s="37">
        <f>IFERROR(__xludf.DUMMYFUNCTION("""COMPUTED_VALUE"""),156.0)</f>
        <v>156</v>
      </c>
      <c r="K12" s="38">
        <f>IFERROR(__xludf.DUMMYFUNCTION("""COMPUTED_VALUE"""),0.0)</f>
        <v>0</v>
      </c>
      <c r="L12" s="37">
        <f>IFERROR(__xludf.DUMMYFUNCTION("""COMPUTED_VALUE"""),0.0)</f>
        <v>0</v>
      </c>
      <c r="M12" s="38">
        <f>IFERROR(__xludf.DUMMYFUNCTION("""COMPUTED_VALUE"""),0.0)</f>
        <v>0</v>
      </c>
      <c r="N12" s="38">
        <f>IFERROR(__xludf.DUMMYFUNCTION("""COMPUTED_VALUE"""),0.0)</f>
        <v>0</v>
      </c>
      <c r="O12" s="37">
        <f>IFERROR(__xludf.DUMMYFUNCTION("""COMPUTED_VALUE"""),0.0)</f>
        <v>0</v>
      </c>
      <c r="P12" s="38">
        <f>IFERROR(__xludf.DUMMYFUNCTION("""COMPUTED_VALUE"""),0.0)</f>
        <v>0</v>
      </c>
      <c r="Q12" s="37">
        <f>IFERROR(__xludf.DUMMYFUNCTION("""COMPUTED_VALUE"""),135.0)</f>
        <v>135</v>
      </c>
      <c r="R12" s="38">
        <f>IFERROR(__xludf.DUMMYFUNCTION("""COMPUTED_VALUE"""),0.0)</f>
        <v>0</v>
      </c>
      <c r="S12" s="37">
        <f>IFERROR(__xludf.DUMMYFUNCTION("""COMPUTED_VALUE"""),867.0)</f>
        <v>867</v>
      </c>
      <c r="T12" s="38">
        <f>IFERROR(__xludf.DUMMYFUNCTION("""COMPUTED_VALUE"""),38.0)</f>
        <v>38</v>
      </c>
      <c r="U12" s="37">
        <f>IFERROR(__xludf.DUMMYFUNCTION("""COMPUTED_VALUE"""),32.0)</f>
        <v>32</v>
      </c>
      <c r="V12" s="38">
        <f>IFERROR(__xludf.DUMMYFUNCTION("""COMPUTED_VALUE"""),0.0)</f>
        <v>0</v>
      </c>
    </row>
    <row r="13">
      <c r="A13" s="36">
        <f>IFERROR(__xludf.DUMMYFUNCTION("""COMPUTED_VALUE"""),45642.0)</f>
        <v>45642</v>
      </c>
      <c r="B13" s="37">
        <f>IFERROR(__xludf.DUMMYFUNCTION("""COMPUTED_VALUE"""),485.0)</f>
        <v>485</v>
      </c>
      <c r="C13" s="37">
        <f>IFERROR(__xludf.DUMMYFUNCTION("""COMPUTED_VALUE"""),427.0)</f>
        <v>427</v>
      </c>
      <c r="D13" s="37">
        <f>IFERROR(__xludf.DUMMYFUNCTION("""COMPUTED_VALUE"""),912.0)</f>
        <v>912</v>
      </c>
      <c r="E13" s="38">
        <f>IFERROR(__xludf.DUMMYFUNCTION("""COMPUTED_VALUE"""),-6.0)</f>
        <v>-6</v>
      </c>
      <c r="F13" s="37">
        <f>IFERROR(__xludf.DUMMYFUNCTION("""COMPUTED_VALUE"""),138.0)</f>
        <v>138</v>
      </c>
      <c r="G13" s="37">
        <f>IFERROR(__xludf.DUMMYFUNCTION("""COMPUTED_VALUE"""),0.0)</f>
        <v>0</v>
      </c>
      <c r="H13" s="37">
        <f>IFERROR(__xludf.DUMMYFUNCTION("""COMPUTED_VALUE"""),1050.0)</f>
        <v>1050</v>
      </c>
      <c r="I13" s="38">
        <f>IFERROR(__xludf.DUMMYFUNCTION("""COMPUTED_VALUE"""),-6.0)</f>
        <v>-6</v>
      </c>
      <c r="J13" s="37">
        <f>IFERROR(__xludf.DUMMYFUNCTION("""COMPUTED_VALUE"""),156.0)</f>
        <v>156</v>
      </c>
      <c r="K13" s="38">
        <f>IFERROR(__xludf.DUMMYFUNCTION("""COMPUTED_VALUE"""),0.0)</f>
        <v>0</v>
      </c>
      <c r="L13" s="37">
        <f>IFERROR(__xludf.DUMMYFUNCTION("""COMPUTED_VALUE"""),0.0)</f>
        <v>0</v>
      </c>
      <c r="M13" s="38">
        <f>IFERROR(__xludf.DUMMYFUNCTION("""COMPUTED_VALUE"""),0.0)</f>
        <v>0</v>
      </c>
      <c r="N13" s="38">
        <f>IFERROR(__xludf.DUMMYFUNCTION("""COMPUTED_VALUE"""),0.0)</f>
        <v>0</v>
      </c>
      <c r="O13" s="37">
        <f>IFERROR(__xludf.DUMMYFUNCTION("""COMPUTED_VALUE"""),0.0)</f>
        <v>0</v>
      </c>
      <c r="P13" s="38">
        <f>IFERROR(__xludf.DUMMYFUNCTION("""COMPUTED_VALUE"""),0.0)</f>
        <v>0</v>
      </c>
      <c r="Q13" s="37">
        <f>IFERROR(__xludf.DUMMYFUNCTION("""COMPUTED_VALUE"""),133.0)</f>
        <v>133</v>
      </c>
      <c r="R13" s="38">
        <f>IFERROR(__xludf.DUMMYFUNCTION("""COMPUTED_VALUE"""),-2.0)</f>
        <v>-2</v>
      </c>
      <c r="S13" s="37">
        <f>IFERROR(__xludf.DUMMYFUNCTION("""COMPUTED_VALUE"""),863.0)</f>
        <v>863</v>
      </c>
      <c r="T13" s="38">
        <f>IFERROR(__xludf.DUMMYFUNCTION("""COMPUTED_VALUE"""),-4.0)</f>
        <v>-4</v>
      </c>
      <c r="U13" s="37">
        <f>IFERROR(__xludf.DUMMYFUNCTION("""COMPUTED_VALUE"""),32.0)</f>
        <v>32</v>
      </c>
      <c r="V13" s="38">
        <f>IFERROR(__xludf.DUMMYFUNCTION("""COMPUTED_VALUE"""),0.0)</f>
        <v>0</v>
      </c>
    </row>
    <row r="14">
      <c r="A14" s="36">
        <f>IFERROR(__xludf.DUMMYFUNCTION("""COMPUTED_VALUE"""),45643.0)</f>
        <v>45643</v>
      </c>
      <c r="B14" s="37">
        <f>IFERROR(__xludf.DUMMYFUNCTION("""COMPUTED_VALUE"""),480.0)</f>
        <v>480</v>
      </c>
      <c r="C14" s="37">
        <f>IFERROR(__xludf.DUMMYFUNCTION("""COMPUTED_VALUE"""),426.0)</f>
        <v>426</v>
      </c>
      <c r="D14" s="37">
        <f>IFERROR(__xludf.DUMMYFUNCTION("""COMPUTED_VALUE"""),906.0)</f>
        <v>906</v>
      </c>
      <c r="E14" s="38">
        <f>IFERROR(__xludf.DUMMYFUNCTION("""COMPUTED_VALUE"""),-6.0)</f>
        <v>-6</v>
      </c>
      <c r="F14" s="37">
        <f>IFERROR(__xludf.DUMMYFUNCTION("""COMPUTED_VALUE"""),138.0)</f>
        <v>138</v>
      </c>
      <c r="G14" s="37">
        <f>IFERROR(__xludf.DUMMYFUNCTION("""COMPUTED_VALUE"""),0.0)</f>
        <v>0</v>
      </c>
      <c r="H14" s="37">
        <f>IFERROR(__xludf.DUMMYFUNCTION("""COMPUTED_VALUE"""),1044.0)</f>
        <v>1044</v>
      </c>
      <c r="I14" s="38">
        <f>IFERROR(__xludf.DUMMYFUNCTION("""COMPUTED_VALUE"""),-6.0)</f>
        <v>-6</v>
      </c>
      <c r="J14" s="37">
        <f>IFERROR(__xludf.DUMMYFUNCTION("""COMPUTED_VALUE"""),156.0)</f>
        <v>156</v>
      </c>
      <c r="K14" s="38">
        <f>IFERROR(__xludf.DUMMYFUNCTION("""COMPUTED_VALUE"""),0.0)</f>
        <v>0</v>
      </c>
      <c r="L14" s="37">
        <f>IFERROR(__xludf.DUMMYFUNCTION("""COMPUTED_VALUE"""),0.0)</f>
        <v>0</v>
      </c>
      <c r="M14" s="38">
        <f>IFERROR(__xludf.DUMMYFUNCTION("""COMPUTED_VALUE"""),0.0)</f>
        <v>0</v>
      </c>
      <c r="N14" s="38">
        <f>IFERROR(__xludf.DUMMYFUNCTION("""COMPUTED_VALUE"""),0.0)</f>
        <v>0</v>
      </c>
      <c r="O14" s="37">
        <f>IFERROR(__xludf.DUMMYFUNCTION("""COMPUTED_VALUE"""),0.0)</f>
        <v>0</v>
      </c>
      <c r="P14" s="38">
        <f>IFERROR(__xludf.DUMMYFUNCTION("""COMPUTED_VALUE"""),0.0)</f>
        <v>0</v>
      </c>
      <c r="Q14" s="37">
        <f>IFERROR(__xludf.DUMMYFUNCTION("""COMPUTED_VALUE"""),132.0)</f>
        <v>132</v>
      </c>
      <c r="R14" s="38">
        <f>IFERROR(__xludf.DUMMYFUNCTION("""COMPUTED_VALUE"""),-1.0)</f>
        <v>-1</v>
      </c>
      <c r="S14" s="37">
        <f>IFERROR(__xludf.DUMMYFUNCTION("""COMPUTED_VALUE"""),858.0)</f>
        <v>858</v>
      </c>
      <c r="T14" s="38">
        <f>IFERROR(__xludf.DUMMYFUNCTION("""COMPUTED_VALUE"""),-5.0)</f>
        <v>-5</v>
      </c>
      <c r="U14" s="37">
        <f>IFERROR(__xludf.DUMMYFUNCTION("""COMPUTED_VALUE"""),32.0)</f>
        <v>32</v>
      </c>
      <c r="V14" s="38">
        <f>IFERROR(__xludf.DUMMYFUNCTION("""COMPUTED_VALUE"""),0.0)</f>
        <v>0</v>
      </c>
    </row>
    <row r="15">
      <c r="A15" s="36">
        <f>IFERROR(__xludf.DUMMYFUNCTION("""COMPUTED_VALUE"""),45644.0)</f>
        <v>45644</v>
      </c>
      <c r="B15" s="37">
        <f>IFERROR(__xludf.DUMMYFUNCTION("""COMPUTED_VALUE"""),485.0)</f>
        <v>485</v>
      </c>
      <c r="C15" s="37">
        <f>IFERROR(__xludf.DUMMYFUNCTION("""COMPUTED_VALUE"""),429.0)</f>
        <v>429</v>
      </c>
      <c r="D15" s="37">
        <f>IFERROR(__xludf.DUMMYFUNCTION("""COMPUTED_VALUE"""),914.0)</f>
        <v>914</v>
      </c>
      <c r="E15" s="38">
        <f>IFERROR(__xludf.DUMMYFUNCTION("""COMPUTED_VALUE"""),8.0)</f>
        <v>8</v>
      </c>
      <c r="F15" s="37">
        <f>IFERROR(__xludf.DUMMYFUNCTION("""COMPUTED_VALUE"""),138.0)</f>
        <v>138</v>
      </c>
      <c r="G15" s="37">
        <f>IFERROR(__xludf.DUMMYFUNCTION("""COMPUTED_VALUE"""),0.0)</f>
        <v>0</v>
      </c>
      <c r="H15" s="37">
        <f>IFERROR(__xludf.DUMMYFUNCTION("""COMPUTED_VALUE"""),1052.0)</f>
        <v>1052</v>
      </c>
      <c r="I15" s="38">
        <f>IFERROR(__xludf.DUMMYFUNCTION("""COMPUTED_VALUE"""),8.0)</f>
        <v>8</v>
      </c>
      <c r="J15" s="37">
        <f>IFERROR(__xludf.DUMMYFUNCTION("""COMPUTED_VALUE"""),156.0)</f>
        <v>156</v>
      </c>
      <c r="K15" s="38">
        <f>IFERROR(__xludf.DUMMYFUNCTION("""COMPUTED_VALUE"""),0.0)</f>
        <v>0</v>
      </c>
      <c r="L15" s="37">
        <f>IFERROR(__xludf.DUMMYFUNCTION("""COMPUTED_VALUE"""),0.0)</f>
        <v>0</v>
      </c>
      <c r="M15" s="38">
        <f>IFERROR(__xludf.DUMMYFUNCTION("""COMPUTED_VALUE"""),0.0)</f>
        <v>0</v>
      </c>
      <c r="N15" s="38">
        <f>IFERROR(__xludf.DUMMYFUNCTION("""COMPUTED_VALUE"""),0.0)</f>
        <v>0</v>
      </c>
      <c r="O15" s="37">
        <f>IFERROR(__xludf.DUMMYFUNCTION("""COMPUTED_VALUE"""),0.0)</f>
        <v>0</v>
      </c>
      <c r="P15" s="38">
        <f>IFERROR(__xludf.DUMMYFUNCTION("""COMPUTED_VALUE"""),0.0)</f>
        <v>0</v>
      </c>
      <c r="Q15" s="37">
        <f>IFERROR(__xludf.DUMMYFUNCTION("""COMPUTED_VALUE"""),130.0)</f>
        <v>130</v>
      </c>
      <c r="R15" s="38">
        <f>IFERROR(__xludf.DUMMYFUNCTION("""COMPUTED_VALUE"""),-2.0)</f>
        <v>-2</v>
      </c>
      <c r="S15" s="37">
        <f>IFERROR(__xludf.DUMMYFUNCTION("""COMPUTED_VALUE"""),869.0)</f>
        <v>869</v>
      </c>
      <c r="T15" s="38">
        <f>IFERROR(__xludf.DUMMYFUNCTION("""COMPUTED_VALUE"""),11.0)</f>
        <v>11</v>
      </c>
      <c r="U15" s="37">
        <f>IFERROR(__xludf.DUMMYFUNCTION("""COMPUTED_VALUE"""),32.0)</f>
        <v>32</v>
      </c>
      <c r="V15" s="38">
        <f>IFERROR(__xludf.DUMMYFUNCTION("""COMPUTED_VALUE"""),0.0)</f>
        <v>0</v>
      </c>
    </row>
    <row r="16">
      <c r="A16" s="36">
        <f>IFERROR(__xludf.DUMMYFUNCTION("""COMPUTED_VALUE"""),45645.0)</f>
        <v>45645</v>
      </c>
      <c r="B16" s="37">
        <f>IFERROR(__xludf.DUMMYFUNCTION("""COMPUTED_VALUE"""),486.0)</f>
        <v>486</v>
      </c>
      <c r="C16" s="37">
        <f>IFERROR(__xludf.DUMMYFUNCTION("""COMPUTED_VALUE"""),429.0)</f>
        <v>429</v>
      </c>
      <c r="D16" s="37">
        <f>IFERROR(__xludf.DUMMYFUNCTION("""COMPUTED_VALUE"""),915.0)</f>
        <v>915</v>
      </c>
      <c r="E16" s="38">
        <f>IFERROR(__xludf.DUMMYFUNCTION("""COMPUTED_VALUE"""),1.0)</f>
        <v>1</v>
      </c>
      <c r="F16" s="37">
        <f>IFERROR(__xludf.DUMMYFUNCTION("""COMPUTED_VALUE"""),138.0)</f>
        <v>138</v>
      </c>
      <c r="G16" s="37">
        <f>IFERROR(__xludf.DUMMYFUNCTION("""COMPUTED_VALUE"""),0.0)</f>
        <v>0</v>
      </c>
      <c r="H16" s="37">
        <f>IFERROR(__xludf.DUMMYFUNCTION("""COMPUTED_VALUE"""),1053.0)</f>
        <v>1053</v>
      </c>
      <c r="I16" s="38">
        <f>IFERROR(__xludf.DUMMYFUNCTION("""COMPUTED_VALUE"""),1.0)</f>
        <v>1</v>
      </c>
      <c r="J16" s="37">
        <f>IFERROR(__xludf.DUMMYFUNCTION("""COMPUTED_VALUE"""),156.0)</f>
        <v>156</v>
      </c>
      <c r="K16" s="38">
        <f>IFERROR(__xludf.DUMMYFUNCTION("""COMPUTED_VALUE"""),0.0)</f>
        <v>0</v>
      </c>
      <c r="L16" s="37">
        <f>IFERROR(__xludf.DUMMYFUNCTION("""COMPUTED_VALUE"""),0.0)</f>
        <v>0</v>
      </c>
      <c r="M16" s="38">
        <f>IFERROR(__xludf.DUMMYFUNCTION("""COMPUTED_VALUE"""),0.0)</f>
        <v>0</v>
      </c>
      <c r="N16" s="38">
        <f>IFERROR(__xludf.DUMMYFUNCTION("""COMPUTED_VALUE"""),0.0)</f>
        <v>0</v>
      </c>
      <c r="O16" s="37">
        <f>IFERROR(__xludf.DUMMYFUNCTION("""COMPUTED_VALUE"""),0.0)</f>
        <v>0</v>
      </c>
      <c r="P16" s="38">
        <f>IFERROR(__xludf.DUMMYFUNCTION("""COMPUTED_VALUE"""),0.0)</f>
        <v>0</v>
      </c>
      <c r="Q16" s="37">
        <f>IFERROR(__xludf.DUMMYFUNCTION("""COMPUTED_VALUE"""),131.0)</f>
        <v>131</v>
      </c>
      <c r="R16" s="38">
        <f>IFERROR(__xludf.DUMMYFUNCTION("""COMPUTED_VALUE"""),1.0)</f>
        <v>1</v>
      </c>
      <c r="S16" s="37">
        <f>IFERROR(__xludf.DUMMYFUNCTION("""COMPUTED_VALUE"""),870.0)</f>
        <v>870</v>
      </c>
      <c r="T16" s="38">
        <f>IFERROR(__xludf.DUMMYFUNCTION("""COMPUTED_VALUE"""),1.0)</f>
        <v>1</v>
      </c>
      <c r="U16" s="37">
        <f>IFERROR(__xludf.DUMMYFUNCTION("""COMPUTED_VALUE"""),32.0)</f>
        <v>32</v>
      </c>
      <c r="V16" s="38">
        <f>IFERROR(__xludf.DUMMYFUNCTION("""COMPUTED_VALUE"""),0.0)</f>
        <v>0</v>
      </c>
    </row>
    <row r="17">
      <c r="A17" s="36">
        <f>IFERROR(__xludf.DUMMYFUNCTION("""COMPUTED_VALUE"""),45646.0)</f>
        <v>45646</v>
      </c>
      <c r="B17" s="37">
        <f>IFERROR(__xludf.DUMMYFUNCTION("""COMPUTED_VALUE"""),480.0)</f>
        <v>480</v>
      </c>
      <c r="C17" s="37">
        <f>IFERROR(__xludf.DUMMYFUNCTION("""COMPUTED_VALUE"""),429.0)</f>
        <v>429</v>
      </c>
      <c r="D17" s="37">
        <f>IFERROR(__xludf.DUMMYFUNCTION("""COMPUTED_VALUE"""),909.0)</f>
        <v>909</v>
      </c>
      <c r="E17" s="38">
        <f>IFERROR(__xludf.DUMMYFUNCTION("""COMPUTED_VALUE"""),-6.0)</f>
        <v>-6</v>
      </c>
      <c r="F17" s="37">
        <f>IFERROR(__xludf.DUMMYFUNCTION("""COMPUTED_VALUE"""),138.0)</f>
        <v>138</v>
      </c>
      <c r="G17" s="37">
        <f>IFERROR(__xludf.DUMMYFUNCTION("""COMPUTED_VALUE"""),0.0)</f>
        <v>0</v>
      </c>
      <c r="H17" s="37">
        <f>IFERROR(__xludf.DUMMYFUNCTION("""COMPUTED_VALUE"""),1047.0)</f>
        <v>1047</v>
      </c>
      <c r="I17" s="38">
        <f>IFERROR(__xludf.DUMMYFUNCTION("""COMPUTED_VALUE"""),-6.0)</f>
        <v>-6</v>
      </c>
      <c r="J17" s="37">
        <f>IFERROR(__xludf.DUMMYFUNCTION("""COMPUTED_VALUE"""),156.0)</f>
        <v>156</v>
      </c>
      <c r="K17" s="38">
        <f>IFERROR(__xludf.DUMMYFUNCTION("""COMPUTED_VALUE"""),0.0)</f>
        <v>0</v>
      </c>
      <c r="L17" s="37">
        <f>IFERROR(__xludf.DUMMYFUNCTION("""COMPUTED_VALUE"""),0.0)</f>
        <v>0</v>
      </c>
      <c r="M17" s="38">
        <f>IFERROR(__xludf.DUMMYFUNCTION("""COMPUTED_VALUE"""),0.0)</f>
        <v>0</v>
      </c>
      <c r="N17" s="38">
        <f>IFERROR(__xludf.DUMMYFUNCTION("""COMPUTED_VALUE"""),0.0)</f>
        <v>0</v>
      </c>
      <c r="O17" s="37">
        <f>IFERROR(__xludf.DUMMYFUNCTION("""COMPUTED_VALUE"""),0.0)</f>
        <v>0</v>
      </c>
      <c r="P17" s="38">
        <f>IFERROR(__xludf.DUMMYFUNCTION("""COMPUTED_VALUE"""),0.0)</f>
        <v>0</v>
      </c>
      <c r="Q17" s="37">
        <f>IFERROR(__xludf.DUMMYFUNCTION("""COMPUTED_VALUE"""),130.0)</f>
        <v>130</v>
      </c>
      <c r="R17" s="38">
        <f>IFERROR(__xludf.DUMMYFUNCTION("""COMPUTED_VALUE"""),-1.0)</f>
        <v>-1</v>
      </c>
      <c r="S17" s="37">
        <f>IFERROR(__xludf.DUMMYFUNCTION("""COMPUTED_VALUE"""),860.0)</f>
        <v>860</v>
      </c>
      <c r="T17" s="38">
        <f>IFERROR(__xludf.DUMMYFUNCTION("""COMPUTED_VALUE"""),-10.0)</f>
        <v>-10</v>
      </c>
      <c r="U17" s="37">
        <f>IFERROR(__xludf.DUMMYFUNCTION("""COMPUTED_VALUE"""),32.0)</f>
        <v>32</v>
      </c>
      <c r="V17" s="38">
        <f>IFERROR(__xludf.DUMMYFUNCTION("""COMPUTED_VALUE"""),0.0)</f>
        <v>0</v>
      </c>
    </row>
    <row r="18">
      <c r="A18" s="36">
        <f>IFERROR(__xludf.DUMMYFUNCTION("""COMPUTED_VALUE"""),45649.0)</f>
        <v>45649</v>
      </c>
      <c r="B18" s="37">
        <f>IFERROR(__xludf.DUMMYFUNCTION("""COMPUTED_VALUE"""),482.0)</f>
        <v>482</v>
      </c>
      <c r="C18" s="37">
        <f>IFERROR(__xludf.DUMMYFUNCTION("""COMPUTED_VALUE"""),430.0)</f>
        <v>430</v>
      </c>
      <c r="D18" s="37">
        <f>IFERROR(__xludf.DUMMYFUNCTION("""COMPUTED_VALUE"""),912.0)</f>
        <v>912</v>
      </c>
      <c r="E18" s="38">
        <f>IFERROR(__xludf.DUMMYFUNCTION("""COMPUTED_VALUE"""),3.0)</f>
        <v>3</v>
      </c>
      <c r="F18" s="37">
        <f>IFERROR(__xludf.DUMMYFUNCTION("""COMPUTED_VALUE"""),137.0)</f>
        <v>137</v>
      </c>
      <c r="G18" s="37">
        <f>IFERROR(__xludf.DUMMYFUNCTION("""COMPUTED_VALUE"""),0.0)</f>
        <v>0</v>
      </c>
      <c r="H18" s="37">
        <f>IFERROR(__xludf.DUMMYFUNCTION("""COMPUTED_VALUE"""),1049.0)</f>
        <v>1049</v>
      </c>
      <c r="I18" s="38">
        <f>IFERROR(__xludf.DUMMYFUNCTION("""COMPUTED_VALUE"""),2.0)</f>
        <v>2</v>
      </c>
      <c r="J18" s="37">
        <f>IFERROR(__xludf.DUMMYFUNCTION("""COMPUTED_VALUE"""),156.0)</f>
        <v>156</v>
      </c>
      <c r="K18" s="38">
        <f>IFERROR(__xludf.DUMMYFUNCTION("""COMPUTED_VALUE"""),0.0)</f>
        <v>0</v>
      </c>
      <c r="L18" s="37">
        <f>IFERROR(__xludf.DUMMYFUNCTION("""COMPUTED_VALUE"""),0.0)</f>
        <v>0</v>
      </c>
      <c r="M18" s="38">
        <f>IFERROR(__xludf.DUMMYFUNCTION("""COMPUTED_VALUE"""),0.0)</f>
        <v>0</v>
      </c>
      <c r="N18" s="38">
        <f>IFERROR(__xludf.DUMMYFUNCTION("""COMPUTED_VALUE"""),0.0)</f>
        <v>0</v>
      </c>
      <c r="O18" s="37">
        <f>IFERROR(__xludf.DUMMYFUNCTION("""COMPUTED_VALUE"""),0.0)</f>
        <v>0</v>
      </c>
      <c r="P18" s="38">
        <f>IFERROR(__xludf.DUMMYFUNCTION("""COMPUTED_VALUE"""),0.0)</f>
        <v>0</v>
      </c>
      <c r="Q18" s="37">
        <f>IFERROR(__xludf.DUMMYFUNCTION("""COMPUTED_VALUE"""),131.0)</f>
        <v>131</v>
      </c>
      <c r="R18" s="38">
        <f>IFERROR(__xludf.DUMMYFUNCTION("""COMPUTED_VALUE"""),1.0)</f>
        <v>1</v>
      </c>
      <c r="S18" s="37">
        <f>IFERROR(__xludf.DUMMYFUNCTION("""COMPUTED_VALUE"""),522.0)</f>
        <v>522</v>
      </c>
      <c r="T18" s="38">
        <f>IFERROR(__xludf.DUMMYFUNCTION("""COMPUTED_VALUE"""),-338.0)</f>
        <v>-338</v>
      </c>
      <c r="U18" s="37">
        <f>IFERROR(__xludf.DUMMYFUNCTION("""COMPUTED_VALUE"""),31.0)</f>
        <v>31</v>
      </c>
      <c r="V18" s="38">
        <f>IFERROR(__xludf.DUMMYFUNCTION("""COMPUTED_VALUE"""),-1.0)</f>
        <v>-1</v>
      </c>
    </row>
    <row r="19">
      <c r="A19" s="36">
        <f>IFERROR(__xludf.DUMMYFUNCTION("""COMPUTED_VALUE"""),45650.0)</f>
        <v>45650</v>
      </c>
      <c r="B19" s="37">
        <f>IFERROR(__xludf.DUMMYFUNCTION("""COMPUTED_VALUE"""),483.0)</f>
        <v>483</v>
      </c>
      <c r="C19" s="37">
        <f>IFERROR(__xludf.DUMMYFUNCTION("""COMPUTED_VALUE"""),430.0)</f>
        <v>430</v>
      </c>
      <c r="D19" s="37">
        <f>IFERROR(__xludf.DUMMYFUNCTION("""COMPUTED_VALUE"""),913.0)</f>
        <v>913</v>
      </c>
      <c r="E19" s="38">
        <f>IFERROR(__xludf.DUMMYFUNCTION("""COMPUTED_VALUE"""),1.0)</f>
        <v>1</v>
      </c>
      <c r="F19" s="37">
        <f>IFERROR(__xludf.DUMMYFUNCTION("""COMPUTED_VALUE"""),137.0)</f>
        <v>137</v>
      </c>
      <c r="G19" s="37">
        <f>IFERROR(__xludf.DUMMYFUNCTION("""COMPUTED_VALUE"""),0.0)</f>
        <v>0</v>
      </c>
      <c r="H19" s="37">
        <f>IFERROR(__xludf.DUMMYFUNCTION("""COMPUTED_VALUE"""),1050.0)</f>
        <v>1050</v>
      </c>
      <c r="I19" s="38">
        <f>IFERROR(__xludf.DUMMYFUNCTION("""COMPUTED_VALUE"""),1.0)</f>
        <v>1</v>
      </c>
      <c r="J19" s="37">
        <f>IFERROR(__xludf.DUMMYFUNCTION("""COMPUTED_VALUE"""),156.0)</f>
        <v>156</v>
      </c>
      <c r="K19" s="38">
        <f>IFERROR(__xludf.DUMMYFUNCTION("""COMPUTED_VALUE"""),0.0)</f>
        <v>0</v>
      </c>
      <c r="L19" s="37">
        <f>IFERROR(__xludf.DUMMYFUNCTION("""COMPUTED_VALUE"""),0.0)</f>
        <v>0</v>
      </c>
      <c r="M19" s="38">
        <f>IFERROR(__xludf.DUMMYFUNCTION("""COMPUTED_VALUE"""),0.0)</f>
        <v>0</v>
      </c>
      <c r="N19" s="38">
        <f>IFERROR(__xludf.DUMMYFUNCTION("""COMPUTED_VALUE"""),0.0)</f>
        <v>0</v>
      </c>
      <c r="O19" s="37">
        <f>IFERROR(__xludf.DUMMYFUNCTION("""COMPUTED_VALUE"""),0.0)</f>
        <v>0</v>
      </c>
      <c r="P19" s="38">
        <f>IFERROR(__xludf.DUMMYFUNCTION("""COMPUTED_VALUE"""),0.0)</f>
        <v>0</v>
      </c>
      <c r="Q19" s="37">
        <f>IFERROR(__xludf.DUMMYFUNCTION("""COMPUTED_VALUE"""),131.0)</f>
        <v>131</v>
      </c>
      <c r="R19" s="38">
        <f>IFERROR(__xludf.DUMMYFUNCTION("""COMPUTED_VALUE"""),0.0)</f>
        <v>0</v>
      </c>
      <c r="S19" s="37">
        <f>IFERROR(__xludf.DUMMYFUNCTION("""COMPUTED_VALUE"""),523.0)</f>
        <v>523</v>
      </c>
      <c r="T19" s="38">
        <f>IFERROR(__xludf.DUMMYFUNCTION("""COMPUTED_VALUE"""),1.0)</f>
        <v>1</v>
      </c>
      <c r="U19" s="37">
        <f>IFERROR(__xludf.DUMMYFUNCTION("""COMPUTED_VALUE"""),31.0)</f>
        <v>31</v>
      </c>
      <c r="V19" s="38">
        <f>IFERROR(__xludf.DUMMYFUNCTION("""COMPUTED_VALUE"""),0.0)</f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/>
      <c r="B1" s="40"/>
      <c r="C1" s="40"/>
    </row>
    <row r="2">
      <c r="A2" s="39" t="s">
        <v>13</v>
      </c>
      <c r="B2" s="40">
        <v>45658.0</v>
      </c>
      <c r="C2" s="40">
        <v>46023.0</v>
      </c>
    </row>
    <row r="3">
      <c r="A3" s="39" t="s">
        <v>14</v>
      </c>
      <c r="B3" s="40">
        <v>45677.0</v>
      </c>
      <c r="C3" s="40">
        <v>46041.0</v>
      </c>
    </row>
    <row r="4">
      <c r="A4" s="39" t="s">
        <v>15</v>
      </c>
      <c r="B4" s="40">
        <v>45705.0</v>
      </c>
      <c r="C4" s="40">
        <v>46069.0</v>
      </c>
    </row>
    <row r="5">
      <c r="A5" s="39" t="s">
        <v>16</v>
      </c>
      <c r="B5" s="40">
        <v>45803.0</v>
      </c>
      <c r="C5" s="40">
        <v>46167.0</v>
      </c>
    </row>
    <row r="6">
      <c r="A6" s="39" t="s">
        <v>17</v>
      </c>
      <c r="B6" s="40">
        <v>45827.0</v>
      </c>
      <c r="C6" s="40">
        <v>46192.0</v>
      </c>
    </row>
    <row r="7">
      <c r="A7" s="39" t="s">
        <v>18</v>
      </c>
      <c r="B7" s="40">
        <v>45842.0</v>
      </c>
      <c r="C7" s="40">
        <v>46206.0</v>
      </c>
    </row>
    <row r="8">
      <c r="A8" s="39" t="s">
        <v>19</v>
      </c>
      <c r="B8" s="40">
        <v>45901.0</v>
      </c>
      <c r="C8" s="40">
        <v>46272.0</v>
      </c>
    </row>
    <row r="9">
      <c r="A9" s="39" t="s">
        <v>20</v>
      </c>
      <c r="B9" s="40">
        <v>45943.0</v>
      </c>
      <c r="C9" s="40">
        <v>46307.0</v>
      </c>
    </row>
    <row r="10">
      <c r="A10" s="39" t="s">
        <v>21</v>
      </c>
      <c r="B10" s="40">
        <v>45988.0</v>
      </c>
      <c r="C10" s="40">
        <v>46352.0</v>
      </c>
    </row>
    <row r="11">
      <c r="A11" s="39" t="s">
        <v>22</v>
      </c>
      <c r="B11" s="40">
        <v>45989.0</v>
      </c>
      <c r="C11" s="40">
        <v>46353.0</v>
      </c>
    </row>
    <row r="12">
      <c r="A12" s="39" t="s">
        <v>23</v>
      </c>
      <c r="B12" s="40">
        <v>46016.0</v>
      </c>
      <c r="C12" s="40">
        <v>46381.0</v>
      </c>
    </row>
    <row r="13">
      <c r="B13" s="41"/>
      <c r="C13" s="41"/>
    </row>
    <row r="14">
      <c r="B14" s="41"/>
      <c r="C14" s="41"/>
    </row>
    <row r="15">
      <c r="B15" s="41"/>
      <c r="C15" s="41"/>
    </row>
    <row r="16">
      <c r="B16" s="41"/>
      <c r="C16" s="41"/>
    </row>
    <row r="17">
      <c r="B17" s="41"/>
      <c r="C17" s="41"/>
    </row>
    <row r="18">
      <c r="B18" s="41"/>
      <c r="C18" s="41"/>
    </row>
    <row r="19">
      <c r="B19" s="41"/>
      <c r="C19" s="41"/>
    </row>
    <row r="20">
      <c r="B20" s="41"/>
      <c r="C20" s="41"/>
    </row>
    <row r="21">
      <c r="B21" s="41"/>
      <c r="C21" s="41"/>
    </row>
    <row r="22">
      <c r="B22" s="41"/>
      <c r="C22" s="41"/>
    </row>
    <row r="23">
      <c r="B23" s="41"/>
      <c r="C23" s="41"/>
    </row>
    <row r="24">
      <c r="B24" s="41"/>
      <c r="C24" s="41"/>
    </row>
    <row r="25">
      <c r="B25" s="41"/>
      <c r="C25" s="41"/>
    </row>
    <row r="26">
      <c r="B26" s="41"/>
      <c r="C26" s="41"/>
    </row>
    <row r="27">
      <c r="B27" s="41"/>
      <c r="C27" s="41"/>
    </row>
    <row r="28">
      <c r="B28" s="41"/>
      <c r="C28" s="41"/>
    </row>
    <row r="29">
      <c r="B29" s="41"/>
      <c r="C29" s="41"/>
    </row>
    <row r="30">
      <c r="B30" s="41"/>
      <c r="C30" s="41"/>
    </row>
    <row r="31">
      <c r="B31" s="41"/>
      <c r="C31" s="41"/>
    </row>
    <row r="32">
      <c r="B32" s="41"/>
      <c r="C32" s="41"/>
    </row>
    <row r="33">
      <c r="B33" s="41"/>
      <c r="C33" s="41"/>
    </row>
    <row r="34">
      <c r="B34" s="41"/>
      <c r="C34" s="41"/>
    </row>
    <row r="35">
      <c r="B35" s="41"/>
      <c r="C35" s="41"/>
    </row>
    <row r="36">
      <c r="B36" s="41"/>
      <c r="C36" s="41"/>
    </row>
    <row r="37">
      <c r="B37" s="41"/>
      <c r="C37" s="41"/>
    </row>
    <row r="38">
      <c r="B38" s="41"/>
      <c r="C38" s="41"/>
    </row>
    <row r="39">
      <c r="B39" s="41"/>
      <c r="C39" s="41"/>
    </row>
    <row r="40">
      <c r="B40" s="41"/>
      <c r="C40" s="41"/>
    </row>
    <row r="41">
      <c r="B41" s="41"/>
      <c r="C41" s="41"/>
    </row>
    <row r="42">
      <c r="B42" s="41"/>
      <c r="C42" s="41"/>
    </row>
    <row r="43">
      <c r="B43" s="41"/>
      <c r="C43" s="41"/>
    </row>
    <row r="44">
      <c r="B44" s="41"/>
      <c r="C44" s="41"/>
    </row>
    <row r="45">
      <c r="B45" s="41"/>
      <c r="C45" s="41"/>
    </row>
    <row r="46">
      <c r="B46" s="41"/>
      <c r="C46" s="41"/>
    </row>
    <row r="47">
      <c r="B47" s="41"/>
      <c r="C47" s="41"/>
    </row>
    <row r="48">
      <c r="B48" s="41"/>
      <c r="C48" s="41"/>
    </row>
    <row r="49">
      <c r="B49" s="41"/>
      <c r="C49" s="41"/>
    </row>
    <row r="50">
      <c r="B50" s="41"/>
      <c r="C50" s="41"/>
    </row>
    <row r="51">
      <c r="B51" s="41"/>
      <c r="C51" s="41"/>
    </row>
    <row r="52">
      <c r="B52" s="41"/>
      <c r="C52" s="41"/>
    </row>
    <row r="53">
      <c r="B53" s="41"/>
      <c r="C53" s="41"/>
    </row>
    <row r="54">
      <c r="B54" s="41"/>
      <c r="C54" s="41"/>
    </row>
    <row r="55">
      <c r="B55" s="41"/>
      <c r="C55" s="41"/>
    </row>
    <row r="56">
      <c r="B56" s="41"/>
      <c r="C56" s="41"/>
    </row>
    <row r="57">
      <c r="B57" s="41"/>
      <c r="C57" s="41"/>
    </row>
    <row r="58">
      <c r="B58" s="41"/>
      <c r="C58" s="41"/>
    </row>
    <row r="59">
      <c r="B59" s="41"/>
      <c r="C59" s="41"/>
    </row>
    <row r="60">
      <c r="B60" s="41"/>
      <c r="C60" s="41"/>
    </row>
    <row r="61">
      <c r="B61" s="41"/>
      <c r="C61" s="41"/>
    </row>
    <row r="62">
      <c r="B62" s="41"/>
      <c r="C62" s="41"/>
    </row>
    <row r="63">
      <c r="B63" s="41"/>
      <c r="C63" s="41"/>
    </row>
    <row r="64">
      <c r="B64" s="41"/>
      <c r="C64" s="41"/>
    </row>
    <row r="65">
      <c r="B65" s="41"/>
      <c r="C65" s="41"/>
    </row>
    <row r="66">
      <c r="B66" s="41"/>
      <c r="C66" s="41"/>
    </row>
    <row r="67">
      <c r="B67" s="41"/>
      <c r="C67" s="41"/>
    </row>
    <row r="68">
      <c r="B68" s="41"/>
      <c r="C68" s="41"/>
    </row>
    <row r="69">
      <c r="B69" s="41"/>
      <c r="C69" s="41"/>
    </row>
    <row r="70">
      <c r="B70" s="41"/>
      <c r="C70" s="41"/>
    </row>
    <row r="71">
      <c r="B71" s="41"/>
      <c r="C71" s="41"/>
    </row>
    <row r="72">
      <c r="B72" s="41"/>
      <c r="C72" s="41"/>
    </row>
    <row r="73">
      <c r="B73" s="41"/>
      <c r="C73" s="41"/>
    </row>
    <row r="74">
      <c r="B74" s="41"/>
      <c r="C74" s="41"/>
    </row>
    <row r="75">
      <c r="B75" s="41"/>
      <c r="C75" s="41"/>
    </row>
    <row r="76">
      <c r="B76" s="41"/>
      <c r="C76" s="41"/>
    </row>
    <row r="77">
      <c r="B77" s="41"/>
      <c r="C77" s="41"/>
    </row>
    <row r="78">
      <c r="B78" s="41"/>
      <c r="C78" s="41"/>
    </row>
    <row r="79">
      <c r="B79" s="41"/>
      <c r="C79" s="41"/>
    </row>
    <row r="80">
      <c r="B80" s="41"/>
      <c r="C80" s="41"/>
    </row>
    <row r="81">
      <c r="B81" s="41"/>
      <c r="C81" s="41"/>
    </row>
    <row r="82">
      <c r="B82" s="41"/>
      <c r="C82" s="41"/>
    </row>
    <row r="83">
      <c r="B83" s="41"/>
      <c r="C83" s="41"/>
    </row>
    <row r="84">
      <c r="B84" s="41"/>
      <c r="C84" s="41"/>
    </row>
    <row r="85">
      <c r="B85" s="41"/>
      <c r="C85" s="41"/>
    </row>
    <row r="86">
      <c r="B86" s="41"/>
      <c r="C86" s="41"/>
    </row>
    <row r="87">
      <c r="B87" s="41"/>
      <c r="C87" s="41"/>
    </row>
    <row r="88">
      <c r="B88" s="41"/>
      <c r="C88" s="41"/>
    </row>
    <row r="89">
      <c r="B89" s="41"/>
      <c r="C89" s="41"/>
    </row>
    <row r="90">
      <c r="B90" s="41"/>
      <c r="C90" s="41"/>
    </row>
    <row r="91">
      <c r="B91" s="41"/>
      <c r="C91" s="41"/>
    </row>
    <row r="92">
      <c r="B92" s="41"/>
      <c r="C92" s="41"/>
    </row>
    <row r="93">
      <c r="B93" s="41"/>
      <c r="C93" s="41"/>
    </row>
    <row r="94">
      <c r="B94" s="41"/>
      <c r="C94" s="41"/>
    </row>
    <row r="95">
      <c r="B95" s="41"/>
      <c r="C95" s="41"/>
    </row>
    <row r="96">
      <c r="B96" s="41"/>
      <c r="C96" s="41"/>
    </row>
    <row r="97">
      <c r="B97" s="41"/>
      <c r="C97" s="41"/>
    </row>
    <row r="98">
      <c r="B98" s="41"/>
      <c r="C98" s="41"/>
    </row>
    <row r="99">
      <c r="B99" s="41"/>
      <c r="C99" s="41"/>
    </row>
    <row r="100">
      <c r="B100" s="41"/>
      <c r="C100" s="41"/>
    </row>
    <row r="101">
      <c r="B101" s="41"/>
      <c r="C101" s="41"/>
    </row>
    <row r="102">
      <c r="B102" s="41"/>
      <c r="C102" s="41"/>
    </row>
    <row r="103">
      <c r="B103" s="41"/>
      <c r="C103" s="41"/>
    </row>
    <row r="104">
      <c r="B104" s="41"/>
      <c r="C104" s="41"/>
    </row>
    <row r="105">
      <c r="B105" s="41"/>
      <c r="C105" s="41"/>
    </row>
    <row r="106">
      <c r="B106" s="41"/>
      <c r="C106" s="41"/>
    </row>
    <row r="107">
      <c r="B107" s="41"/>
      <c r="C107" s="41"/>
    </row>
    <row r="108">
      <c r="B108" s="41"/>
      <c r="C108" s="41"/>
    </row>
    <row r="109">
      <c r="B109" s="41"/>
      <c r="C109" s="41"/>
    </row>
    <row r="110">
      <c r="B110" s="41"/>
      <c r="C110" s="41"/>
    </row>
    <row r="111">
      <c r="B111" s="41"/>
      <c r="C111" s="41"/>
    </row>
    <row r="112">
      <c r="B112" s="41"/>
      <c r="C112" s="41"/>
    </row>
    <row r="113">
      <c r="B113" s="41"/>
      <c r="C113" s="41"/>
    </row>
    <row r="114">
      <c r="B114" s="41"/>
      <c r="C114" s="41"/>
    </row>
    <row r="115">
      <c r="B115" s="41"/>
      <c r="C115" s="41"/>
    </row>
    <row r="116">
      <c r="B116" s="41"/>
      <c r="C116" s="41"/>
    </row>
    <row r="117">
      <c r="B117" s="41"/>
      <c r="C117" s="41"/>
    </row>
    <row r="118">
      <c r="B118" s="41"/>
      <c r="C118" s="41"/>
    </row>
    <row r="119">
      <c r="B119" s="41"/>
      <c r="C119" s="41"/>
    </row>
    <row r="120">
      <c r="B120" s="41"/>
      <c r="C120" s="41"/>
    </row>
    <row r="121">
      <c r="B121" s="41"/>
      <c r="C121" s="41"/>
    </row>
    <row r="122">
      <c r="B122" s="41"/>
      <c r="C122" s="41"/>
    </row>
    <row r="123">
      <c r="B123" s="41"/>
      <c r="C123" s="41"/>
    </row>
    <row r="124">
      <c r="B124" s="41"/>
      <c r="C124" s="41"/>
    </row>
    <row r="125">
      <c r="B125" s="41"/>
      <c r="C125" s="41"/>
    </row>
    <row r="126">
      <c r="B126" s="41"/>
      <c r="C126" s="41"/>
    </row>
    <row r="127">
      <c r="B127" s="41"/>
      <c r="C127" s="41"/>
    </row>
    <row r="128">
      <c r="B128" s="41"/>
      <c r="C128" s="41"/>
    </row>
    <row r="129">
      <c r="B129" s="41"/>
      <c r="C129" s="41"/>
    </row>
    <row r="130">
      <c r="B130" s="41"/>
      <c r="C130" s="41"/>
    </row>
    <row r="131">
      <c r="B131" s="41"/>
      <c r="C131" s="41"/>
    </row>
    <row r="132">
      <c r="B132" s="41"/>
      <c r="C132" s="41"/>
    </row>
    <row r="133">
      <c r="B133" s="41"/>
      <c r="C133" s="41"/>
    </row>
    <row r="134">
      <c r="B134" s="41"/>
      <c r="C134" s="41"/>
    </row>
    <row r="135">
      <c r="B135" s="41"/>
      <c r="C135" s="41"/>
    </row>
    <row r="136">
      <c r="B136" s="41"/>
      <c r="C136" s="41"/>
    </row>
    <row r="137">
      <c r="B137" s="41"/>
      <c r="C137" s="41"/>
    </row>
    <row r="138">
      <c r="B138" s="41"/>
      <c r="C138" s="41"/>
    </row>
    <row r="139">
      <c r="B139" s="41"/>
      <c r="C139" s="41"/>
    </row>
    <row r="140">
      <c r="B140" s="41"/>
      <c r="C140" s="41"/>
    </row>
    <row r="141">
      <c r="B141" s="41"/>
      <c r="C141" s="41"/>
    </row>
    <row r="142">
      <c r="B142" s="41"/>
      <c r="C142" s="41"/>
    </row>
    <row r="143">
      <c r="B143" s="41"/>
      <c r="C143" s="41"/>
    </row>
    <row r="144">
      <c r="B144" s="41"/>
      <c r="C144" s="41"/>
    </row>
    <row r="145">
      <c r="B145" s="41"/>
      <c r="C145" s="41"/>
    </row>
    <row r="146">
      <c r="B146" s="41"/>
      <c r="C146" s="41"/>
    </row>
    <row r="147">
      <c r="B147" s="41"/>
      <c r="C147" s="41"/>
    </row>
    <row r="148">
      <c r="B148" s="41"/>
      <c r="C148" s="41"/>
    </row>
    <row r="149">
      <c r="B149" s="41"/>
      <c r="C149" s="41"/>
    </row>
    <row r="150">
      <c r="B150" s="41"/>
      <c r="C150" s="41"/>
    </row>
    <row r="151">
      <c r="B151" s="41"/>
      <c r="C151" s="41"/>
    </row>
    <row r="152">
      <c r="B152" s="41"/>
      <c r="C152" s="41"/>
    </row>
    <row r="153">
      <c r="B153" s="41"/>
      <c r="C153" s="41"/>
    </row>
    <row r="154">
      <c r="B154" s="41"/>
      <c r="C154" s="41"/>
    </row>
    <row r="155">
      <c r="B155" s="41"/>
      <c r="C155" s="41"/>
    </row>
    <row r="156">
      <c r="B156" s="41"/>
      <c r="C156" s="41"/>
    </row>
    <row r="157">
      <c r="B157" s="41"/>
      <c r="C157" s="41"/>
    </row>
    <row r="158">
      <c r="B158" s="41"/>
      <c r="C158" s="41"/>
    </row>
    <row r="159">
      <c r="B159" s="41"/>
      <c r="C159" s="41"/>
    </row>
    <row r="160">
      <c r="B160" s="41"/>
      <c r="C160" s="41"/>
    </row>
    <row r="161">
      <c r="B161" s="41"/>
      <c r="C161" s="41"/>
    </row>
    <row r="162">
      <c r="B162" s="41"/>
      <c r="C162" s="41"/>
    </row>
    <row r="163">
      <c r="B163" s="41"/>
      <c r="C163" s="41"/>
    </row>
    <row r="164">
      <c r="B164" s="41"/>
      <c r="C164" s="41"/>
    </row>
    <row r="165">
      <c r="B165" s="41"/>
      <c r="C165" s="41"/>
    </row>
    <row r="166">
      <c r="B166" s="41"/>
      <c r="C166" s="41"/>
    </row>
    <row r="167">
      <c r="B167" s="41"/>
      <c r="C167" s="41"/>
    </row>
    <row r="168">
      <c r="B168" s="41"/>
      <c r="C168" s="41"/>
    </row>
    <row r="169">
      <c r="B169" s="41"/>
      <c r="C169" s="41"/>
    </row>
    <row r="170">
      <c r="B170" s="41"/>
      <c r="C170" s="41"/>
    </row>
    <row r="171">
      <c r="B171" s="41"/>
      <c r="C171" s="41"/>
    </row>
    <row r="172">
      <c r="B172" s="41"/>
      <c r="C172" s="41"/>
    </row>
    <row r="173">
      <c r="B173" s="41"/>
      <c r="C173" s="41"/>
    </row>
    <row r="174">
      <c r="B174" s="41"/>
      <c r="C174" s="41"/>
    </row>
    <row r="175">
      <c r="B175" s="41"/>
      <c r="C175" s="41"/>
    </row>
    <row r="176">
      <c r="B176" s="41"/>
      <c r="C176" s="41"/>
    </row>
    <row r="177">
      <c r="B177" s="41"/>
      <c r="C177" s="41"/>
    </row>
    <row r="178">
      <c r="B178" s="41"/>
      <c r="C178" s="41"/>
    </row>
    <row r="179">
      <c r="B179" s="41"/>
      <c r="C179" s="41"/>
    </row>
    <row r="180">
      <c r="B180" s="41"/>
      <c r="C180" s="41"/>
    </row>
    <row r="181">
      <c r="B181" s="41"/>
      <c r="C181" s="41"/>
    </row>
    <row r="182">
      <c r="B182" s="41"/>
      <c r="C182" s="41"/>
    </row>
    <row r="183">
      <c r="B183" s="41"/>
      <c r="C183" s="41"/>
    </row>
    <row r="184">
      <c r="B184" s="41"/>
      <c r="C184" s="41"/>
    </row>
    <row r="185">
      <c r="B185" s="41"/>
      <c r="C185" s="41"/>
    </row>
    <row r="186">
      <c r="B186" s="41"/>
      <c r="C186" s="41"/>
    </row>
    <row r="187">
      <c r="B187" s="41"/>
      <c r="C187" s="41"/>
    </row>
    <row r="188">
      <c r="B188" s="41"/>
      <c r="C188" s="41"/>
    </row>
    <row r="189">
      <c r="B189" s="41"/>
      <c r="C189" s="41"/>
    </row>
    <row r="190">
      <c r="B190" s="41"/>
      <c r="C190" s="41"/>
    </row>
    <row r="191">
      <c r="B191" s="41"/>
      <c r="C191" s="41"/>
    </row>
    <row r="192">
      <c r="B192" s="41"/>
      <c r="C192" s="41"/>
    </row>
    <row r="193">
      <c r="B193" s="41"/>
      <c r="C193" s="41"/>
    </row>
    <row r="194">
      <c r="B194" s="41"/>
      <c r="C194" s="41"/>
    </row>
    <row r="195">
      <c r="B195" s="41"/>
      <c r="C195" s="41"/>
    </row>
    <row r="196">
      <c r="B196" s="41"/>
      <c r="C196" s="41"/>
    </row>
    <row r="197">
      <c r="B197" s="41"/>
      <c r="C197" s="41"/>
    </row>
    <row r="198">
      <c r="B198" s="41"/>
      <c r="C198" s="41"/>
    </row>
    <row r="199">
      <c r="B199" s="41"/>
      <c r="C199" s="41"/>
    </row>
    <row r="200">
      <c r="B200" s="41"/>
      <c r="C200" s="41"/>
    </row>
    <row r="201">
      <c r="B201" s="41"/>
      <c r="C201" s="41"/>
    </row>
    <row r="202">
      <c r="B202" s="41"/>
      <c r="C202" s="41"/>
    </row>
    <row r="203">
      <c r="B203" s="41"/>
      <c r="C203" s="41"/>
    </row>
    <row r="204">
      <c r="B204" s="41"/>
      <c r="C204" s="41"/>
    </row>
    <row r="205">
      <c r="B205" s="41"/>
      <c r="C205" s="41"/>
    </row>
    <row r="206">
      <c r="B206" s="41"/>
      <c r="C206" s="41"/>
    </row>
    <row r="207">
      <c r="B207" s="41"/>
      <c r="C207" s="41"/>
    </row>
    <row r="208">
      <c r="B208" s="41"/>
      <c r="C208" s="41"/>
    </row>
    <row r="209">
      <c r="B209" s="41"/>
      <c r="C209" s="41"/>
    </row>
    <row r="210">
      <c r="B210" s="41"/>
      <c r="C210" s="41"/>
    </row>
    <row r="211">
      <c r="B211" s="41"/>
      <c r="C211" s="41"/>
    </row>
    <row r="212">
      <c r="B212" s="41"/>
      <c r="C212" s="41"/>
    </row>
    <row r="213">
      <c r="B213" s="41"/>
      <c r="C213" s="41"/>
    </row>
    <row r="214">
      <c r="B214" s="41"/>
      <c r="C214" s="41"/>
    </row>
    <row r="215">
      <c r="B215" s="41"/>
      <c r="C215" s="41"/>
    </row>
    <row r="216">
      <c r="B216" s="41"/>
      <c r="C216" s="41"/>
    </row>
    <row r="217">
      <c r="B217" s="41"/>
      <c r="C217" s="41"/>
    </row>
    <row r="218">
      <c r="B218" s="41"/>
      <c r="C218" s="41"/>
    </row>
    <row r="219">
      <c r="B219" s="41"/>
      <c r="C219" s="41"/>
    </row>
    <row r="220">
      <c r="B220" s="41"/>
      <c r="C220" s="41"/>
    </row>
    <row r="221">
      <c r="B221" s="41"/>
      <c r="C221" s="41"/>
    </row>
    <row r="222">
      <c r="B222" s="41"/>
      <c r="C222" s="41"/>
    </row>
    <row r="223">
      <c r="B223" s="41"/>
      <c r="C223" s="41"/>
    </row>
    <row r="224">
      <c r="B224" s="41"/>
      <c r="C224" s="41"/>
    </row>
    <row r="225">
      <c r="B225" s="41"/>
      <c r="C225" s="41"/>
    </row>
    <row r="226">
      <c r="B226" s="41"/>
      <c r="C226" s="41"/>
    </row>
    <row r="227">
      <c r="B227" s="41"/>
      <c r="C227" s="41"/>
    </row>
    <row r="228">
      <c r="B228" s="41"/>
      <c r="C228" s="41"/>
    </row>
    <row r="229">
      <c r="B229" s="41"/>
      <c r="C229" s="41"/>
    </row>
    <row r="230">
      <c r="B230" s="41"/>
      <c r="C230" s="41"/>
    </row>
    <row r="231">
      <c r="B231" s="41"/>
      <c r="C231" s="41"/>
    </row>
    <row r="232">
      <c r="B232" s="41"/>
      <c r="C232" s="41"/>
    </row>
    <row r="233">
      <c r="B233" s="41"/>
      <c r="C233" s="41"/>
    </row>
    <row r="234">
      <c r="B234" s="41"/>
      <c r="C234" s="41"/>
    </row>
    <row r="235">
      <c r="B235" s="41"/>
      <c r="C235" s="41"/>
    </row>
    <row r="236">
      <c r="B236" s="41"/>
      <c r="C236" s="41"/>
    </row>
    <row r="237">
      <c r="B237" s="41"/>
      <c r="C237" s="41"/>
    </row>
    <row r="238">
      <c r="B238" s="41"/>
      <c r="C238" s="41"/>
    </row>
    <row r="239">
      <c r="B239" s="41"/>
      <c r="C239" s="41"/>
    </row>
    <row r="240">
      <c r="B240" s="41"/>
      <c r="C240" s="41"/>
    </row>
    <row r="241">
      <c r="B241" s="41"/>
      <c r="C241" s="41"/>
    </row>
    <row r="242">
      <c r="B242" s="41"/>
      <c r="C242" s="41"/>
    </row>
    <row r="243">
      <c r="B243" s="41"/>
      <c r="C243" s="41"/>
    </row>
    <row r="244">
      <c r="B244" s="41"/>
      <c r="C244" s="41"/>
    </row>
    <row r="245">
      <c r="B245" s="41"/>
      <c r="C245" s="41"/>
    </row>
    <row r="246">
      <c r="B246" s="41"/>
      <c r="C246" s="41"/>
    </row>
    <row r="247">
      <c r="B247" s="41"/>
      <c r="C247" s="41"/>
    </row>
    <row r="248">
      <c r="B248" s="41"/>
      <c r="C248" s="41"/>
    </row>
    <row r="249">
      <c r="B249" s="41"/>
      <c r="C249" s="41"/>
    </row>
    <row r="250">
      <c r="B250" s="41"/>
      <c r="C250" s="41"/>
    </row>
    <row r="251">
      <c r="B251" s="41"/>
      <c r="C251" s="41"/>
    </row>
    <row r="252">
      <c r="B252" s="41"/>
      <c r="C252" s="41"/>
    </row>
    <row r="253">
      <c r="B253" s="41"/>
      <c r="C253" s="41"/>
    </row>
    <row r="254">
      <c r="B254" s="41"/>
      <c r="C254" s="41"/>
    </row>
    <row r="255">
      <c r="B255" s="41"/>
      <c r="C255" s="41"/>
    </row>
    <row r="256">
      <c r="B256" s="41"/>
      <c r="C256" s="41"/>
    </row>
    <row r="257">
      <c r="B257" s="41"/>
      <c r="C257" s="41"/>
    </row>
    <row r="258">
      <c r="B258" s="41"/>
      <c r="C258" s="41"/>
    </row>
    <row r="259">
      <c r="B259" s="41"/>
      <c r="C259" s="41"/>
    </row>
    <row r="260">
      <c r="B260" s="41"/>
      <c r="C260" s="41"/>
    </row>
    <row r="261">
      <c r="B261" s="41"/>
      <c r="C261" s="41"/>
    </row>
    <row r="262">
      <c r="B262" s="41"/>
      <c r="C262" s="41"/>
    </row>
    <row r="263">
      <c r="B263" s="41"/>
      <c r="C263" s="41"/>
    </row>
    <row r="264">
      <c r="B264" s="41"/>
      <c r="C264" s="41"/>
    </row>
    <row r="265">
      <c r="B265" s="41"/>
      <c r="C265" s="41"/>
    </row>
    <row r="266">
      <c r="B266" s="41"/>
      <c r="C266" s="41"/>
    </row>
    <row r="267">
      <c r="B267" s="41"/>
      <c r="C267" s="41"/>
    </row>
    <row r="268">
      <c r="B268" s="41"/>
      <c r="C268" s="41"/>
    </row>
    <row r="269">
      <c r="B269" s="41"/>
      <c r="C269" s="41"/>
    </row>
    <row r="270">
      <c r="B270" s="41"/>
      <c r="C270" s="41"/>
    </row>
    <row r="271">
      <c r="B271" s="41"/>
      <c r="C271" s="41"/>
    </row>
    <row r="272">
      <c r="B272" s="41"/>
      <c r="C272" s="41"/>
    </row>
    <row r="273">
      <c r="B273" s="41"/>
      <c r="C273" s="41"/>
    </row>
    <row r="274">
      <c r="B274" s="41"/>
      <c r="C274" s="41"/>
    </row>
    <row r="275">
      <c r="B275" s="41"/>
      <c r="C275" s="41"/>
    </row>
    <row r="276">
      <c r="B276" s="41"/>
      <c r="C276" s="41"/>
    </row>
    <row r="277">
      <c r="B277" s="41"/>
      <c r="C277" s="41"/>
    </row>
    <row r="278">
      <c r="B278" s="41"/>
      <c r="C278" s="41"/>
    </row>
    <row r="279">
      <c r="B279" s="41"/>
      <c r="C279" s="41"/>
    </row>
    <row r="280">
      <c r="B280" s="41"/>
      <c r="C280" s="41"/>
    </row>
    <row r="281">
      <c r="B281" s="41"/>
      <c r="C281" s="41"/>
    </row>
    <row r="282">
      <c r="B282" s="41"/>
      <c r="C282" s="41"/>
    </row>
    <row r="283">
      <c r="B283" s="41"/>
      <c r="C283" s="41"/>
    </row>
    <row r="284">
      <c r="B284" s="41"/>
      <c r="C284" s="41"/>
    </row>
    <row r="285">
      <c r="B285" s="41"/>
      <c r="C285" s="41"/>
    </row>
    <row r="286">
      <c r="B286" s="41"/>
      <c r="C286" s="41"/>
    </row>
    <row r="287">
      <c r="B287" s="41"/>
      <c r="C287" s="41"/>
    </row>
    <row r="288">
      <c r="B288" s="41"/>
      <c r="C288" s="41"/>
    </row>
    <row r="289">
      <c r="B289" s="41"/>
      <c r="C289" s="41"/>
    </row>
    <row r="290">
      <c r="B290" s="41"/>
      <c r="C290" s="41"/>
    </row>
    <row r="291">
      <c r="B291" s="41"/>
      <c r="C291" s="41"/>
    </row>
    <row r="292">
      <c r="B292" s="41"/>
      <c r="C292" s="41"/>
    </row>
    <row r="293">
      <c r="B293" s="41"/>
      <c r="C293" s="41"/>
    </row>
    <row r="294">
      <c r="B294" s="41"/>
      <c r="C294" s="41"/>
    </row>
    <row r="295">
      <c r="B295" s="41"/>
      <c r="C295" s="41"/>
    </row>
    <row r="296">
      <c r="B296" s="41"/>
      <c r="C296" s="41"/>
    </row>
    <row r="297">
      <c r="B297" s="41"/>
      <c r="C297" s="41"/>
    </row>
    <row r="298">
      <c r="B298" s="41"/>
      <c r="C298" s="41"/>
    </row>
    <row r="299">
      <c r="B299" s="41"/>
      <c r="C299" s="41"/>
    </row>
    <row r="300">
      <c r="B300" s="41"/>
      <c r="C300" s="41"/>
    </row>
    <row r="301">
      <c r="B301" s="41"/>
      <c r="C301" s="41"/>
    </row>
    <row r="302">
      <c r="B302" s="41"/>
      <c r="C302" s="41"/>
    </row>
    <row r="303">
      <c r="B303" s="41"/>
      <c r="C303" s="41"/>
    </row>
    <row r="304">
      <c r="B304" s="41"/>
      <c r="C304" s="41"/>
    </row>
    <row r="305">
      <c r="B305" s="41"/>
      <c r="C305" s="41"/>
    </row>
    <row r="306">
      <c r="B306" s="41"/>
      <c r="C306" s="41"/>
    </row>
    <row r="307">
      <c r="B307" s="41"/>
      <c r="C307" s="41"/>
    </row>
    <row r="308">
      <c r="B308" s="41"/>
      <c r="C308" s="41"/>
    </row>
    <row r="309">
      <c r="B309" s="41"/>
      <c r="C309" s="41"/>
    </row>
    <row r="310">
      <c r="B310" s="41"/>
      <c r="C310" s="41"/>
    </row>
    <row r="311">
      <c r="B311" s="41"/>
      <c r="C311" s="41"/>
    </row>
    <row r="312">
      <c r="B312" s="41"/>
      <c r="C312" s="41"/>
    </row>
    <row r="313">
      <c r="B313" s="41"/>
      <c r="C313" s="41"/>
    </row>
    <row r="314">
      <c r="B314" s="41"/>
      <c r="C314" s="41"/>
    </row>
    <row r="315">
      <c r="B315" s="41"/>
      <c r="C315" s="41"/>
    </row>
    <row r="316">
      <c r="B316" s="41"/>
      <c r="C316" s="41"/>
    </row>
    <row r="317">
      <c r="B317" s="41"/>
      <c r="C317" s="41"/>
    </row>
    <row r="318">
      <c r="B318" s="41"/>
      <c r="C318" s="41"/>
    </row>
    <row r="319">
      <c r="B319" s="41"/>
      <c r="C319" s="41"/>
    </row>
    <row r="320">
      <c r="B320" s="41"/>
      <c r="C320" s="41"/>
    </row>
    <row r="321">
      <c r="B321" s="41"/>
      <c r="C321" s="41"/>
    </row>
    <row r="322">
      <c r="B322" s="41"/>
      <c r="C322" s="41"/>
    </row>
    <row r="323">
      <c r="B323" s="41"/>
      <c r="C323" s="41"/>
    </row>
    <row r="324">
      <c r="B324" s="41"/>
      <c r="C324" s="41"/>
    </row>
    <row r="325">
      <c r="B325" s="41"/>
      <c r="C325" s="41"/>
    </row>
    <row r="326">
      <c r="B326" s="41"/>
      <c r="C326" s="41"/>
    </row>
    <row r="327">
      <c r="B327" s="41"/>
      <c r="C327" s="41"/>
    </row>
    <row r="328">
      <c r="B328" s="41"/>
      <c r="C328" s="41"/>
    </row>
    <row r="329">
      <c r="B329" s="41"/>
      <c r="C329" s="41"/>
    </row>
    <row r="330">
      <c r="B330" s="41"/>
      <c r="C330" s="41"/>
    </row>
    <row r="331">
      <c r="B331" s="41"/>
      <c r="C331" s="41"/>
    </row>
    <row r="332">
      <c r="B332" s="41"/>
      <c r="C332" s="41"/>
    </row>
    <row r="333">
      <c r="B333" s="41"/>
      <c r="C333" s="41"/>
    </row>
    <row r="334">
      <c r="B334" s="41"/>
      <c r="C334" s="41"/>
    </row>
    <row r="335">
      <c r="B335" s="41"/>
      <c r="C335" s="41"/>
    </row>
    <row r="336">
      <c r="B336" s="41"/>
      <c r="C336" s="41"/>
    </row>
    <row r="337">
      <c r="B337" s="41"/>
      <c r="C337" s="41"/>
    </row>
    <row r="338">
      <c r="B338" s="41"/>
      <c r="C338" s="41"/>
    </row>
    <row r="339">
      <c r="B339" s="41"/>
      <c r="C339" s="41"/>
    </row>
    <row r="340">
      <c r="B340" s="41"/>
      <c r="C340" s="41"/>
    </row>
    <row r="341">
      <c r="B341" s="41"/>
      <c r="C341" s="41"/>
    </row>
    <row r="342">
      <c r="B342" s="41"/>
      <c r="C342" s="41"/>
    </row>
    <row r="343">
      <c r="B343" s="41"/>
      <c r="C343" s="41"/>
    </row>
    <row r="344">
      <c r="B344" s="41"/>
      <c r="C344" s="41"/>
    </row>
    <row r="345">
      <c r="B345" s="41"/>
      <c r="C345" s="41"/>
    </row>
    <row r="346">
      <c r="B346" s="41"/>
      <c r="C346" s="41"/>
    </row>
    <row r="347">
      <c r="B347" s="41"/>
      <c r="C347" s="41"/>
    </row>
    <row r="348">
      <c r="B348" s="41"/>
      <c r="C348" s="41"/>
    </row>
    <row r="349">
      <c r="B349" s="41"/>
      <c r="C349" s="41"/>
    </row>
    <row r="350">
      <c r="B350" s="41"/>
      <c r="C350" s="41"/>
    </row>
    <row r="351">
      <c r="B351" s="41"/>
      <c r="C351" s="41"/>
    </row>
    <row r="352">
      <c r="B352" s="41"/>
      <c r="C352" s="41"/>
    </row>
    <row r="353">
      <c r="B353" s="41"/>
      <c r="C353" s="41"/>
    </row>
    <row r="354">
      <c r="B354" s="41"/>
      <c r="C354" s="41"/>
    </row>
    <row r="355">
      <c r="B355" s="41"/>
      <c r="C355" s="41"/>
    </row>
    <row r="356">
      <c r="B356" s="41"/>
      <c r="C356" s="41"/>
    </row>
    <row r="357">
      <c r="B357" s="41"/>
      <c r="C357" s="41"/>
    </row>
    <row r="358">
      <c r="B358" s="41"/>
      <c r="C358" s="41"/>
    </row>
    <row r="359">
      <c r="B359" s="41"/>
      <c r="C359" s="41"/>
    </row>
    <row r="360">
      <c r="B360" s="41"/>
      <c r="C360" s="41"/>
    </row>
    <row r="361">
      <c r="B361" s="41"/>
      <c r="C361" s="41"/>
    </row>
    <row r="362">
      <c r="B362" s="41"/>
      <c r="C362" s="41"/>
    </row>
    <row r="363">
      <c r="B363" s="41"/>
      <c r="C363" s="41"/>
    </row>
    <row r="364">
      <c r="B364" s="41"/>
      <c r="C364" s="41"/>
    </row>
    <row r="365">
      <c r="B365" s="41"/>
      <c r="C365" s="41"/>
    </row>
    <row r="366">
      <c r="B366" s="41"/>
      <c r="C366" s="41"/>
    </row>
    <row r="367">
      <c r="B367" s="41"/>
      <c r="C367" s="41"/>
    </row>
    <row r="368">
      <c r="B368" s="41"/>
      <c r="C368" s="41"/>
    </row>
    <row r="369">
      <c r="B369" s="41"/>
      <c r="C369" s="41"/>
    </row>
    <row r="370">
      <c r="B370" s="41"/>
      <c r="C370" s="41"/>
    </row>
    <row r="371">
      <c r="B371" s="41"/>
      <c r="C371" s="41"/>
    </row>
    <row r="372">
      <c r="B372" s="41"/>
      <c r="C372" s="41"/>
    </row>
    <row r="373">
      <c r="B373" s="41"/>
      <c r="C373" s="41"/>
    </row>
    <row r="374">
      <c r="B374" s="41"/>
      <c r="C374" s="41"/>
    </row>
    <row r="375">
      <c r="B375" s="41"/>
      <c r="C375" s="41"/>
    </row>
    <row r="376">
      <c r="B376" s="41"/>
      <c r="C376" s="41"/>
    </row>
    <row r="377">
      <c r="B377" s="41"/>
      <c r="C377" s="41"/>
    </row>
    <row r="378">
      <c r="B378" s="41"/>
      <c r="C378" s="41"/>
    </row>
    <row r="379">
      <c r="B379" s="41"/>
      <c r="C379" s="41"/>
    </row>
    <row r="380">
      <c r="B380" s="41"/>
      <c r="C380" s="41"/>
    </row>
    <row r="381">
      <c r="B381" s="41"/>
      <c r="C381" s="41"/>
    </row>
    <row r="382">
      <c r="B382" s="41"/>
      <c r="C382" s="41"/>
    </row>
    <row r="383">
      <c r="B383" s="41"/>
      <c r="C383" s="41"/>
    </row>
    <row r="384">
      <c r="B384" s="41"/>
      <c r="C384" s="41"/>
    </row>
    <row r="385">
      <c r="B385" s="41"/>
      <c r="C385" s="41"/>
    </row>
    <row r="386">
      <c r="B386" s="41"/>
      <c r="C386" s="41"/>
    </row>
    <row r="387">
      <c r="B387" s="41"/>
      <c r="C387" s="41"/>
    </row>
    <row r="388">
      <c r="B388" s="41"/>
      <c r="C388" s="41"/>
    </row>
    <row r="389">
      <c r="B389" s="41"/>
      <c r="C389" s="41"/>
    </row>
    <row r="390">
      <c r="B390" s="41"/>
      <c r="C390" s="41"/>
    </row>
    <row r="391">
      <c r="B391" s="41"/>
      <c r="C391" s="41"/>
    </row>
    <row r="392">
      <c r="B392" s="41"/>
      <c r="C392" s="41"/>
    </row>
    <row r="393">
      <c r="B393" s="41"/>
      <c r="C393" s="41"/>
    </row>
    <row r="394">
      <c r="B394" s="41"/>
      <c r="C394" s="41"/>
    </row>
    <row r="395">
      <c r="B395" s="41"/>
      <c r="C395" s="41"/>
    </row>
    <row r="396">
      <c r="B396" s="41"/>
      <c r="C396" s="41"/>
    </row>
    <row r="397">
      <c r="B397" s="41"/>
      <c r="C397" s="41"/>
    </row>
    <row r="398">
      <c r="B398" s="41"/>
      <c r="C398" s="41"/>
    </row>
    <row r="399">
      <c r="B399" s="41"/>
      <c r="C399" s="41"/>
    </row>
    <row r="400">
      <c r="B400" s="41"/>
      <c r="C400" s="41"/>
    </row>
    <row r="401">
      <c r="B401" s="41"/>
      <c r="C401" s="41"/>
    </row>
    <row r="402">
      <c r="B402" s="41"/>
      <c r="C402" s="41"/>
    </row>
    <row r="403">
      <c r="B403" s="41"/>
      <c r="C403" s="41"/>
    </row>
    <row r="404">
      <c r="B404" s="41"/>
      <c r="C404" s="41"/>
    </row>
    <row r="405">
      <c r="B405" s="41"/>
      <c r="C405" s="41"/>
    </row>
    <row r="406">
      <c r="B406" s="41"/>
      <c r="C406" s="41"/>
    </row>
    <row r="407">
      <c r="B407" s="41"/>
      <c r="C407" s="41"/>
    </row>
    <row r="408">
      <c r="B408" s="41"/>
      <c r="C408" s="41"/>
    </row>
    <row r="409">
      <c r="B409" s="41"/>
      <c r="C409" s="41"/>
    </row>
    <row r="410">
      <c r="B410" s="41"/>
      <c r="C410" s="41"/>
    </row>
    <row r="411">
      <c r="B411" s="41"/>
      <c r="C411" s="41"/>
    </row>
    <row r="412">
      <c r="B412" s="41"/>
      <c r="C412" s="41"/>
    </row>
    <row r="413">
      <c r="B413" s="41"/>
      <c r="C413" s="41"/>
    </row>
    <row r="414">
      <c r="B414" s="41"/>
      <c r="C414" s="41"/>
    </row>
    <row r="415">
      <c r="B415" s="41"/>
      <c r="C415" s="41"/>
    </row>
    <row r="416">
      <c r="B416" s="41"/>
      <c r="C416" s="41"/>
    </row>
    <row r="417">
      <c r="B417" s="41"/>
      <c r="C417" s="41"/>
    </row>
    <row r="418">
      <c r="B418" s="41"/>
      <c r="C418" s="41"/>
    </row>
    <row r="419">
      <c r="B419" s="41"/>
      <c r="C419" s="41"/>
    </row>
    <row r="420">
      <c r="B420" s="41"/>
      <c r="C420" s="41"/>
    </row>
    <row r="421">
      <c r="B421" s="41"/>
      <c r="C421" s="41"/>
    </row>
    <row r="422">
      <c r="B422" s="41"/>
      <c r="C422" s="41"/>
    </row>
    <row r="423">
      <c r="B423" s="41"/>
      <c r="C423" s="41"/>
    </row>
    <row r="424">
      <c r="B424" s="41"/>
      <c r="C424" s="41"/>
    </row>
    <row r="425">
      <c r="B425" s="41"/>
      <c r="C425" s="41"/>
    </row>
    <row r="426">
      <c r="B426" s="41"/>
      <c r="C426" s="41"/>
    </row>
    <row r="427">
      <c r="B427" s="41"/>
      <c r="C427" s="41"/>
    </row>
    <row r="428">
      <c r="B428" s="41"/>
      <c r="C428" s="41"/>
    </row>
    <row r="429">
      <c r="B429" s="41"/>
      <c r="C429" s="41"/>
    </row>
    <row r="430">
      <c r="B430" s="41"/>
      <c r="C430" s="41"/>
    </row>
    <row r="431">
      <c r="B431" s="41"/>
      <c r="C431" s="41"/>
    </row>
    <row r="432">
      <c r="B432" s="41"/>
      <c r="C432" s="41"/>
    </row>
    <row r="433">
      <c r="B433" s="41"/>
      <c r="C433" s="41"/>
    </row>
    <row r="434">
      <c r="B434" s="41"/>
      <c r="C434" s="41"/>
    </row>
    <row r="435">
      <c r="B435" s="41"/>
      <c r="C435" s="41"/>
    </row>
    <row r="436">
      <c r="B436" s="41"/>
      <c r="C436" s="41"/>
    </row>
    <row r="437">
      <c r="B437" s="41"/>
      <c r="C437" s="41"/>
    </row>
    <row r="438">
      <c r="B438" s="41"/>
      <c r="C438" s="41"/>
    </row>
    <row r="439">
      <c r="B439" s="41"/>
      <c r="C439" s="41"/>
    </row>
    <row r="440">
      <c r="B440" s="41"/>
      <c r="C440" s="41"/>
    </row>
    <row r="441">
      <c r="B441" s="41"/>
      <c r="C441" s="41"/>
    </row>
    <row r="442">
      <c r="B442" s="41"/>
      <c r="C442" s="41"/>
    </row>
    <row r="443">
      <c r="B443" s="41"/>
      <c r="C443" s="41"/>
    </row>
    <row r="444">
      <c r="B444" s="41"/>
      <c r="C444" s="41"/>
    </row>
    <row r="445">
      <c r="B445" s="41"/>
      <c r="C445" s="41"/>
    </row>
    <row r="446">
      <c r="B446" s="41"/>
      <c r="C446" s="41"/>
    </row>
    <row r="447">
      <c r="B447" s="41"/>
      <c r="C447" s="41"/>
    </row>
    <row r="448">
      <c r="B448" s="41"/>
      <c r="C448" s="41"/>
    </row>
    <row r="449">
      <c r="B449" s="41"/>
      <c r="C449" s="41"/>
    </row>
    <row r="450">
      <c r="B450" s="41"/>
      <c r="C450" s="41"/>
    </row>
    <row r="451">
      <c r="B451" s="41"/>
      <c r="C451" s="41"/>
    </row>
    <row r="452">
      <c r="B452" s="41"/>
      <c r="C452" s="41"/>
    </row>
    <row r="453">
      <c r="B453" s="41"/>
      <c r="C453" s="41"/>
    </row>
    <row r="454">
      <c r="B454" s="41"/>
      <c r="C454" s="41"/>
    </row>
    <row r="455">
      <c r="B455" s="41"/>
      <c r="C455" s="41"/>
    </row>
    <row r="456">
      <c r="B456" s="41"/>
      <c r="C456" s="41"/>
    </row>
    <row r="457">
      <c r="B457" s="41"/>
      <c r="C457" s="41"/>
    </row>
    <row r="458">
      <c r="B458" s="41"/>
      <c r="C458" s="41"/>
    </row>
    <row r="459">
      <c r="B459" s="41"/>
      <c r="C459" s="41"/>
    </row>
    <row r="460">
      <c r="B460" s="41"/>
      <c r="C460" s="41"/>
    </row>
    <row r="461">
      <c r="B461" s="41"/>
      <c r="C461" s="41"/>
    </row>
    <row r="462">
      <c r="B462" s="41"/>
      <c r="C462" s="41"/>
    </row>
    <row r="463">
      <c r="B463" s="41"/>
      <c r="C463" s="41"/>
    </row>
    <row r="464">
      <c r="B464" s="41"/>
      <c r="C464" s="41"/>
    </row>
    <row r="465">
      <c r="B465" s="41"/>
      <c r="C465" s="41"/>
    </row>
    <row r="466">
      <c r="B466" s="41"/>
      <c r="C466" s="41"/>
    </row>
    <row r="467">
      <c r="B467" s="41"/>
      <c r="C467" s="41"/>
    </row>
    <row r="468">
      <c r="B468" s="41"/>
      <c r="C468" s="41"/>
    </row>
    <row r="469">
      <c r="B469" s="41"/>
      <c r="C469" s="41"/>
    </row>
    <row r="470">
      <c r="B470" s="41"/>
      <c r="C470" s="41"/>
    </row>
    <row r="471">
      <c r="B471" s="41"/>
      <c r="C471" s="41"/>
    </row>
    <row r="472">
      <c r="B472" s="41"/>
      <c r="C472" s="41"/>
    </row>
    <row r="473">
      <c r="B473" s="41"/>
      <c r="C473" s="41"/>
    </row>
    <row r="474">
      <c r="B474" s="41"/>
      <c r="C474" s="41"/>
    </row>
    <row r="475">
      <c r="B475" s="41"/>
      <c r="C475" s="41"/>
    </row>
    <row r="476">
      <c r="B476" s="41"/>
      <c r="C476" s="41"/>
    </row>
    <row r="477">
      <c r="B477" s="41"/>
      <c r="C477" s="41"/>
    </row>
    <row r="478">
      <c r="B478" s="41"/>
      <c r="C478" s="41"/>
    </row>
    <row r="479">
      <c r="B479" s="41"/>
      <c r="C479" s="41"/>
    </row>
    <row r="480">
      <c r="B480" s="41"/>
      <c r="C480" s="41"/>
    </row>
    <row r="481">
      <c r="B481" s="41"/>
      <c r="C481" s="41"/>
    </row>
    <row r="482">
      <c r="B482" s="41"/>
      <c r="C482" s="41"/>
    </row>
    <row r="483">
      <c r="B483" s="41"/>
      <c r="C483" s="41"/>
    </row>
    <row r="484">
      <c r="B484" s="41"/>
      <c r="C484" s="41"/>
    </row>
    <row r="485">
      <c r="B485" s="41"/>
      <c r="C485" s="41"/>
    </row>
    <row r="486">
      <c r="B486" s="41"/>
      <c r="C486" s="41"/>
    </row>
    <row r="487">
      <c r="B487" s="41"/>
      <c r="C487" s="41"/>
    </row>
    <row r="488">
      <c r="B488" s="41"/>
      <c r="C488" s="41"/>
    </row>
    <row r="489">
      <c r="B489" s="41"/>
      <c r="C489" s="41"/>
    </row>
    <row r="490">
      <c r="B490" s="41"/>
      <c r="C490" s="41"/>
    </row>
    <row r="491">
      <c r="B491" s="41"/>
      <c r="C491" s="41"/>
    </row>
    <row r="492">
      <c r="B492" s="41"/>
      <c r="C492" s="41"/>
    </row>
    <row r="493">
      <c r="B493" s="41"/>
      <c r="C493" s="41"/>
    </row>
    <row r="494">
      <c r="B494" s="41"/>
      <c r="C494" s="41"/>
    </row>
    <row r="495">
      <c r="B495" s="41"/>
      <c r="C495" s="41"/>
    </row>
    <row r="496">
      <c r="B496" s="41"/>
      <c r="C496" s="41"/>
    </row>
    <row r="497">
      <c r="B497" s="41"/>
      <c r="C497" s="41"/>
    </row>
    <row r="498">
      <c r="B498" s="41"/>
      <c r="C498" s="41"/>
    </row>
    <row r="499">
      <c r="B499" s="41"/>
      <c r="C499" s="41"/>
    </row>
    <row r="500">
      <c r="B500" s="41"/>
      <c r="C500" s="41"/>
    </row>
    <row r="501">
      <c r="B501" s="41"/>
      <c r="C501" s="41"/>
    </row>
    <row r="502">
      <c r="B502" s="41"/>
      <c r="C502" s="41"/>
    </row>
    <row r="503">
      <c r="B503" s="41"/>
      <c r="C503" s="41"/>
    </row>
    <row r="504">
      <c r="B504" s="41"/>
      <c r="C504" s="41"/>
    </row>
    <row r="505">
      <c r="B505" s="41"/>
      <c r="C505" s="41"/>
    </row>
    <row r="506">
      <c r="B506" s="41"/>
      <c r="C506" s="41"/>
    </row>
    <row r="507">
      <c r="B507" s="41"/>
      <c r="C507" s="41"/>
    </row>
    <row r="508">
      <c r="B508" s="41"/>
      <c r="C508" s="41"/>
    </row>
    <row r="509">
      <c r="B509" s="41"/>
      <c r="C509" s="41"/>
    </row>
    <row r="510">
      <c r="B510" s="41"/>
      <c r="C510" s="41"/>
    </row>
    <row r="511">
      <c r="B511" s="41"/>
      <c r="C511" s="41"/>
    </row>
    <row r="512">
      <c r="B512" s="41"/>
      <c r="C512" s="41"/>
    </row>
    <row r="513">
      <c r="B513" s="41"/>
      <c r="C513" s="41"/>
    </row>
    <row r="514">
      <c r="B514" s="41"/>
      <c r="C514" s="41"/>
    </row>
    <row r="515">
      <c r="B515" s="41"/>
      <c r="C515" s="41"/>
    </row>
    <row r="516">
      <c r="B516" s="41"/>
      <c r="C516" s="41"/>
    </row>
    <row r="517">
      <c r="B517" s="41"/>
      <c r="C517" s="41"/>
    </row>
    <row r="518">
      <c r="B518" s="41"/>
      <c r="C518" s="41"/>
    </row>
    <row r="519">
      <c r="B519" s="41"/>
      <c r="C519" s="41"/>
    </row>
    <row r="520">
      <c r="B520" s="41"/>
      <c r="C520" s="41"/>
    </row>
    <row r="521">
      <c r="B521" s="41"/>
      <c r="C521" s="41"/>
    </row>
    <row r="522">
      <c r="B522" s="41"/>
      <c r="C522" s="41"/>
    </row>
    <row r="523">
      <c r="B523" s="41"/>
      <c r="C523" s="41"/>
    </row>
    <row r="524">
      <c r="B524" s="41"/>
      <c r="C524" s="41"/>
    </row>
    <row r="525">
      <c r="B525" s="41"/>
      <c r="C525" s="41"/>
    </row>
    <row r="526">
      <c r="B526" s="41"/>
      <c r="C526" s="41"/>
    </row>
    <row r="527">
      <c r="B527" s="41"/>
      <c r="C527" s="41"/>
    </row>
    <row r="528">
      <c r="B528" s="41"/>
      <c r="C528" s="41"/>
    </row>
    <row r="529">
      <c r="B529" s="41"/>
      <c r="C529" s="41"/>
    </row>
    <row r="530">
      <c r="B530" s="41"/>
      <c r="C530" s="41"/>
    </row>
    <row r="531">
      <c r="B531" s="41"/>
      <c r="C531" s="41"/>
    </row>
    <row r="532">
      <c r="B532" s="41"/>
      <c r="C532" s="41"/>
    </row>
    <row r="533">
      <c r="B533" s="41"/>
      <c r="C533" s="41"/>
    </row>
    <row r="534">
      <c r="B534" s="41"/>
      <c r="C534" s="41"/>
    </row>
    <row r="535">
      <c r="B535" s="41"/>
      <c r="C535" s="41"/>
    </row>
    <row r="536">
      <c r="B536" s="41"/>
      <c r="C536" s="41"/>
    </row>
    <row r="537">
      <c r="B537" s="41"/>
      <c r="C537" s="41"/>
    </row>
    <row r="538">
      <c r="B538" s="41"/>
      <c r="C538" s="41"/>
    </row>
    <row r="539">
      <c r="B539" s="41"/>
      <c r="C539" s="41"/>
    </row>
    <row r="540">
      <c r="B540" s="41"/>
      <c r="C540" s="41"/>
    </row>
    <row r="541">
      <c r="B541" s="41"/>
      <c r="C541" s="41"/>
    </row>
    <row r="542">
      <c r="B542" s="41"/>
      <c r="C542" s="41"/>
    </row>
    <row r="543">
      <c r="B543" s="41"/>
      <c r="C543" s="41"/>
    </row>
    <row r="544">
      <c r="B544" s="41"/>
      <c r="C544" s="41"/>
    </row>
    <row r="545">
      <c r="B545" s="41"/>
      <c r="C545" s="41"/>
    </row>
    <row r="546">
      <c r="B546" s="41"/>
      <c r="C546" s="41"/>
    </row>
    <row r="547">
      <c r="B547" s="41"/>
      <c r="C547" s="41"/>
    </row>
    <row r="548">
      <c r="B548" s="41"/>
      <c r="C548" s="41"/>
    </row>
    <row r="549">
      <c r="B549" s="41"/>
      <c r="C549" s="41"/>
    </row>
    <row r="550">
      <c r="B550" s="41"/>
      <c r="C550" s="41"/>
    </row>
    <row r="551">
      <c r="B551" s="41"/>
      <c r="C551" s="41"/>
    </row>
    <row r="552">
      <c r="B552" s="41"/>
      <c r="C552" s="41"/>
    </row>
    <row r="553">
      <c r="B553" s="41"/>
      <c r="C553" s="41"/>
    </row>
    <row r="554">
      <c r="B554" s="41"/>
      <c r="C554" s="41"/>
    </row>
    <row r="555">
      <c r="B555" s="41"/>
      <c r="C555" s="41"/>
    </row>
    <row r="556">
      <c r="B556" s="41"/>
      <c r="C556" s="41"/>
    </row>
    <row r="557">
      <c r="B557" s="41"/>
      <c r="C557" s="41"/>
    </row>
    <row r="558">
      <c r="B558" s="41"/>
      <c r="C558" s="41"/>
    </row>
    <row r="559">
      <c r="B559" s="41"/>
      <c r="C559" s="41"/>
    </row>
    <row r="560">
      <c r="B560" s="41"/>
      <c r="C560" s="41"/>
    </row>
    <row r="561">
      <c r="B561" s="41"/>
      <c r="C561" s="41"/>
    </row>
    <row r="562">
      <c r="B562" s="41"/>
      <c r="C562" s="41"/>
    </row>
    <row r="563">
      <c r="B563" s="41"/>
      <c r="C563" s="41"/>
    </row>
    <row r="564">
      <c r="B564" s="41"/>
      <c r="C564" s="41"/>
    </row>
    <row r="565">
      <c r="B565" s="41"/>
      <c r="C565" s="41"/>
    </row>
    <row r="566">
      <c r="B566" s="41"/>
      <c r="C566" s="41"/>
    </row>
    <row r="567">
      <c r="B567" s="41"/>
      <c r="C567" s="41"/>
    </row>
    <row r="568">
      <c r="B568" s="41"/>
      <c r="C568" s="41"/>
    </row>
    <row r="569">
      <c r="B569" s="41"/>
      <c r="C569" s="41"/>
    </row>
    <row r="570">
      <c r="B570" s="41"/>
      <c r="C570" s="41"/>
    </row>
    <row r="571">
      <c r="B571" s="41"/>
      <c r="C571" s="41"/>
    </row>
    <row r="572">
      <c r="B572" s="41"/>
      <c r="C572" s="41"/>
    </row>
    <row r="573">
      <c r="B573" s="41"/>
      <c r="C573" s="41"/>
    </row>
    <row r="574">
      <c r="B574" s="41"/>
      <c r="C574" s="41"/>
    </row>
    <row r="575">
      <c r="B575" s="41"/>
      <c r="C575" s="41"/>
    </row>
    <row r="576">
      <c r="B576" s="41"/>
      <c r="C576" s="41"/>
    </row>
    <row r="577">
      <c r="B577" s="41"/>
      <c r="C577" s="41"/>
    </row>
    <row r="578">
      <c r="B578" s="41"/>
      <c r="C578" s="41"/>
    </row>
    <row r="579">
      <c r="B579" s="41"/>
      <c r="C579" s="41"/>
    </row>
    <row r="580">
      <c r="B580" s="41"/>
      <c r="C580" s="41"/>
    </row>
    <row r="581">
      <c r="B581" s="41"/>
      <c r="C581" s="41"/>
    </row>
    <row r="582">
      <c r="B582" s="41"/>
      <c r="C582" s="41"/>
    </row>
    <row r="583">
      <c r="B583" s="41"/>
      <c r="C583" s="41"/>
    </row>
    <row r="584">
      <c r="B584" s="41"/>
      <c r="C584" s="41"/>
    </row>
    <row r="585">
      <c r="B585" s="41"/>
      <c r="C585" s="41"/>
    </row>
    <row r="586">
      <c r="B586" s="41"/>
      <c r="C586" s="41"/>
    </row>
    <row r="587">
      <c r="B587" s="41"/>
      <c r="C587" s="41"/>
    </row>
    <row r="588">
      <c r="B588" s="41"/>
      <c r="C588" s="41"/>
    </row>
    <row r="589">
      <c r="B589" s="41"/>
      <c r="C589" s="41"/>
    </row>
    <row r="590">
      <c r="B590" s="41"/>
      <c r="C590" s="41"/>
    </row>
    <row r="591">
      <c r="B591" s="41"/>
      <c r="C591" s="41"/>
    </row>
    <row r="592">
      <c r="B592" s="41"/>
      <c r="C592" s="41"/>
    </row>
    <row r="593">
      <c r="B593" s="41"/>
      <c r="C593" s="41"/>
    </row>
    <row r="594">
      <c r="B594" s="41"/>
      <c r="C594" s="41"/>
    </row>
    <row r="595">
      <c r="B595" s="41"/>
      <c r="C595" s="41"/>
    </row>
    <row r="596">
      <c r="B596" s="41"/>
      <c r="C596" s="41"/>
    </row>
    <row r="597">
      <c r="B597" s="41"/>
      <c r="C597" s="41"/>
    </row>
    <row r="598">
      <c r="B598" s="41"/>
      <c r="C598" s="41"/>
    </row>
    <row r="599">
      <c r="B599" s="41"/>
      <c r="C599" s="41"/>
    </row>
    <row r="600">
      <c r="B600" s="41"/>
      <c r="C600" s="41"/>
    </row>
    <row r="601">
      <c r="B601" s="41"/>
      <c r="C601" s="41"/>
    </row>
    <row r="602">
      <c r="B602" s="41"/>
      <c r="C602" s="41"/>
    </row>
    <row r="603">
      <c r="B603" s="41"/>
      <c r="C603" s="41"/>
    </row>
    <row r="604">
      <c r="B604" s="41"/>
      <c r="C604" s="41"/>
    </row>
    <row r="605">
      <c r="B605" s="41"/>
      <c r="C605" s="41"/>
    </row>
    <row r="606">
      <c r="B606" s="41"/>
      <c r="C606" s="41"/>
    </row>
    <row r="607">
      <c r="B607" s="41"/>
      <c r="C607" s="41"/>
    </row>
    <row r="608">
      <c r="B608" s="41"/>
      <c r="C608" s="41"/>
    </row>
    <row r="609">
      <c r="B609" s="41"/>
      <c r="C609" s="41"/>
    </row>
    <row r="610">
      <c r="B610" s="41"/>
      <c r="C610" s="41"/>
    </row>
    <row r="611">
      <c r="B611" s="41"/>
      <c r="C611" s="41"/>
    </row>
    <row r="612">
      <c r="B612" s="41"/>
      <c r="C612" s="41"/>
    </row>
    <row r="613">
      <c r="B613" s="41"/>
      <c r="C613" s="41"/>
    </row>
    <row r="614">
      <c r="B614" s="41"/>
      <c r="C614" s="41"/>
    </row>
    <row r="615">
      <c r="B615" s="41"/>
      <c r="C615" s="41"/>
    </row>
    <row r="616">
      <c r="B616" s="41"/>
      <c r="C616" s="41"/>
    </row>
    <row r="617">
      <c r="B617" s="41"/>
      <c r="C617" s="41"/>
    </row>
    <row r="618">
      <c r="B618" s="41"/>
      <c r="C618" s="41"/>
    </row>
    <row r="619">
      <c r="B619" s="41"/>
      <c r="C619" s="41"/>
    </row>
    <row r="620">
      <c r="B620" s="41"/>
      <c r="C620" s="41"/>
    </row>
    <row r="621">
      <c r="B621" s="41"/>
      <c r="C621" s="41"/>
    </row>
    <row r="622">
      <c r="B622" s="41"/>
      <c r="C622" s="41"/>
    </row>
    <row r="623">
      <c r="B623" s="41"/>
      <c r="C623" s="41"/>
    </row>
    <row r="624">
      <c r="B624" s="41"/>
      <c r="C624" s="41"/>
    </row>
    <row r="625">
      <c r="B625" s="41"/>
      <c r="C625" s="41"/>
    </row>
    <row r="626">
      <c r="B626" s="41"/>
      <c r="C626" s="41"/>
    </row>
    <row r="627">
      <c r="B627" s="41"/>
      <c r="C627" s="41"/>
    </row>
    <row r="628">
      <c r="B628" s="41"/>
      <c r="C628" s="41"/>
    </row>
    <row r="629">
      <c r="B629" s="41"/>
      <c r="C629" s="41"/>
    </row>
    <row r="630">
      <c r="B630" s="41"/>
      <c r="C630" s="41"/>
    </row>
    <row r="631">
      <c r="B631" s="41"/>
      <c r="C631" s="41"/>
    </row>
    <row r="632">
      <c r="B632" s="41"/>
      <c r="C632" s="41"/>
    </row>
    <row r="633">
      <c r="B633" s="41"/>
      <c r="C633" s="41"/>
    </row>
    <row r="634">
      <c r="B634" s="41"/>
      <c r="C634" s="41"/>
    </row>
    <row r="635">
      <c r="B635" s="41"/>
      <c r="C635" s="41"/>
    </row>
    <row r="636">
      <c r="B636" s="41"/>
      <c r="C636" s="41"/>
    </row>
    <row r="637">
      <c r="B637" s="41"/>
      <c r="C637" s="41"/>
    </row>
    <row r="638">
      <c r="B638" s="41"/>
      <c r="C638" s="41"/>
    </row>
    <row r="639">
      <c r="B639" s="41"/>
      <c r="C639" s="41"/>
    </row>
    <row r="640">
      <c r="B640" s="41"/>
      <c r="C640" s="41"/>
    </row>
    <row r="641">
      <c r="B641" s="41"/>
      <c r="C641" s="41"/>
    </row>
    <row r="642">
      <c r="B642" s="41"/>
      <c r="C642" s="41"/>
    </row>
    <row r="643">
      <c r="B643" s="41"/>
      <c r="C643" s="41"/>
    </row>
    <row r="644">
      <c r="B644" s="41"/>
      <c r="C644" s="41"/>
    </row>
    <row r="645">
      <c r="B645" s="41"/>
      <c r="C645" s="41"/>
    </row>
    <row r="646">
      <c r="B646" s="41"/>
      <c r="C646" s="41"/>
    </row>
    <row r="647">
      <c r="B647" s="41"/>
      <c r="C647" s="41"/>
    </row>
    <row r="648">
      <c r="B648" s="41"/>
      <c r="C648" s="41"/>
    </row>
    <row r="649">
      <c r="B649" s="41"/>
      <c r="C649" s="41"/>
    </row>
    <row r="650">
      <c r="B650" s="41"/>
      <c r="C650" s="41"/>
    </row>
    <row r="651">
      <c r="B651" s="41"/>
      <c r="C651" s="41"/>
    </row>
    <row r="652">
      <c r="B652" s="41"/>
      <c r="C652" s="41"/>
    </row>
    <row r="653">
      <c r="B653" s="41"/>
      <c r="C653" s="41"/>
    </row>
    <row r="654">
      <c r="B654" s="41"/>
      <c r="C654" s="41"/>
    </row>
    <row r="655">
      <c r="B655" s="41"/>
      <c r="C655" s="41"/>
    </row>
    <row r="656">
      <c r="B656" s="41"/>
      <c r="C656" s="41"/>
    </row>
    <row r="657">
      <c r="B657" s="41"/>
      <c r="C657" s="41"/>
    </row>
    <row r="658">
      <c r="B658" s="41"/>
      <c r="C658" s="41"/>
    </row>
    <row r="659">
      <c r="B659" s="41"/>
      <c r="C659" s="41"/>
    </row>
    <row r="660">
      <c r="B660" s="41"/>
      <c r="C660" s="41"/>
    </row>
    <row r="661">
      <c r="B661" s="41"/>
      <c r="C661" s="41"/>
    </row>
    <row r="662">
      <c r="B662" s="41"/>
      <c r="C662" s="41"/>
    </row>
    <row r="663">
      <c r="B663" s="41"/>
      <c r="C663" s="41"/>
    </row>
    <row r="664">
      <c r="B664" s="41"/>
      <c r="C664" s="41"/>
    </row>
    <row r="665">
      <c r="B665" s="41"/>
      <c r="C665" s="41"/>
    </row>
    <row r="666">
      <c r="B666" s="41"/>
      <c r="C666" s="41"/>
    </row>
    <row r="667">
      <c r="B667" s="41"/>
      <c r="C667" s="41"/>
    </row>
    <row r="668">
      <c r="B668" s="41"/>
      <c r="C668" s="41"/>
    </row>
    <row r="669">
      <c r="B669" s="41"/>
      <c r="C669" s="41"/>
    </row>
    <row r="670">
      <c r="B670" s="41"/>
      <c r="C670" s="41"/>
    </row>
    <row r="671">
      <c r="B671" s="41"/>
      <c r="C671" s="41"/>
    </row>
    <row r="672">
      <c r="B672" s="41"/>
      <c r="C672" s="41"/>
    </row>
    <row r="673">
      <c r="B673" s="41"/>
      <c r="C673" s="41"/>
    </row>
    <row r="674">
      <c r="B674" s="41"/>
      <c r="C674" s="41"/>
    </row>
    <row r="675">
      <c r="B675" s="41"/>
      <c r="C675" s="41"/>
    </row>
    <row r="676">
      <c r="B676" s="41"/>
      <c r="C676" s="41"/>
    </row>
    <row r="677">
      <c r="B677" s="41"/>
      <c r="C677" s="41"/>
    </row>
    <row r="678">
      <c r="B678" s="41"/>
      <c r="C678" s="41"/>
    </row>
    <row r="679">
      <c r="B679" s="41"/>
      <c r="C679" s="41"/>
    </row>
    <row r="680">
      <c r="B680" s="41"/>
      <c r="C680" s="41"/>
    </row>
    <row r="681">
      <c r="B681" s="41"/>
      <c r="C681" s="41"/>
    </row>
    <row r="682">
      <c r="B682" s="41"/>
      <c r="C682" s="41"/>
    </row>
    <row r="683">
      <c r="B683" s="41"/>
      <c r="C683" s="41"/>
    </row>
    <row r="684">
      <c r="B684" s="41"/>
      <c r="C684" s="41"/>
    </row>
    <row r="685">
      <c r="B685" s="41"/>
      <c r="C685" s="41"/>
    </row>
    <row r="686">
      <c r="B686" s="41"/>
      <c r="C686" s="41"/>
    </row>
    <row r="687">
      <c r="B687" s="41"/>
      <c r="C687" s="41"/>
    </row>
    <row r="688">
      <c r="B688" s="41"/>
      <c r="C688" s="41"/>
    </row>
    <row r="689">
      <c r="B689" s="41"/>
      <c r="C689" s="41"/>
    </row>
    <row r="690">
      <c r="B690" s="41"/>
      <c r="C690" s="41"/>
    </row>
    <row r="691">
      <c r="B691" s="41"/>
      <c r="C691" s="41"/>
    </row>
    <row r="692">
      <c r="B692" s="41"/>
      <c r="C692" s="41"/>
    </row>
    <row r="693">
      <c r="B693" s="41"/>
      <c r="C693" s="41"/>
    </row>
    <row r="694">
      <c r="B694" s="41"/>
      <c r="C694" s="41"/>
    </row>
    <row r="695">
      <c r="B695" s="41"/>
      <c r="C695" s="41"/>
    </row>
    <row r="696">
      <c r="B696" s="41"/>
      <c r="C696" s="41"/>
    </row>
    <row r="697">
      <c r="B697" s="41"/>
      <c r="C697" s="41"/>
    </row>
    <row r="698">
      <c r="B698" s="41"/>
      <c r="C698" s="41"/>
    </row>
    <row r="699">
      <c r="B699" s="41"/>
      <c r="C699" s="41"/>
    </row>
    <row r="700">
      <c r="B700" s="41"/>
      <c r="C700" s="41"/>
    </row>
    <row r="701">
      <c r="B701" s="41"/>
      <c r="C701" s="41"/>
    </row>
    <row r="702">
      <c r="B702" s="41"/>
      <c r="C702" s="41"/>
    </row>
    <row r="703">
      <c r="B703" s="41"/>
      <c r="C703" s="41"/>
    </row>
    <row r="704">
      <c r="B704" s="41"/>
      <c r="C704" s="41"/>
    </row>
    <row r="705">
      <c r="B705" s="41"/>
      <c r="C705" s="41"/>
    </row>
    <row r="706">
      <c r="B706" s="41"/>
      <c r="C706" s="41"/>
    </row>
    <row r="707">
      <c r="B707" s="41"/>
      <c r="C707" s="41"/>
    </row>
    <row r="708">
      <c r="B708" s="41"/>
      <c r="C708" s="41"/>
    </row>
    <row r="709">
      <c r="B709" s="41"/>
      <c r="C709" s="41"/>
    </row>
    <row r="710">
      <c r="B710" s="41"/>
      <c r="C710" s="41"/>
    </row>
    <row r="711">
      <c r="B711" s="41"/>
      <c r="C711" s="41"/>
    </row>
    <row r="712">
      <c r="B712" s="41"/>
      <c r="C712" s="41"/>
    </row>
    <row r="713">
      <c r="B713" s="41"/>
      <c r="C713" s="41"/>
    </row>
    <row r="714">
      <c r="B714" s="41"/>
      <c r="C714" s="41"/>
    </row>
    <row r="715">
      <c r="B715" s="41"/>
      <c r="C715" s="41"/>
    </row>
    <row r="716">
      <c r="B716" s="41"/>
      <c r="C716" s="41"/>
    </row>
    <row r="717">
      <c r="B717" s="41"/>
      <c r="C717" s="41"/>
    </row>
    <row r="718">
      <c r="B718" s="41"/>
      <c r="C718" s="41"/>
    </row>
    <row r="719">
      <c r="B719" s="41"/>
      <c r="C719" s="41"/>
    </row>
    <row r="720">
      <c r="B720" s="41"/>
      <c r="C720" s="41"/>
    </row>
    <row r="721">
      <c r="B721" s="41"/>
      <c r="C721" s="41"/>
    </row>
    <row r="722">
      <c r="B722" s="41"/>
      <c r="C722" s="41"/>
    </row>
    <row r="723">
      <c r="B723" s="41"/>
      <c r="C723" s="41"/>
    </row>
    <row r="724">
      <c r="B724" s="41"/>
      <c r="C724" s="41"/>
    </row>
    <row r="725">
      <c r="B725" s="41"/>
      <c r="C725" s="41"/>
    </row>
    <row r="726">
      <c r="B726" s="41"/>
      <c r="C726" s="41"/>
    </row>
    <row r="727">
      <c r="B727" s="41"/>
      <c r="C727" s="41"/>
    </row>
    <row r="728">
      <c r="B728" s="41"/>
      <c r="C728" s="41"/>
    </row>
    <row r="729">
      <c r="B729" s="41"/>
      <c r="C729" s="41"/>
    </row>
    <row r="730">
      <c r="B730" s="41"/>
      <c r="C730" s="41"/>
    </row>
    <row r="731">
      <c r="B731" s="41"/>
      <c r="C731" s="41"/>
    </row>
    <row r="732">
      <c r="B732" s="41"/>
      <c r="C732" s="41"/>
    </row>
    <row r="733">
      <c r="B733" s="41"/>
      <c r="C733" s="41"/>
    </row>
    <row r="734">
      <c r="B734" s="41"/>
      <c r="C734" s="41"/>
    </row>
    <row r="735">
      <c r="B735" s="41"/>
      <c r="C735" s="41"/>
    </row>
    <row r="736">
      <c r="B736" s="41"/>
      <c r="C736" s="41"/>
    </row>
    <row r="737">
      <c r="B737" s="41"/>
      <c r="C737" s="41"/>
    </row>
    <row r="738">
      <c r="B738" s="41"/>
      <c r="C738" s="41"/>
    </row>
    <row r="739">
      <c r="B739" s="41"/>
      <c r="C739" s="41"/>
    </row>
    <row r="740">
      <c r="B740" s="41"/>
      <c r="C740" s="41"/>
    </row>
    <row r="741">
      <c r="B741" s="41"/>
      <c r="C741" s="41"/>
    </row>
    <row r="742">
      <c r="B742" s="41"/>
      <c r="C742" s="41"/>
    </row>
    <row r="743">
      <c r="B743" s="41"/>
      <c r="C743" s="41"/>
    </row>
    <row r="744">
      <c r="B744" s="41"/>
      <c r="C744" s="41"/>
    </row>
    <row r="745">
      <c r="B745" s="41"/>
      <c r="C745" s="41"/>
    </row>
    <row r="746">
      <c r="B746" s="41"/>
      <c r="C746" s="41"/>
    </row>
    <row r="747">
      <c r="B747" s="41"/>
      <c r="C747" s="41"/>
    </row>
    <row r="748">
      <c r="B748" s="41"/>
      <c r="C748" s="41"/>
    </row>
    <row r="749">
      <c r="B749" s="41"/>
      <c r="C749" s="41"/>
    </row>
    <row r="750">
      <c r="B750" s="41"/>
      <c r="C750" s="41"/>
    </row>
    <row r="751">
      <c r="B751" s="41"/>
      <c r="C751" s="41"/>
    </row>
    <row r="752">
      <c r="B752" s="41"/>
      <c r="C752" s="41"/>
    </row>
    <row r="753">
      <c r="B753" s="41"/>
      <c r="C753" s="41"/>
    </row>
    <row r="754">
      <c r="B754" s="41"/>
      <c r="C754" s="41"/>
    </row>
    <row r="755">
      <c r="B755" s="41"/>
      <c r="C755" s="41"/>
    </row>
    <row r="756">
      <c r="B756" s="41"/>
      <c r="C756" s="41"/>
    </row>
    <row r="757">
      <c r="B757" s="41"/>
      <c r="C757" s="41"/>
    </row>
    <row r="758">
      <c r="B758" s="41"/>
      <c r="C758" s="41"/>
    </row>
    <row r="759">
      <c r="B759" s="41"/>
      <c r="C759" s="41"/>
    </row>
    <row r="760">
      <c r="B760" s="41"/>
      <c r="C760" s="41"/>
    </row>
    <row r="761">
      <c r="B761" s="41"/>
      <c r="C761" s="41"/>
    </row>
    <row r="762">
      <c r="B762" s="41"/>
      <c r="C762" s="41"/>
    </row>
    <row r="763">
      <c r="B763" s="41"/>
      <c r="C763" s="41"/>
    </row>
    <row r="764">
      <c r="B764" s="41"/>
      <c r="C764" s="41"/>
    </row>
    <row r="765">
      <c r="B765" s="41"/>
      <c r="C765" s="41"/>
    </row>
    <row r="766">
      <c r="B766" s="41"/>
      <c r="C766" s="41"/>
    </row>
    <row r="767">
      <c r="B767" s="41"/>
      <c r="C767" s="41"/>
    </row>
    <row r="768">
      <c r="B768" s="41"/>
      <c r="C768" s="41"/>
    </row>
    <row r="769">
      <c r="B769" s="41"/>
      <c r="C769" s="41"/>
    </row>
    <row r="770">
      <c r="B770" s="41"/>
      <c r="C770" s="41"/>
    </row>
    <row r="771">
      <c r="B771" s="41"/>
      <c r="C771" s="41"/>
    </row>
    <row r="772">
      <c r="B772" s="41"/>
      <c r="C772" s="41"/>
    </row>
    <row r="773">
      <c r="B773" s="41"/>
      <c r="C773" s="41"/>
    </row>
    <row r="774">
      <c r="B774" s="41"/>
      <c r="C774" s="41"/>
    </row>
    <row r="775">
      <c r="B775" s="41"/>
      <c r="C775" s="41"/>
    </row>
    <row r="776">
      <c r="B776" s="41"/>
      <c r="C776" s="41"/>
    </row>
    <row r="777">
      <c r="B777" s="41"/>
      <c r="C777" s="41"/>
    </row>
    <row r="778">
      <c r="B778" s="41"/>
      <c r="C778" s="41"/>
    </row>
    <row r="779">
      <c r="B779" s="41"/>
      <c r="C779" s="41"/>
    </row>
    <row r="780">
      <c r="B780" s="41"/>
      <c r="C780" s="41"/>
    </row>
    <row r="781">
      <c r="B781" s="41"/>
      <c r="C781" s="41"/>
    </row>
    <row r="782">
      <c r="B782" s="41"/>
      <c r="C782" s="41"/>
    </row>
    <row r="783">
      <c r="B783" s="41"/>
      <c r="C783" s="41"/>
    </row>
    <row r="784">
      <c r="B784" s="41"/>
      <c r="C784" s="41"/>
    </row>
    <row r="785">
      <c r="B785" s="41"/>
      <c r="C785" s="41"/>
    </row>
    <row r="786">
      <c r="B786" s="41"/>
      <c r="C786" s="41"/>
    </row>
    <row r="787">
      <c r="B787" s="41"/>
      <c r="C787" s="41"/>
    </row>
    <row r="788">
      <c r="B788" s="41"/>
      <c r="C788" s="41"/>
    </row>
    <row r="789">
      <c r="B789" s="41"/>
      <c r="C789" s="41"/>
    </row>
    <row r="790">
      <c r="B790" s="41"/>
      <c r="C790" s="41"/>
    </row>
    <row r="791">
      <c r="B791" s="41"/>
      <c r="C791" s="41"/>
    </row>
    <row r="792">
      <c r="B792" s="41"/>
      <c r="C792" s="41"/>
    </row>
    <row r="793">
      <c r="B793" s="41"/>
      <c r="C793" s="41"/>
    </row>
    <row r="794">
      <c r="B794" s="41"/>
      <c r="C794" s="41"/>
    </row>
    <row r="795">
      <c r="B795" s="41"/>
      <c r="C795" s="41"/>
    </row>
    <row r="796">
      <c r="B796" s="41"/>
      <c r="C796" s="41"/>
    </row>
    <row r="797">
      <c r="B797" s="41"/>
      <c r="C797" s="41"/>
    </row>
    <row r="798">
      <c r="B798" s="41"/>
      <c r="C798" s="41"/>
    </row>
    <row r="799">
      <c r="B799" s="41"/>
      <c r="C799" s="41"/>
    </row>
    <row r="800">
      <c r="B800" s="41"/>
      <c r="C800" s="41"/>
    </row>
    <row r="801">
      <c r="B801" s="41"/>
      <c r="C801" s="41"/>
    </row>
    <row r="802">
      <c r="B802" s="41"/>
      <c r="C802" s="41"/>
    </row>
    <row r="803">
      <c r="B803" s="41"/>
      <c r="C803" s="41"/>
    </row>
    <row r="804">
      <c r="B804" s="41"/>
      <c r="C804" s="41"/>
    </row>
    <row r="805">
      <c r="B805" s="41"/>
      <c r="C805" s="41"/>
    </row>
    <row r="806">
      <c r="B806" s="41"/>
      <c r="C806" s="41"/>
    </row>
    <row r="807">
      <c r="B807" s="41"/>
      <c r="C807" s="41"/>
    </row>
    <row r="808">
      <c r="B808" s="41"/>
      <c r="C808" s="41"/>
    </row>
    <row r="809">
      <c r="B809" s="41"/>
      <c r="C809" s="41"/>
    </row>
    <row r="810">
      <c r="B810" s="41"/>
      <c r="C810" s="41"/>
    </row>
    <row r="811">
      <c r="B811" s="41"/>
      <c r="C811" s="41"/>
    </row>
    <row r="812">
      <c r="B812" s="41"/>
      <c r="C812" s="41"/>
    </row>
    <row r="813">
      <c r="B813" s="41"/>
      <c r="C813" s="41"/>
    </row>
    <row r="814">
      <c r="B814" s="41"/>
      <c r="C814" s="41"/>
    </row>
    <row r="815">
      <c r="B815" s="41"/>
      <c r="C815" s="41"/>
    </row>
    <row r="816">
      <c r="B816" s="41"/>
      <c r="C816" s="41"/>
    </row>
    <row r="817">
      <c r="B817" s="41"/>
      <c r="C817" s="41"/>
    </row>
    <row r="818">
      <c r="B818" s="41"/>
      <c r="C818" s="41"/>
    </row>
    <row r="819">
      <c r="B819" s="41"/>
      <c r="C819" s="41"/>
    </row>
    <row r="820">
      <c r="B820" s="41"/>
      <c r="C820" s="41"/>
    </row>
    <row r="821">
      <c r="B821" s="41"/>
      <c r="C821" s="41"/>
    </row>
    <row r="822">
      <c r="B822" s="41"/>
      <c r="C822" s="41"/>
    </row>
    <row r="823">
      <c r="B823" s="41"/>
      <c r="C823" s="41"/>
    </row>
    <row r="824">
      <c r="B824" s="41"/>
      <c r="C824" s="41"/>
    </row>
    <row r="825">
      <c r="B825" s="41"/>
      <c r="C825" s="41"/>
    </row>
    <row r="826">
      <c r="B826" s="41"/>
      <c r="C826" s="41"/>
    </row>
    <row r="827">
      <c r="B827" s="41"/>
      <c r="C827" s="41"/>
    </row>
    <row r="828">
      <c r="B828" s="41"/>
      <c r="C828" s="41"/>
    </row>
    <row r="829">
      <c r="B829" s="41"/>
      <c r="C829" s="41"/>
    </row>
    <row r="830">
      <c r="B830" s="41"/>
      <c r="C830" s="41"/>
    </row>
    <row r="831">
      <c r="B831" s="41"/>
      <c r="C831" s="41"/>
    </row>
    <row r="832">
      <c r="B832" s="41"/>
      <c r="C832" s="41"/>
    </row>
    <row r="833">
      <c r="B833" s="41"/>
      <c r="C833" s="41"/>
    </row>
    <row r="834">
      <c r="B834" s="41"/>
      <c r="C834" s="41"/>
    </row>
    <row r="835">
      <c r="B835" s="41"/>
      <c r="C835" s="41"/>
    </row>
    <row r="836">
      <c r="B836" s="41"/>
      <c r="C836" s="41"/>
    </row>
    <row r="837">
      <c r="B837" s="41"/>
      <c r="C837" s="41"/>
    </row>
    <row r="838">
      <c r="B838" s="41"/>
      <c r="C838" s="41"/>
    </row>
    <row r="839">
      <c r="B839" s="41"/>
      <c r="C839" s="41"/>
    </row>
    <row r="840">
      <c r="B840" s="41"/>
      <c r="C840" s="41"/>
    </row>
    <row r="841">
      <c r="B841" s="41"/>
      <c r="C841" s="41"/>
    </row>
    <row r="842">
      <c r="B842" s="41"/>
      <c r="C842" s="41"/>
    </row>
    <row r="843">
      <c r="B843" s="41"/>
      <c r="C843" s="41"/>
    </row>
    <row r="844">
      <c r="B844" s="41"/>
      <c r="C844" s="41"/>
    </row>
    <row r="845">
      <c r="B845" s="41"/>
      <c r="C845" s="41"/>
    </row>
    <row r="846">
      <c r="B846" s="41"/>
      <c r="C846" s="41"/>
    </row>
    <row r="847">
      <c r="B847" s="41"/>
      <c r="C847" s="41"/>
    </row>
    <row r="848">
      <c r="B848" s="41"/>
      <c r="C848" s="41"/>
    </row>
    <row r="849">
      <c r="B849" s="41"/>
      <c r="C849" s="41"/>
    </row>
    <row r="850">
      <c r="B850" s="41"/>
      <c r="C850" s="41"/>
    </row>
    <row r="851">
      <c r="B851" s="41"/>
      <c r="C851" s="41"/>
    </row>
    <row r="852">
      <c r="B852" s="41"/>
      <c r="C852" s="41"/>
    </row>
    <row r="853">
      <c r="B853" s="41"/>
      <c r="C853" s="41"/>
    </row>
    <row r="854">
      <c r="B854" s="41"/>
      <c r="C854" s="41"/>
    </row>
    <row r="855">
      <c r="B855" s="41"/>
      <c r="C855" s="41"/>
    </row>
    <row r="856">
      <c r="B856" s="41"/>
      <c r="C856" s="41"/>
    </row>
    <row r="857">
      <c r="B857" s="41"/>
      <c r="C857" s="41"/>
    </row>
    <row r="858">
      <c r="B858" s="41"/>
      <c r="C858" s="41"/>
    </row>
    <row r="859">
      <c r="B859" s="41"/>
      <c r="C859" s="41"/>
    </row>
    <row r="860">
      <c r="B860" s="41"/>
      <c r="C860" s="41"/>
    </row>
    <row r="861">
      <c r="B861" s="41"/>
      <c r="C861" s="41"/>
    </row>
    <row r="862">
      <c r="B862" s="41"/>
      <c r="C862" s="41"/>
    </row>
    <row r="863">
      <c r="B863" s="41"/>
      <c r="C863" s="41"/>
    </row>
    <row r="864">
      <c r="B864" s="41"/>
      <c r="C864" s="41"/>
    </row>
    <row r="865">
      <c r="B865" s="41"/>
      <c r="C865" s="41"/>
    </row>
    <row r="866">
      <c r="B866" s="41"/>
      <c r="C866" s="41"/>
    </row>
    <row r="867">
      <c r="B867" s="41"/>
      <c r="C867" s="41"/>
    </row>
    <row r="868">
      <c r="B868" s="41"/>
      <c r="C868" s="41"/>
    </row>
    <row r="869">
      <c r="B869" s="41"/>
      <c r="C869" s="41"/>
    </row>
    <row r="870">
      <c r="B870" s="41"/>
      <c r="C870" s="41"/>
    </row>
    <row r="871">
      <c r="B871" s="41"/>
      <c r="C871" s="41"/>
    </row>
    <row r="872">
      <c r="B872" s="41"/>
      <c r="C872" s="41"/>
    </row>
    <row r="873">
      <c r="B873" s="41"/>
      <c r="C873" s="41"/>
    </row>
    <row r="874">
      <c r="B874" s="41"/>
      <c r="C874" s="41"/>
    </row>
    <row r="875">
      <c r="B875" s="41"/>
      <c r="C875" s="41"/>
    </row>
    <row r="876">
      <c r="B876" s="41"/>
      <c r="C876" s="41"/>
    </row>
    <row r="877">
      <c r="B877" s="41"/>
      <c r="C877" s="41"/>
    </row>
    <row r="878">
      <c r="B878" s="41"/>
      <c r="C878" s="41"/>
    </row>
    <row r="879">
      <c r="B879" s="41"/>
      <c r="C879" s="41"/>
    </row>
    <row r="880">
      <c r="B880" s="41"/>
      <c r="C880" s="41"/>
    </row>
    <row r="881">
      <c r="B881" s="41"/>
      <c r="C881" s="41"/>
    </row>
    <row r="882">
      <c r="B882" s="41"/>
      <c r="C882" s="41"/>
    </row>
    <row r="883">
      <c r="B883" s="41"/>
      <c r="C883" s="41"/>
    </row>
    <row r="884">
      <c r="B884" s="41"/>
      <c r="C884" s="41"/>
    </row>
    <row r="885">
      <c r="B885" s="41"/>
      <c r="C885" s="41"/>
    </row>
    <row r="886">
      <c r="B886" s="41"/>
      <c r="C886" s="41"/>
    </row>
    <row r="887">
      <c r="B887" s="41"/>
      <c r="C887" s="41"/>
    </row>
    <row r="888">
      <c r="B888" s="41"/>
      <c r="C888" s="41"/>
    </row>
    <row r="889">
      <c r="B889" s="41"/>
      <c r="C889" s="41"/>
    </row>
    <row r="890">
      <c r="B890" s="41"/>
      <c r="C890" s="41"/>
    </row>
    <row r="891">
      <c r="B891" s="41"/>
      <c r="C891" s="41"/>
    </row>
    <row r="892">
      <c r="B892" s="41"/>
      <c r="C892" s="41"/>
    </row>
    <row r="893">
      <c r="B893" s="41"/>
      <c r="C893" s="41"/>
    </row>
    <row r="894">
      <c r="B894" s="41"/>
      <c r="C894" s="41"/>
    </row>
    <row r="895">
      <c r="B895" s="41"/>
      <c r="C895" s="41"/>
    </row>
    <row r="896">
      <c r="B896" s="41"/>
      <c r="C896" s="41"/>
    </row>
    <row r="897">
      <c r="B897" s="41"/>
      <c r="C897" s="41"/>
    </row>
    <row r="898">
      <c r="B898" s="41"/>
      <c r="C898" s="41"/>
    </row>
    <row r="899">
      <c r="B899" s="41"/>
      <c r="C899" s="41"/>
    </row>
    <row r="900">
      <c r="B900" s="41"/>
      <c r="C900" s="41"/>
    </row>
    <row r="901">
      <c r="B901" s="41"/>
      <c r="C901" s="41"/>
    </row>
    <row r="902">
      <c r="B902" s="41"/>
      <c r="C902" s="41"/>
    </row>
    <row r="903">
      <c r="B903" s="41"/>
      <c r="C903" s="41"/>
    </row>
    <row r="904">
      <c r="B904" s="41"/>
      <c r="C904" s="41"/>
    </row>
    <row r="905">
      <c r="B905" s="41"/>
      <c r="C905" s="41"/>
    </row>
    <row r="906">
      <c r="B906" s="41"/>
      <c r="C906" s="41"/>
    </row>
    <row r="907">
      <c r="B907" s="41"/>
      <c r="C907" s="41"/>
    </row>
    <row r="908">
      <c r="B908" s="41"/>
      <c r="C908" s="41"/>
    </row>
    <row r="909">
      <c r="B909" s="41"/>
      <c r="C909" s="41"/>
    </row>
    <row r="910">
      <c r="B910" s="41"/>
      <c r="C910" s="41"/>
    </row>
    <row r="911">
      <c r="B911" s="41"/>
      <c r="C911" s="41"/>
    </row>
    <row r="912">
      <c r="B912" s="41"/>
      <c r="C912" s="41"/>
    </row>
    <row r="913">
      <c r="B913" s="41"/>
      <c r="C913" s="41"/>
    </row>
    <row r="914">
      <c r="B914" s="41"/>
      <c r="C914" s="41"/>
    </row>
    <row r="915">
      <c r="B915" s="41"/>
      <c r="C915" s="41"/>
    </row>
    <row r="916">
      <c r="B916" s="41"/>
      <c r="C916" s="41"/>
    </row>
    <row r="917">
      <c r="B917" s="41"/>
      <c r="C917" s="41"/>
    </row>
    <row r="918">
      <c r="B918" s="41"/>
      <c r="C918" s="41"/>
    </row>
    <row r="919">
      <c r="B919" s="41"/>
      <c r="C919" s="41"/>
    </row>
    <row r="920">
      <c r="B920" s="41"/>
      <c r="C920" s="41"/>
    </row>
    <row r="921">
      <c r="B921" s="41"/>
      <c r="C921" s="41"/>
    </row>
    <row r="922">
      <c r="B922" s="41"/>
      <c r="C922" s="41"/>
    </row>
    <row r="923">
      <c r="B923" s="41"/>
      <c r="C923" s="41"/>
    </row>
    <row r="924">
      <c r="B924" s="41"/>
      <c r="C924" s="41"/>
    </row>
    <row r="925">
      <c r="B925" s="41"/>
      <c r="C925" s="41"/>
    </row>
    <row r="926">
      <c r="B926" s="41"/>
      <c r="C926" s="41"/>
    </row>
    <row r="927">
      <c r="B927" s="41"/>
      <c r="C927" s="41"/>
    </row>
    <row r="928">
      <c r="B928" s="41"/>
      <c r="C928" s="41"/>
    </row>
    <row r="929">
      <c r="B929" s="41"/>
      <c r="C929" s="41"/>
    </row>
    <row r="930">
      <c r="B930" s="41"/>
      <c r="C930" s="41"/>
    </row>
    <row r="931">
      <c r="B931" s="41"/>
      <c r="C931" s="41"/>
    </row>
    <row r="932">
      <c r="B932" s="41"/>
      <c r="C932" s="41"/>
    </row>
    <row r="933">
      <c r="B933" s="41"/>
      <c r="C933" s="41"/>
    </row>
    <row r="934">
      <c r="B934" s="41"/>
      <c r="C934" s="41"/>
    </row>
    <row r="935">
      <c r="B935" s="41"/>
      <c r="C935" s="41"/>
    </row>
    <row r="936">
      <c r="B936" s="41"/>
      <c r="C936" s="41"/>
    </row>
    <row r="937">
      <c r="B937" s="41"/>
      <c r="C937" s="41"/>
    </row>
    <row r="938">
      <c r="B938" s="41"/>
      <c r="C938" s="41"/>
    </row>
    <row r="939">
      <c r="B939" s="41"/>
      <c r="C939" s="41"/>
    </row>
    <row r="940">
      <c r="B940" s="41"/>
      <c r="C940" s="41"/>
    </row>
    <row r="941">
      <c r="B941" s="41"/>
      <c r="C941" s="41"/>
    </row>
    <row r="942">
      <c r="B942" s="41"/>
      <c r="C942" s="41"/>
    </row>
    <row r="943">
      <c r="B943" s="41"/>
      <c r="C943" s="41"/>
    </row>
    <row r="944">
      <c r="B944" s="41"/>
      <c r="C944" s="41"/>
    </row>
    <row r="945">
      <c r="B945" s="41"/>
      <c r="C945" s="41"/>
    </row>
    <row r="946">
      <c r="B946" s="41"/>
      <c r="C946" s="41"/>
    </row>
    <row r="947">
      <c r="B947" s="41"/>
      <c r="C947" s="41"/>
    </row>
    <row r="948">
      <c r="B948" s="41"/>
      <c r="C948" s="41"/>
    </row>
    <row r="949">
      <c r="B949" s="41"/>
      <c r="C949" s="41"/>
    </row>
    <row r="950">
      <c r="B950" s="41"/>
      <c r="C950" s="41"/>
    </row>
    <row r="951">
      <c r="B951" s="41"/>
      <c r="C951" s="41"/>
    </row>
    <row r="952">
      <c r="B952" s="41"/>
      <c r="C952" s="41"/>
    </row>
    <row r="953">
      <c r="B953" s="41"/>
      <c r="C953" s="41"/>
    </row>
    <row r="954">
      <c r="B954" s="41"/>
      <c r="C954" s="41"/>
    </row>
    <row r="955">
      <c r="B955" s="41"/>
      <c r="C955" s="41"/>
    </row>
    <row r="956">
      <c r="B956" s="41"/>
      <c r="C956" s="41"/>
    </row>
    <row r="957">
      <c r="B957" s="41"/>
      <c r="C957" s="41"/>
    </row>
    <row r="958">
      <c r="B958" s="41"/>
      <c r="C958" s="41"/>
    </row>
    <row r="959">
      <c r="B959" s="41"/>
      <c r="C959" s="41"/>
    </row>
    <row r="960">
      <c r="B960" s="41"/>
      <c r="C960" s="41"/>
    </row>
    <row r="961">
      <c r="B961" s="41"/>
      <c r="C961" s="41"/>
    </row>
    <row r="962">
      <c r="B962" s="41"/>
      <c r="C962" s="41"/>
    </row>
    <row r="963">
      <c r="B963" s="41"/>
      <c r="C963" s="41"/>
    </row>
    <row r="964">
      <c r="B964" s="41"/>
      <c r="C964" s="41"/>
    </row>
    <row r="965">
      <c r="B965" s="41"/>
      <c r="C965" s="41"/>
    </row>
    <row r="966">
      <c r="B966" s="41"/>
      <c r="C966" s="41"/>
    </row>
    <row r="967">
      <c r="B967" s="41"/>
      <c r="C967" s="41"/>
    </row>
    <row r="968">
      <c r="B968" s="41"/>
      <c r="C968" s="41"/>
    </row>
    <row r="969">
      <c r="B969" s="41"/>
      <c r="C969" s="41"/>
    </row>
    <row r="970">
      <c r="B970" s="41"/>
      <c r="C970" s="41"/>
    </row>
    <row r="971">
      <c r="B971" s="41"/>
      <c r="C971" s="41"/>
    </row>
    <row r="972">
      <c r="B972" s="41"/>
      <c r="C972" s="41"/>
    </row>
    <row r="973">
      <c r="B973" s="41"/>
      <c r="C973" s="41"/>
    </row>
    <row r="974">
      <c r="B974" s="41"/>
      <c r="C974" s="41"/>
    </row>
    <row r="975">
      <c r="B975" s="41"/>
      <c r="C975" s="41"/>
    </row>
    <row r="976">
      <c r="B976" s="41"/>
      <c r="C976" s="41"/>
    </row>
    <row r="977">
      <c r="B977" s="41"/>
      <c r="C977" s="41"/>
    </row>
    <row r="978">
      <c r="B978" s="41"/>
      <c r="C978" s="41"/>
    </row>
    <row r="979">
      <c r="B979" s="41"/>
      <c r="C979" s="41"/>
    </row>
    <row r="980">
      <c r="B980" s="41"/>
      <c r="C980" s="41"/>
    </row>
    <row r="981">
      <c r="B981" s="41"/>
      <c r="C981" s="41"/>
    </row>
    <row r="982">
      <c r="B982" s="41"/>
      <c r="C982" s="41"/>
    </row>
    <row r="983">
      <c r="B983" s="41"/>
      <c r="C983" s="41"/>
    </row>
    <row r="984">
      <c r="B984" s="41"/>
      <c r="C984" s="41"/>
    </row>
    <row r="985">
      <c r="B985" s="41"/>
      <c r="C985" s="41"/>
    </row>
    <row r="986">
      <c r="B986" s="41"/>
      <c r="C986" s="41"/>
    </row>
    <row r="987">
      <c r="B987" s="41"/>
      <c r="C987" s="41"/>
    </row>
    <row r="988">
      <c r="B988" s="41"/>
      <c r="C988" s="41"/>
    </row>
    <row r="989">
      <c r="B989" s="41"/>
      <c r="C989" s="41"/>
    </row>
    <row r="990">
      <c r="B990" s="41"/>
      <c r="C990" s="41"/>
    </row>
    <row r="991">
      <c r="B991" s="41"/>
      <c r="C991" s="41"/>
    </row>
    <row r="992">
      <c r="B992" s="41"/>
      <c r="C992" s="41"/>
    </row>
    <row r="993">
      <c r="B993" s="41"/>
      <c r="C993" s="41"/>
    </row>
    <row r="994">
      <c r="B994" s="41"/>
      <c r="C994" s="41"/>
    </row>
    <row r="995">
      <c r="B995" s="41"/>
      <c r="C995" s="41"/>
    </row>
    <row r="996">
      <c r="B996" s="41"/>
      <c r="C996" s="41"/>
    </row>
    <row r="997">
      <c r="B997" s="41"/>
      <c r="C997" s="41"/>
    </row>
    <row r="998">
      <c r="B998" s="41"/>
      <c r="C998" s="41"/>
    </row>
    <row r="999">
      <c r="B999" s="41"/>
      <c r="C999" s="41"/>
    </row>
    <row r="1000">
      <c r="B1000" s="41"/>
      <c r="C1000" s="41"/>
    </row>
    <row r="1001">
      <c r="B1001" s="41"/>
      <c r="C1001" s="41"/>
    </row>
  </sheetData>
  <drawing r:id="rId1"/>
</worksheet>
</file>