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July 2022" sheetId="2" r:id="rId5"/>
    <sheet state="visible" name="July Stats" sheetId="3" r:id="rId6"/>
    <sheet state="visible" name="August 2022" sheetId="4" r:id="rId7"/>
    <sheet state="visible" name="August Stats" sheetId="5" r:id="rId8"/>
    <sheet state="visible" name="September 2022" sheetId="6" r:id="rId9"/>
    <sheet state="visible" name="September Stats" sheetId="7" r:id="rId10"/>
    <sheet state="visible" name="October 2022" sheetId="8" r:id="rId11"/>
    <sheet state="visible" name="October Stats" sheetId="9" r:id="rId12"/>
    <sheet state="visible" name="November 2022" sheetId="10" r:id="rId13"/>
    <sheet state="visible" name="November Stats" sheetId="11" r:id="rId14"/>
    <sheet state="visible" name="December 2022" sheetId="12" r:id="rId15"/>
    <sheet state="visible" name="December Stats" sheetId="13" r:id="rId16"/>
  </sheets>
  <definedNames>
    <definedName hidden="1" localSheetId="1" name="_xlnm._FilterDatabase">'July 2022'!$A$1:$P$8</definedName>
    <definedName hidden="1" localSheetId="3" name="_xlnm._FilterDatabase">'August 2022'!$A$1:$R$24</definedName>
    <definedName hidden="1" localSheetId="5" name="_xlnm._FilterDatabase">'September 2022'!$A$1:$R$22</definedName>
    <definedName hidden="1" localSheetId="7" name="_xlnm._FilterDatabase">'October 2022'!$A$1:$R$21</definedName>
    <definedName hidden="1" localSheetId="9" name="_xlnm._FilterDatabase">'November 2022'!$A$1:$R$21</definedName>
    <definedName hidden="1" localSheetId="11" name="_xlnm._FilterDatabase">'December 2022'!$A$1:$R$18</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O2">
      <text>
        <t xml:space="preserve">Contribution to tagged card supply.</t>
      </text>
    </comment>
    <comment authorId="0" ref="L3">
      <text>
        <t xml:space="preserve">75 device stands shipped.</t>
      </text>
    </comment>
    <comment authorId="0" ref="L8">
      <text>
        <t xml:space="preserve">Due to stand return</t>
      </text>
    </comment>
    <comment authorId="0" ref="B14">
      <text>
        <t xml:space="preserve">100 devices were shipped to Stefanini Michigan</t>
      </text>
    </comment>
    <comment authorId="0" ref="B19">
      <text>
        <t xml:space="preserve">Amount raised before Stefanini Michigan shipments</t>
      </text>
    </comment>
    <comment authorId="0" ref="A20">
      <text>
        <t xml:space="preserve">All device counts finalized at that day.</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J21">
      <text>
        <t xml:space="preserve">100 cases purchased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F6">
      <text>
        <t xml:space="preserve">221 new devices were shipped to 214 Sullivan St.</t>
      </text>
    </comment>
    <comment authorId="0" ref="C7">
      <text>
        <t xml:space="preserve">Massive drop due to shipment to Stefanini Michigan and then, to Brazil CONNEX Depot for the Boehringer trial.</t>
      </text>
    </comment>
    <comment authorId="0" ref="L14">
      <text>
        <t xml:space="preserve">100 device stands shipped.</t>
      </text>
    </comment>
    <comment authorId="0" ref="C21">
      <text>
        <t xml:space="preserve">50 Samsung S8 devices were prepared for Stefanini shipment.</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P2">
      <text>
        <t xml:space="preserve">1000 Hyperwallet cards were shipped to 214 Sullivan</t>
      </text>
    </comment>
    <comment authorId="0" ref="M18">
      <text>
        <t xml:space="preserve">87 additional stands were shipped</t>
      </text>
    </comment>
    <comment authorId="0" ref="K20">
      <text>
        <t xml:space="preserve">14 cases were shipped, following the supply restock</t>
      </text>
    </comment>
    <comment authorId="0" ref="K21">
      <text>
        <t xml:space="preserve">Additional cases were shipped to 214 Sullivan St</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can fluctuate at any moment due to high counts and possible technical issues.</t>
      </text>
    </comment>
    <comment authorId="0" ref="C1">
      <text>
        <t xml:space="preserve">Amount can fluctuate at any moment due to possible technical issues.</t>
      </text>
    </comment>
    <comment authorId="0" ref="D1">
      <text>
        <t xml:space="preserve">Amount can fluctuate at any moment due to high counts and possible technical issues.</t>
      </text>
    </comment>
    <comment authorId="0" ref="F1">
      <text>
        <t xml:space="preserve">Amount can fluctuate at any moment due to high counts and possible technical issues.</t>
      </text>
    </comment>
    <comment authorId="0" ref="H1">
      <text>
        <t xml:space="preserve">Amount can fluctuate at any moment due to high counts and possible technical issues.</t>
      </text>
    </comment>
    <comment authorId="0" ref="F15">
      <text>
        <t xml:space="preserve">122 Samsung S8 devices were included in the unprovisioned batch from Stefanini</t>
      </text>
    </comment>
  </commentList>
</comments>
</file>

<file path=xl/sharedStrings.xml><?xml version="1.0" encoding="utf-8"?>
<sst xmlns="http://schemas.openxmlformats.org/spreadsheetml/2006/main" count="238" uniqueCount="49">
  <si>
    <t>Inventory Analytics Introduction</t>
  </si>
  <si>
    <t>Since July 18, 2022, there were new changes made in provisioning operations. To ensure maximized efficiency and minimized costs, this compilation was created to keep track of all physical counts. Those counts are taken based on both Zendesk tickets and inventory reports during business days at 214 Sullivan St (NY). Additional parameters are included for each supply to reduce critical errors and bias. As of August 1, 2022, analytics focuses primarily on main supply.
For greater pictures of the inventory, additional mathematical methods are implemented to the analysis.
For this introduction, legends and notes are included. Please take a moment to read those as they contain essential information and explanations to understanding the whole analytics. Information continues by scrolling down in this batch.</t>
  </si>
  <si>
    <t>Inventory Definitions</t>
  </si>
  <si>
    <t>Provisioned Devices</t>
  </si>
  <si>
    <t>Quality-verified devices whose configurations fulfill all provisioning guidelines.</t>
  </si>
  <si>
    <t>New Devices Not Provisioned</t>
  </si>
  <si>
    <t>Devices purchased or used but not provisioned.</t>
  </si>
  <si>
    <t>Returned Devices</t>
  </si>
  <si>
    <t>Devices, following the returns and recalls from external sites; do not necessarily guarantee fully provisioned</t>
  </si>
  <si>
    <t>Remarks &amp; Patterns</t>
  </si>
  <si>
    <t>Provisioned v.s. QC</t>
  </si>
  <si>
    <t>Even though "QC" and "provisioned" both show devices are fully functional, those terms are not wholly equivalent. "QC" ensures client satisfaction when devices are in use, whereas "provisioned" refers to steps successfully followed in the rulebook.</t>
  </si>
  <si>
    <t>With the assumption of current platforms, the count of provisioned devices can increase when either the count of returned devices or the count of new devices decreases. When those devices are verified to be well-provisioned, this bumps up the number of provisioned devices. When there are no device issues or no new count bumps, the total number of devices will remain the same.</t>
  </si>
  <si>
    <t>Tagged Hyperwallet Cards</t>
  </si>
  <si>
    <t>Card counts behave like device counts in the similar manner. The tagged card count will increase when the untagged card count decreases. The total card count will always be about the same when there are no card issues or new count bumps.</t>
  </si>
  <si>
    <t>Supply Injectivity</t>
  </si>
  <si>
    <t>In majority of cases, supply will always follow 1-to-1 case. For instance, for shipments of 1 device, we will need 1 USB-C cord, 1 adapter and 1 pouch. However, there are instances, where there will be a particular type of supply more than another. Counts fluctuate throughout the provisioning operations as they are based on return tickets, restocks and solved tickets.</t>
  </si>
  <si>
    <t>Business Days</t>
  </si>
  <si>
    <t>Provisioned S8 Devices w/cases</t>
  </si>
  <si>
    <t>Provisioned S8 Devices w/o cases</t>
  </si>
  <si>
    <t>Total Count of S8 Provisioned Devices</t>
  </si>
  <si>
    <t>Change</t>
  </si>
  <si>
    <t>Returned S8 Devices (Idle)</t>
  </si>
  <si>
    <t>Total Count of S8 Devices</t>
  </si>
  <si>
    <t>Unused S8-Compatible Cases</t>
  </si>
  <si>
    <t>Untagged Hyperwallet Cards</t>
  </si>
  <si>
    <t>Total Count of Hyperwallet Cards</t>
  </si>
  <si>
    <t>July 2022 Inventory Statistics</t>
  </si>
  <si>
    <t>Parameters</t>
  </si>
  <si>
    <t>Initial</t>
  </si>
  <si>
    <t>Final</t>
  </si>
  <si>
    <t>Calculated Mean</t>
  </si>
  <si>
    <t>Standard Deviation</t>
  </si>
  <si>
    <t>Regression Slope (Linear)</t>
  </si>
  <si>
    <t>Provisioned S8 Devices w/Cases**</t>
  </si>
  <si>
    <t>Provisioned S8 Devices w/o Cases**</t>
  </si>
  <si>
    <t>Total Count of S8 Provisioned Devices**</t>
  </si>
  <si>
    <t>New Devices Not Provisioned**</t>
  </si>
  <si>
    <t>Returned S8 Devices (To be checked)</t>
  </si>
  <si>
    <t>Total Count of S8 Devices**</t>
  </si>
  <si>
    <t>Boxed Device Stands</t>
  </si>
  <si>
    <t>August 2022 Inventory Statistics</t>
  </si>
  <si>
    <t>Provisioned S8 Devices w/Cases</t>
  </si>
  <si>
    <t>Provisioned S8 Devices w/o Cases</t>
  </si>
  <si>
    <t>a</t>
  </si>
  <si>
    <t>September 2022 Inventory Statistics</t>
  </si>
  <si>
    <t>October 2022 Inventory Statistics</t>
  </si>
  <si>
    <t>November 2022 Inventory Statistics</t>
  </si>
  <si>
    <t>December 2022 Inventory Statistics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</si>
</sst>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quot; &quot;d&quot;, &quot;yyyy"/>
    <numFmt numFmtId="165" formatCode="[Blue]▲ +0; [Red]▼ -0; ±0"/>
    <numFmt numFmtId="166" formatCode="m-d-yyyy"/>
  </numFmts>
  <fonts count="8">
    <font>
      <sz val="10.0"/>
      <color rgb="FF000000"/>
      <name val="Arial"/>
      <scheme val="minor"/>
    </font>
    <font>
      <b/>
      <sz val="18.0"/>
      <color theme="1"/>
      <name val="Arial"/>
      <scheme val="minor"/>
    </font>
    <font/>
    <font>
      <b/>
      <sz val="11.0"/>
      <color theme="1"/>
      <name val="Arial"/>
      <scheme val="minor"/>
    </font>
    <font>
      <b/>
      <sz val="12.0"/>
      <color theme="1"/>
      <name val="Arial"/>
      <scheme val="minor"/>
    </font>
    <font>
      <sz val="11.0"/>
      <color theme="1"/>
      <name val="Arial"/>
      <scheme val="minor"/>
    </font>
    <font>
      <b/>
      <color theme="1"/>
      <name val="Arial"/>
      <scheme val="minor"/>
    </font>
    <font>
      <color theme="1"/>
      <name val="Arial"/>
      <scheme val="minor"/>
    </font>
  </fonts>
  <fills count="11">
    <fill>
      <patternFill patternType="none"/>
    </fill>
    <fill>
      <patternFill patternType="lightGray"/>
    </fill>
    <fill>
      <patternFill patternType="solid">
        <fgColor rgb="FF00FFFF"/>
        <bgColor rgb="FF00FFFF"/>
      </patternFill>
    </fill>
    <fill>
      <patternFill patternType="solid">
        <fgColor rgb="FFFCE5CD"/>
        <bgColor rgb="FFFCE5CD"/>
      </patternFill>
    </fill>
    <fill>
      <patternFill patternType="solid">
        <fgColor rgb="FFFFFF00"/>
        <bgColor rgb="FFFFFF00"/>
      </patternFill>
    </fill>
    <fill>
      <patternFill patternType="solid">
        <fgColor rgb="FF43FF00"/>
        <bgColor rgb="FF43FF00"/>
      </patternFill>
    </fill>
    <fill>
      <patternFill patternType="solid">
        <fgColor rgb="FFEAD1DC"/>
        <bgColor rgb="FFEAD1DC"/>
      </patternFill>
    </fill>
    <fill>
      <patternFill patternType="solid">
        <fgColor rgb="FFFFFFFF"/>
        <bgColor rgb="FFFFFFFF"/>
      </patternFill>
    </fill>
    <fill>
      <patternFill patternType="solid">
        <fgColor theme="1"/>
        <bgColor theme="1"/>
      </patternFill>
    </fill>
    <fill>
      <patternFill patternType="solid">
        <fgColor rgb="FFFEF8E3"/>
        <bgColor rgb="FFFEF8E3"/>
      </patternFill>
    </fill>
    <fill>
      <patternFill patternType="solid">
        <fgColor rgb="FFFFF2CC"/>
        <bgColor rgb="FFFFF2C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left" readingOrder="0" shrinkToFit="0" vertical="center" wrapText="1"/>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 fillId="3" fontId="1" numFmtId="0" xfId="0" applyAlignment="1" applyBorder="1" applyFill="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5"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2" fillId="4" fontId="6" numFmtId="0" xfId="0" applyAlignment="1" applyBorder="1" applyFill="1" applyFont="1">
      <alignment horizontal="center" readingOrder="0" shrinkToFit="0" vertical="center" wrapText="1"/>
    </xf>
    <xf borderId="12" fillId="5" fontId="6" numFmtId="0" xfId="0" applyAlignment="1" applyBorder="1" applyFill="1" applyFont="1">
      <alignment horizontal="center" readingOrder="0" shrinkToFit="0" vertical="center" wrapText="1"/>
    </xf>
    <xf borderId="12" fillId="2" fontId="6" numFmtId="0" xfId="0" applyAlignment="1" applyBorder="1" applyFont="1">
      <alignment horizontal="center" readingOrder="0" shrinkToFit="0" vertical="center" wrapText="1"/>
    </xf>
    <xf borderId="12" fillId="6" fontId="6" numFmtId="0" xfId="0" applyAlignment="1" applyBorder="1" applyFill="1" applyFont="1">
      <alignment horizontal="center" readingOrder="0" shrinkToFit="0" vertical="center" wrapText="1"/>
    </xf>
    <xf borderId="12" fillId="7" fontId="6" numFmtId="164" xfId="0" applyAlignment="1" applyBorder="1" applyFill="1" applyFont="1" applyNumberFormat="1">
      <alignment horizontal="center" readingOrder="0" shrinkToFit="0" vertical="center" wrapText="1"/>
    </xf>
    <xf borderId="12" fillId="7" fontId="7" numFmtId="0" xfId="0" applyAlignment="1" applyBorder="1" applyFont="1">
      <alignment horizontal="center" readingOrder="0" shrinkToFit="0" vertical="center" wrapText="1"/>
    </xf>
    <xf borderId="12" fillId="7" fontId="7" numFmtId="0" xfId="0" applyAlignment="1" applyBorder="1" applyFont="1">
      <alignment horizontal="center" shrinkToFit="0" vertical="center" wrapText="1"/>
    </xf>
    <xf borderId="12" fillId="8" fontId="7" numFmtId="0" xfId="0" applyAlignment="1" applyBorder="1" applyFill="1" applyFont="1">
      <alignment horizontal="center" shrinkToFit="0" vertical="center" wrapText="1"/>
    </xf>
    <xf borderId="0" fillId="7" fontId="7" numFmtId="0" xfId="0" applyFont="1"/>
    <xf borderId="12" fillId="9" fontId="6" numFmtId="164" xfId="0" applyAlignment="1" applyBorder="1" applyFill="1" applyFont="1" applyNumberFormat="1">
      <alignment horizontal="center" readingOrder="0" shrinkToFit="0" vertical="center" wrapText="1"/>
    </xf>
    <xf borderId="12" fillId="9" fontId="7" numFmtId="0" xfId="0" applyAlignment="1" applyBorder="1" applyFont="1">
      <alignment horizontal="center" readingOrder="0" shrinkToFit="0" vertical="center" wrapText="1"/>
    </xf>
    <xf borderId="12" fillId="9" fontId="7" numFmtId="0" xfId="0" applyAlignment="1" applyBorder="1" applyFont="1">
      <alignment horizontal="center" shrinkToFit="0" vertical="center" wrapText="1"/>
    </xf>
    <xf borderId="12" fillId="9" fontId="7" numFmtId="165" xfId="0" applyAlignment="1" applyBorder="1" applyFont="1" applyNumberFormat="1">
      <alignment horizontal="center" shrinkToFit="0" vertical="center" wrapText="1"/>
    </xf>
    <xf borderId="12" fillId="9" fontId="7" numFmtId="165" xfId="0" applyAlignment="1" applyBorder="1" applyFont="1" applyNumberFormat="1">
      <alignment horizontal="center" shrinkToFit="0" vertical="center" wrapText="1"/>
    </xf>
    <xf borderId="12" fillId="7" fontId="7" numFmtId="165" xfId="0" applyAlignment="1" applyBorder="1" applyFont="1" applyNumberFormat="1">
      <alignment horizontal="center" shrinkToFit="0" vertical="center" wrapText="1"/>
    </xf>
    <xf borderId="12" fillId="7" fontId="7" numFmtId="165" xfId="0" applyAlignment="1" applyBorder="1" applyFont="1" applyNumberFormat="1">
      <alignment horizontal="center" readingOrder="0" shrinkToFit="0" vertical="center" wrapText="1"/>
    </xf>
    <xf borderId="12" fillId="7" fontId="7" numFmtId="165" xfId="0" applyAlignment="1" applyBorder="1" applyFont="1" applyNumberFormat="1">
      <alignment horizontal="center" shrinkToFit="0" vertical="center" wrapText="1"/>
    </xf>
    <xf borderId="0" fillId="0" fontId="7" numFmtId="0" xfId="0" applyAlignment="1" applyFont="1">
      <alignment horizontal="center" shrinkToFit="0" vertical="center" wrapText="1"/>
    </xf>
    <xf borderId="0" fillId="0" fontId="7" numFmtId="0" xfId="0" applyFont="1"/>
    <xf borderId="1" fillId="10" fontId="1" numFmtId="0" xfId="0" applyAlignment="1" applyBorder="1" applyFill="1" applyFont="1">
      <alignment horizontal="center" readingOrder="0" shrinkToFit="0" vertical="center" wrapText="1"/>
    </xf>
    <xf borderId="12" fillId="0" fontId="6" numFmtId="0" xfId="0" applyAlignment="1" applyBorder="1" applyFont="1">
      <alignment horizontal="center" readingOrder="0" shrinkToFit="0" vertical="center" wrapText="1"/>
    </xf>
    <xf borderId="12" fillId="0" fontId="7" numFmtId="0" xfId="0" applyAlignment="1" applyBorder="1" applyFont="1">
      <alignment horizontal="center" readingOrder="0" shrinkToFit="0" vertical="center" wrapText="1"/>
    </xf>
    <xf borderId="12" fillId="0" fontId="7" numFmtId="165" xfId="0" applyAlignment="1" applyBorder="1" applyFont="1" applyNumberFormat="1">
      <alignment horizontal="center" shrinkToFit="0" vertical="center" wrapText="1"/>
    </xf>
    <xf borderId="12" fillId="0" fontId="6" numFmtId="2" xfId="0" applyAlignment="1" applyBorder="1" applyFont="1" applyNumberFormat="1">
      <alignment horizontal="center" readingOrder="0" shrinkToFit="0" vertical="center" wrapText="1"/>
    </xf>
    <xf borderId="12" fillId="0" fontId="7" numFmtId="2" xfId="0" applyAlignment="1" applyBorder="1" applyFont="1" applyNumberFormat="1">
      <alignment horizontal="center" shrinkToFit="0" vertical="center" wrapText="1"/>
    </xf>
    <xf borderId="0" fillId="0" fontId="6" numFmtId="0" xfId="0" applyAlignment="1" applyFont="1">
      <alignment horizontal="center" shrinkToFit="0" vertical="center" wrapText="1"/>
    </xf>
    <xf borderId="12" fillId="7" fontId="6" numFmtId="164" xfId="0" applyAlignment="1" applyBorder="1" applyFont="1" applyNumberFormat="1">
      <alignment horizontal="center" readingOrder="0" vertical="center"/>
    </xf>
    <xf borderId="12" fillId="7" fontId="7" numFmtId="165" xfId="0" applyAlignment="1" applyBorder="1" applyFont="1" applyNumberFormat="1">
      <alignment horizontal="center" readingOrder="0" shrinkToFit="0" vertical="center" wrapText="1"/>
    </xf>
    <xf borderId="12" fillId="9" fontId="6" numFmtId="164" xfId="0" applyAlignment="1" applyBorder="1" applyFont="1" applyNumberFormat="1">
      <alignment horizontal="center" readingOrder="0" vertical="center"/>
    </xf>
    <xf borderId="0" fillId="4" fontId="6" numFmtId="0" xfId="0" applyAlignment="1" applyFont="1">
      <alignment horizontal="center" readingOrder="0" shrinkToFit="0" vertical="center" wrapText="1"/>
    </xf>
    <xf borderId="12" fillId="0" fontId="7" numFmtId="0" xfId="0" applyAlignment="1" applyBorder="1" applyFont="1">
      <alignment horizontal="center" shrinkToFit="0" vertical="center" wrapText="1"/>
    </xf>
    <xf borderId="12" fillId="0" fontId="7" numFmtId="4" xfId="0" applyAlignment="1" applyBorder="1" applyFont="1" applyNumberFormat="1">
      <alignment horizontal="center" shrinkToFit="0" vertical="center" wrapText="1"/>
    </xf>
    <xf borderId="12" fillId="7" fontId="6" numFmtId="164" xfId="0" applyAlignment="1" applyBorder="1" applyFont="1" applyNumberFormat="1">
      <alignment horizontal="center" readingOrder="0" shrinkToFit="0" vertical="center" wrapText="1"/>
    </xf>
    <xf borderId="0" fillId="7" fontId="7" numFmtId="0" xfId="0" applyAlignment="1" applyFont="1">
      <alignment horizontal="center" readingOrder="0"/>
    </xf>
    <xf borderId="12" fillId="9" fontId="6" numFmtId="164" xfId="0" applyAlignment="1" applyBorder="1" applyFont="1" applyNumberFormat="1">
      <alignment horizontal="center" readingOrder="0" shrinkToFit="0" vertical="center" wrapText="1"/>
    </xf>
    <xf borderId="0" fillId="0" fontId="7" numFmtId="166" xfId="0" applyAlignment="1" applyFont="1" applyNumberFormat="1">
      <alignment readingOrder="0"/>
    </xf>
    <xf borderId="12" fillId="9" fontId="7" numFmtId="165" xfId="0" applyAlignment="1" applyBorder="1" applyFont="1" applyNumberFormat="1">
      <alignment horizontal="center" readingOrder="0" shrinkToFit="0" vertical="center" wrapText="1"/>
    </xf>
    <xf borderId="0" fillId="0" fontId="7" numFmtId="166"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2.xml"/><Relationship Id="rId3"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ht="30.0" customHeight="1">
      <c r="B2" s="1" t="s">
        <v>0</v>
      </c>
      <c r="C2" s="2"/>
      <c r="D2" s="2"/>
      <c r="E2" s="2"/>
      <c r="F2" s="2"/>
      <c r="G2" s="2"/>
      <c r="H2" s="2"/>
      <c r="I2" s="2"/>
      <c r="J2" s="2"/>
      <c r="K2" s="3"/>
    </row>
    <row r="3">
      <c r="B3" s="4" t="s">
        <v>1</v>
      </c>
      <c r="C3" s="5"/>
      <c r="D3" s="5"/>
      <c r="E3" s="5"/>
      <c r="F3" s="5"/>
      <c r="G3" s="5"/>
      <c r="H3" s="5"/>
      <c r="I3" s="5"/>
      <c r="J3" s="5"/>
      <c r="K3" s="6"/>
    </row>
    <row r="4">
      <c r="B4" s="7"/>
      <c r="K4" s="8"/>
    </row>
    <row r="5">
      <c r="B5" s="7"/>
      <c r="K5" s="8"/>
    </row>
    <row r="6">
      <c r="B6" s="7"/>
      <c r="K6" s="8"/>
    </row>
    <row r="7">
      <c r="B7" s="7"/>
      <c r="K7" s="8"/>
    </row>
    <row r="8">
      <c r="B8" s="7"/>
      <c r="K8" s="8"/>
    </row>
    <row r="9">
      <c r="B9" s="7"/>
      <c r="K9" s="8"/>
    </row>
    <row r="10">
      <c r="B10" s="9"/>
      <c r="C10" s="10"/>
      <c r="D10" s="10"/>
      <c r="E10" s="10"/>
      <c r="F10" s="10"/>
      <c r="G10" s="10"/>
      <c r="H10" s="10"/>
      <c r="I10" s="10"/>
      <c r="J10" s="10"/>
      <c r="K10" s="11"/>
    </row>
    <row r="12" ht="30.0" customHeight="1">
      <c r="B12" s="12" t="s">
        <v>2</v>
      </c>
      <c r="C12" s="2"/>
      <c r="D12" s="2"/>
      <c r="E12" s="2"/>
      <c r="F12" s="2"/>
      <c r="G12" s="3"/>
    </row>
    <row r="13" ht="30.0" customHeight="1">
      <c r="B13" s="13" t="s">
        <v>3</v>
      </c>
      <c r="C13" s="3"/>
      <c r="D13" s="14" t="s">
        <v>4</v>
      </c>
      <c r="E13" s="2"/>
      <c r="F13" s="2"/>
      <c r="G13" s="3"/>
    </row>
    <row r="14" ht="30.0" customHeight="1">
      <c r="B14" s="13" t="s">
        <v>5</v>
      </c>
      <c r="C14" s="3"/>
      <c r="D14" s="14" t="s">
        <v>6</v>
      </c>
      <c r="E14" s="2"/>
      <c r="F14" s="2"/>
      <c r="G14" s="3"/>
    </row>
    <row r="15" ht="30.0" customHeight="1">
      <c r="B15" s="13" t="s">
        <v>7</v>
      </c>
      <c r="C15" s="3"/>
      <c r="D15" s="14" t="s">
        <v>8</v>
      </c>
      <c r="E15" s="2"/>
      <c r="F15" s="2"/>
      <c r="G15" s="3"/>
    </row>
    <row r="16" ht="30.0" customHeight="1">
      <c r="B16" s="12" t="s">
        <v>9</v>
      </c>
      <c r="C16" s="2"/>
      <c r="D16" s="2"/>
      <c r="E16" s="2"/>
      <c r="F16" s="2"/>
      <c r="G16" s="2"/>
      <c r="H16" s="2"/>
      <c r="I16" s="3"/>
    </row>
    <row r="17" ht="45.0" customHeight="1">
      <c r="B17" s="13" t="s">
        <v>10</v>
      </c>
      <c r="C17" s="3"/>
      <c r="D17" s="14" t="s">
        <v>11</v>
      </c>
      <c r="E17" s="2"/>
      <c r="F17" s="2"/>
      <c r="G17" s="2"/>
      <c r="H17" s="2"/>
      <c r="I17" s="3"/>
    </row>
    <row r="18" ht="75.0" customHeight="1">
      <c r="B18" s="13" t="s">
        <v>3</v>
      </c>
      <c r="C18" s="3"/>
      <c r="D18" s="14" t="s">
        <v>12</v>
      </c>
      <c r="E18" s="2"/>
      <c r="F18" s="2"/>
      <c r="G18" s="2"/>
      <c r="H18" s="2"/>
      <c r="I18" s="3"/>
    </row>
    <row r="19" ht="45.0" customHeight="1">
      <c r="B19" s="13" t="s">
        <v>13</v>
      </c>
      <c r="C19" s="3"/>
      <c r="D19" s="14" t="s">
        <v>14</v>
      </c>
      <c r="E19" s="2"/>
      <c r="F19" s="2"/>
      <c r="G19" s="2"/>
      <c r="H19" s="2"/>
      <c r="I19" s="3"/>
    </row>
    <row r="20" ht="75.0" customHeight="1">
      <c r="B20" s="13" t="s">
        <v>15</v>
      </c>
      <c r="C20" s="3"/>
      <c r="D20" s="15" t="s">
        <v>16</v>
      </c>
      <c r="E20" s="2"/>
      <c r="F20" s="2"/>
      <c r="G20" s="2"/>
      <c r="H20" s="2"/>
      <c r="I20" s="3"/>
    </row>
  </sheetData>
  <mergeCells count="18">
    <mergeCell ref="B2:K2"/>
    <mergeCell ref="B3:K10"/>
    <mergeCell ref="B12:G12"/>
    <mergeCell ref="B13:C13"/>
    <mergeCell ref="D13:G13"/>
    <mergeCell ref="B14:C14"/>
    <mergeCell ref="D14:G14"/>
    <mergeCell ref="B19:C19"/>
    <mergeCell ref="D19:I19"/>
    <mergeCell ref="B20:C20"/>
    <mergeCell ref="D20:I20"/>
    <mergeCell ref="B15:C15"/>
    <mergeCell ref="D15:G15"/>
    <mergeCell ref="B16:I16"/>
    <mergeCell ref="B17:C17"/>
    <mergeCell ref="D17:I17"/>
    <mergeCell ref="B18:C18"/>
    <mergeCell ref="D18:I1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4.75"/>
    <col customWidth="1" min="4" max="4" width="15.75"/>
  </cols>
  <sheetData>
    <row r="1" ht="37.5" customHeight="1">
      <c r="A1" s="16" t="s">
        <v>17</v>
      </c>
      <c r="B1" s="17" t="s">
        <v>18</v>
      </c>
      <c r="C1" s="17" t="s">
        <v>19</v>
      </c>
      <c r="D1" s="17" t="s">
        <v>20</v>
      </c>
      <c r="E1" s="17" t="s">
        <v>21</v>
      </c>
      <c r="F1" s="17" t="s">
        <v>5</v>
      </c>
      <c r="G1" s="17" t="s">
        <v>22</v>
      </c>
      <c r="H1" s="17" t="s">
        <v>23</v>
      </c>
      <c r="I1" s="17" t="s">
        <v>21</v>
      </c>
      <c r="J1" s="18" t="s">
        <v>24</v>
      </c>
      <c r="K1" s="18" t="s">
        <v>21</v>
      </c>
      <c r="L1" s="19" t="s">
        <v>13</v>
      </c>
      <c r="M1" s="19" t="s">
        <v>21</v>
      </c>
      <c r="N1" s="19" t="s">
        <v>25</v>
      </c>
      <c r="O1" s="19" t="s">
        <v>26</v>
      </c>
      <c r="P1" s="19" t="s">
        <v>21</v>
      </c>
    </row>
    <row r="2">
      <c r="A2" s="20">
        <v>44763.0</v>
      </c>
      <c r="B2" s="21">
        <v>124.0</v>
      </c>
      <c r="C2" s="21">
        <v>0.0</v>
      </c>
      <c r="D2" s="22">
        <f t="shared" ref="D2:D8" si="1">SUM(B2,C2)</f>
        <v>124</v>
      </c>
      <c r="E2" s="23"/>
      <c r="F2" s="21">
        <f>294+18</f>
        <v>312</v>
      </c>
      <c r="G2" s="21">
        <v>0.0</v>
      </c>
      <c r="H2" s="22">
        <f t="shared" ref="H2:H8" si="2">SUM(D2,F2,G2)</f>
        <v>436</v>
      </c>
      <c r="I2" s="23"/>
      <c r="J2" s="21">
        <v>5.0</v>
      </c>
      <c r="K2" s="23"/>
      <c r="L2" s="21">
        <v>140.0</v>
      </c>
      <c r="M2" s="23"/>
      <c r="N2" s="21">
        <v>930.0</v>
      </c>
      <c r="O2" s="22">
        <f t="shared" ref="O2:O8" si="3">SUM(L2,N2)</f>
        <v>1070</v>
      </c>
      <c r="P2" s="23"/>
      <c r="Q2" s="24"/>
      <c r="R2" s="24"/>
      <c r="S2" s="24"/>
      <c r="T2" s="24"/>
      <c r="U2" s="24"/>
      <c r="V2" s="24"/>
      <c r="W2" s="24"/>
      <c r="X2" s="24"/>
      <c r="Y2" s="24"/>
      <c r="Z2" s="24"/>
    </row>
    <row r="3">
      <c r="A3" s="25">
        <v>44764.0</v>
      </c>
      <c r="B3" s="26">
        <v>118.0</v>
      </c>
      <c r="C3" s="26">
        <v>16.0</v>
      </c>
      <c r="D3" s="27">
        <f t="shared" si="1"/>
        <v>134</v>
      </c>
      <c r="E3" s="28">
        <f t="shared" ref="E3:E8" si="4">D3-D2</f>
        <v>10</v>
      </c>
      <c r="F3" s="26">
        <f>278+16</f>
        <v>294</v>
      </c>
      <c r="G3" s="26">
        <v>24.0</v>
      </c>
      <c r="H3" s="27">
        <f t="shared" si="2"/>
        <v>452</v>
      </c>
      <c r="I3" s="29">
        <f t="shared" ref="I3:I8" si="5">H3-H2</f>
        <v>16</v>
      </c>
      <c r="J3" s="26">
        <v>0.0</v>
      </c>
      <c r="K3" s="28">
        <f t="shared" ref="K3:K8" si="6">J3-J2</f>
        <v>-5</v>
      </c>
      <c r="L3" s="26">
        <v>202.0</v>
      </c>
      <c r="M3" s="29">
        <f t="shared" ref="M3:M8" si="7">L3-L2</f>
        <v>62</v>
      </c>
      <c r="N3" s="26">
        <v>868.0</v>
      </c>
      <c r="O3" s="27">
        <f t="shared" si="3"/>
        <v>1070</v>
      </c>
      <c r="P3" s="28">
        <f t="shared" ref="P3:P8" si="8">O3-O2</f>
        <v>0</v>
      </c>
      <c r="Q3" s="24"/>
      <c r="R3" s="24"/>
      <c r="S3" s="24"/>
      <c r="T3" s="24"/>
      <c r="U3" s="24"/>
      <c r="V3" s="24"/>
      <c r="W3" s="24"/>
      <c r="X3" s="24"/>
      <c r="Y3" s="24"/>
      <c r="Z3" s="24"/>
    </row>
    <row r="4">
      <c r="A4" s="20">
        <v>44767.0</v>
      </c>
      <c r="B4" s="21">
        <v>111.0</v>
      </c>
      <c r="C4" s="21">
        <v>28.0</v>
      </c>
      <c r="D4" s="22">
        <f t="shared" si="1"/>
        <v>139</v>
      </c>
      <c r="E4" s="30">
        <f t="shared" si="4"/>
        <v>5</v>
      </c>
      <c r="F4" s="21">
        <f>254+24</f>
        <v>278</v>
      </c>
      <c r="G4" s="21">
        <v>32.0</v>
      </c>
      <c r="H4" s="22">
        <f t="shared" si="2"/>
        <v>449</v>
      </c>
      <c r="I4" s="31">
        <f t="shared" si="5"/>
        <v>-3</v>
      </c>
      <c r="J4" s="21">
        <v>0.0</v>
      </c>
      <c r="K4" s="30">
        <f t="shared" si="6"/>
        <v>0</v>
      </c>
      <c r="L4" s="21">
        <v>282.0</v>
      </c>
      <c r="M4" s="32">
        <f t="shared" si="7"/>
        <v>80</v>
      </c>
      <c r="N4" s="21">
        <f>118+530-346+1+480</f>
        <v>783</v>
      </c>
      <c r="O4" s="22">
        <f t="shared" si="3"/>
        <v>1065</v>
      </c>
      <c r="P4" s="30">
        <f t="shared" si="8"/>
        <v>-5</v>
      </c>
      <c r="Q4" s="24"/>
      <c r="R4" s="24"/>
      <c r="S4" s="24"/>
      <c r="T4" s="24"/>
      <c r="U4" s="24"/>
      <c r="V4" s="24"/>
      <c r="W4" s="24"/>
      <c r="X4" s="24"/>
      <c r="Y4" s="24"/>
      <c r="Z4" s="24"/>
    </row>
    <row r="5">
      <c r="A5" s="25">
        <v>44768.0</v>
      </c>
      <c r="B5" s="26">
        <v>170.0</v>
      </c>
      <c r="C5" s="26">
        <v>24.0</v>
      </c>
      <c r="D5" s="27">
        <f t="shared" si="1"/>
        <v>194</v>
      </c>
      <c r="E5" s="28">
        <f t="shared" si="4"/>
        <v>55</v>
      </c>
      <c r="F5" s="26">
        <f>247+7</f>
        <v>254</v>
      </c>
      <c r="G5" s="26">
        <v>0.0</v>
      </c>
      <c r="H5" s="27">
        <f t="shared" si="2"/>
        <v>448</v>
      </c>
      <c r="I5" s="29">
        <f t="shared" si="5"/>
        <v>-1</v>
      </c>
      <c r="J5" s="26">
        <v>169.0</v>
      </c>
      <c r="K5" s="28">
        <f t="shared" si="6"/>
        <v>169</v>
      </c>
      <c r="L5" s="26">
        <v>272.0</v>
      </c>
      <c r="M5" s="29">
        <f t="shared" si="7"/>
        <v>-10</v>
      </c>
      <c r="N5" s="26">
        <v>783.0</v>
      </c>
      <c r="O5" s="27">
        <f t="shared" si="3"/>
        <v>1055</v>
      </c>
      <c r="P5" s="28">
        <f t="shared" si="8"/>
        <v>-10</v>
      </c>
      <c r="Q5" s="24"/>
      <c r="R5" s="24"/>
      <c r="S5" s="24"/>
      <c r="T5" s="24"/>
      <c r="U5" s="24"/>
      <c r="V5" s="24"/>
      <c r="W5" s="24"/>
      <c r="X5" s="24"/>
      <c r="Y5" s="24"/>
      <c r="Z5" s="24"/>
    </row>
    <row r="6">
      <c r="A6" s="20">
        <v>44769.0</v>
      </c>
      <c r="B6" s="21">
        <v>195.0</v>
      </c>
      <c r="C6" s="21">
        <v>12.0</v>
      </c>
      <c r="D6" s="22">
        <f t="shared" si="1"/>
        <v>207</v>
      </c>
      <c r="E6" s="30">
        <f t="shared" si="4"/>
        <v>13</v>
      </c>
      <c r="F6" s="21">
        <f>219+28</f>
        <v>247</v>
      </c>
      <c r="G6" s="21">
        <v>13.0</v>
      </c>
      <c r="H6" s="22">
        <f t="shared" si="2"/>
        <v>467</v>
      </c>
      <c r="I6" s="32">
        <f t="shared" si="5"/>
        <v>19</v>
      </c>
      <c r="J6" s="21">
        <v>142.0</v>
      </c>
      <c r="K6" s="30">
        <f t="shared" si="6"/>
        <v>-27</v>
      </c>
      <c r="L6" s="21">
        <v>298.0</v>
      </c>
      <c r="M6" s="32">
        <f t="shared" si="7"/>
        <v>26</v>
      </c>
      <c r="N6" s="21">
        <v>718.0</v>
      </c>
      <c r="O6" s="22">
        <f t="shared" si="3"/>
        <v>1016</v>
      </c>
      <c r="P6" s="30">
        <f t="shared" si="8"/>
        <v>-39</v>
      </c>
      <c r="Q6" s="24"/>
      <c r="R6" s="24"/>
      <c r="S6" s="24"/>
      <c r="T6" s="24"/>
      <c r="U6" s="24"/>
      <c r="V6" s="24"/>
      <c r="W6" s="24"/>
      <c r="X6" s="24"/>
      <c r="Y6" s="24"/>
      <c r="Z6" s="24"/>
    </row>
    <row r="7">
      <c r="A7" s="25">
        <v>44770.0</v>
      </c>
      <c r="B7" s="27">
        <f>221+24</f>
        <v>245</v>
      </c>
      <c r="C7" s="26">
        <v>4.0</v>
      </c>
      <c r="D7" s="27">
        <f t="shared" si="1"/>
        <v>249</v>
      </c>
      <c r="E7" s="28">
        <f t="shared" si="4"/>
        <v>42</v>
      </c>
      <c r="F7" s="27">
        <f>195+24</f>
        <v>219</v>
      </c>
      <c r="G7" s="26">
        <v>10.0</v>
      </c>
      <c r="H7" s="27">
        <f t="shared" si="2"/>
        <v>478</v>
      </c>
      <c r="I7" s="29">
        <f t="shared" si="5"/>
        <v>11</v>
      </c>
      <c r="J7" s="26">
        <f>128-24</f>
        <v>104</v>
      </c>
      <c r="K7" s="28">
        <f t="shared" si="6"/>
        <v>-38</v>
      </c>
      <c r="L7" s="26">
        <v>348.0</v>
      </c>
      <c r="M7" s="29">
        <f t="shared" si="7"/>
        <v>50</v>
      </c>
      <c r="N7" s="26">
        <v>625.0</v>
      </c>
      <c r="O7" s="27">
        <f t="shared" si="3"/>
        <v>973</v>
      </c>
      <c r="P7" s="28">
        <f t="shared" si="8"/>
        <v>-43</v>
      </c>
      <c r="Q7" s="24"/>
      <c r="R7" s="24"/>
      <c r="S7" s="24"/>
      <c r="T7" s="24"/>
      <c r="U7" s="24"/>
      <c r="V7" s="24"/>
      <c r="W7" s="24"/>
      <c r="X7" s="24"/>
      <c r="Y7" s="24"/>
      <c r="Z7" s="24"/>
    </row>
    <row r="8">
      <c r="A8" s="20">
        <v>44771.0</v>
      </c>
      <c r="B8" s="22">
        <f>245+27</f>
        <v>272</v>
      </c>
      <c r="C8" s="21">
        <v>0.0</v>
      </c>
      <c r="D8" s="22">
        <f t="shared" si="1"/>
        <v>272</v>
      </c>
      <c r="E8" s="30">
        <f t="shared" si="4"/>
        <v>23</v>
      </c>
      <c r="F8" s="22">
        <f>155+40</f>
        <v>195</v>
      </c>
      <c r="G8" s="21">
        <v>17.0</v>
      </c>
      <c r="H8" s="22">
        <f t="shared" si="2"/>
        <v>484</v>
      </c>
      <c r="I8" s="32">
        <f t="shared" si="5"/>
        <v>6</v>
      </c>
      <c r="J8" s="21">
        <v>73.0</v>
      </c>
      <c r="K8" s="30">
        <f t="shared" si="6"/>
        <v>-31</v>
      </c>
      <c r="L8" s="21">
        <f>850-75</f>
        <v>775</v>
      </c>
      <c r="M8" s="32">
        <f t="shared" si="7"/>
        <v>427</v>
      </c>
      <c r="N8" s="21">
        <v>118.0</v>
      </c>
      <c r="O8" s="22">
        <f t="shared" si="3"/>
        <v>893</v>
      </c>
      <c r="P8" s="30">
        <f t="shared" si="8"/>
        <v>-80</v>
      </c>
      <c r="Q8" s="24"/>
      <c r="R8" s="24"/>
      <c r="S8" s="24"/>
      <c r="T8" s="24"/>
      <c r="U8" s="24"/>
      <c r="V8" s="24"/>
      <c r="W8" s="24"/>
      <c r="X8" s="24"/>
      <c r="Y8" s="24"/>
      <c r="Z8" s="24"/>
    </row>
    <row r="10" ht="30.0" customHeight="1"/>
    <row r="11" ht="45.0" customHeight="1">
      <c r="K11" s="33"/>
      <c r="L11" s="33"/>
      <c r="M11" s="33"/>
      <c r="N11" s="33"/>
      <c r="O11" s="33"/>
      <c r="P11" s="33"/>
      <c r="Q11" s="33"/>
      <c r="R11" s="33"/>
      <c r="S11" s="33"/>
      <c r="T11" s="33"/>
      <c r="U11" s="33"/>
      <c r="V11" s="33"/>
      <c r="W11" s="33"/>
      <c r="X11" s="33"/>
      <c r="Y11" s="33"/>
      <c r="Z11" s="33"/>
    </row>
    <row r="12" ht="30.0" customHeight="1"/>
    <row r="13" ht="30.0" customHeight="1"/>
    <row r="14" ht="30.0" customHeight="1"/>
    <row r="15" ht="30.0" customHeight="1"/>
    <row r="16" ht="30.0" customHeight="1"/>
    <row r="17" ht="30.0" customHeight="1"/>
    <row r="19">
      <c r="B19" s="34"/>
      <c r="C19" s="34"/>
      <c r="D19" s="34"/>
      <c r="E19" s="34"/>
      <c r="F19" s="34"/>
      <c r="G19" s="34"/>
    </row>
    <row r="20">
      <c r="B20" s="34"/>
      <c r="C20" s="34"/>
      <c r="D20" s="34"/>
      <c r="E20" s="34"/>
      <c r="F20" s="34"/>
      <c r="G20" s="34"/>
    </row>
    <row r="21">
      <c r="B21" s="34"/>
      <c r="C21" s="34"/>
      <c r="D21" s="34"/>
      <c r="E21" s="34"/>
      <c r="F21" s="34"/>
      <c r="G21" s="34"/>
    </row>
    <row r="22">
      <c r="B22" s="34"/>
      <c r="C22" s="34"/>
      <c r="D22" s="34"/>
      <c r="E22" s="34"/>
      <c r="F22" s="34"/>
      <c r="G22" s="34"/>
    </row>
    <row r="23">
      <c r="B23" s="34"/>
      <c r="C23" s="34"/>
      <c r="D23" s="34"/>
      <c r="E23" s="34"/>
      <c r="F23" s="34"/>
      <c r="G23" s="34"/>
    </row>
    <row r="24">
      <c r="B24" s="34"/>
      <c r="C24" s="34"/>
      <c r="D24" s="34"/>
      <c r="E24" s="34"/>
      <c r="F24" s="34"/>
      <c r="G24" s="34"/>
    </row>
    <row r="25">
      <c r="B25" s="34"/>
      <c r="C25" s="34"/>
      <c r="D25" s="34"/>
      <c r="E25" s="34"/>
      <c r="F25" s="34"/>
      <c r="G25" s="34"/>
    </row>
    <row r="26">
      <c r="B26" s="34"/>
      <c r="C26" s="34"/>
      <c r="D26" s="34"/>
      <c r="E26" s="34"/>
      <c r="F26" s="34"/>
      <c r="G26" s="34"/>
    </row>
    <row r="27">
      <c r="B27" s="34"/>
      <c r="C27" s="34"/>
      <c r="D27" s="34"/>
      <c r="E27" s="34"/>
      <c r="F27" s="34"/>
      <c r="G27" s="34"/>
    </row>
    <row r="28">
      <c r="B28" s="34"/>
      <c r="C28" s="34"/>
      <c r="D28" s="34"/>
      <c r="E28" s="34"/>
      <c r="F28" s="34"/>
      <c r="G28" s="34"/>
    </row>
  </sheetData>
  <autoFilter ref="$A$1:$P$8"/>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27</v>
      </c>
      <c r="B1" s="2"/>
      <c r="C1" s="2"/>
      <c r="D1" s="2"/>
      <c r="E1" s="2"/>
      <c r="F1" s="2"/>
      <c r="G1" s="2"/>
      <c r="H1" s="2"/>
      <c r="I1" s="2"/>
      <c r="J1" s="2"/>
      <c r="K1" s="3"/>
    </row>
    <row r="2">
      <c r="A2" s="16" t="s">
        <v>28</v>
      </c>
      <c r="B2" s="17" t="s">
        <v>18</v>
      </c>
      <c r="C2" s="17" t="s">
        <v>19</v>
      </c>
      <c r="D2" s="17" t="s">
        <v>20</v>
      </c>
      <c r="E2" s="17" t="s">
        <v>5</v>
      </c>
      <c r="F2" s="17" t="s">
        <v>22</v>
      </c>
      <c r="G2" s="17" t="s">
        <v>23</v>
      </c>
      <c r="H2" s="18" t="s">
        <v>24</v>
      </c>
      <c r="I2" s="19" t="s">
        <v>13</v>
      </c>
      <c r="J2" s="19" t="s">
        <v>25</v>
      </c>
      <c r="K2" s="19" t="s">
        <v>26</v>
      </c>
    </row>
    <row r="3">
      <c r="A3" s="36" t="s">
        <v>29</v>
      </c>
      <c r="B3" s="37">
        <v>124.0</v>
      </c>
      <c r="C3" s="37">
        <v>0.0</v>
      </c>
      <c r="D3" s="37">
        <v>124.0</v>
      </c>
      <c r="E3" s="37">
        <v>312.0</v>
      </c>
      <c r="F3" s="37">
        <v>0.0</v>
      </c>
      <c r="G3" s="37">
        <v>574.0</v>
      </c>
      <c r="H3" s="37">
        <v>5.0</v>
      </c>
      <c r="I3" s="37">
        <v>140.0</v>
      </c>
      <c r="J3" s="37">
        <v>930.0</v>
      </c>
      <c r="K3" s="37">
        <v>1070.0</v>
      </c>
    </row>
    <row r="4">
      <c r="A4" s="36" t="s">
        <v>30</v>
      </c>
      <c r="B4" s="37">
        <v>272.0</v>
      </c>
      <c r="C4" s="37">
        <v>0.0</v>
      </c>
      <c r="D4" s="37">
        <v>272.0</v>
      </c>
      <c r="E4" s="37">
        <v>195.0</v>
      </c>
      <c r="F4" s="37">
        <v>17.0</v>
      </c>
      <c r="G4" s="37">
        <v>622.0</v>
      </c>
      <c r="H4" s="37">
        <v>73.0</v>
      </c>
      <c r="I4" s="37">
        <v>850.0</v>
      </c>
      <c r="J4" s="37">
        <v>118.0</v>
      </c>
      <c r="K4" s="37">
        <v>968.0</v>
      </c>
    </row>
    <row r="5">
      <c r="A5" s="36" t="s">
        <v>21</v>
      </c>
      <c r="B5" s="38">
        <f t="shared" ref="B5:K5" si="1">B4-B3</f>
        <v>148</v>
      </c>
      <c r="C5" s="38">
        <f t="shared" si="1"/>
        <v>0</v>
      </c>
      <c r="D5" s="38">
        <f t="shared" si="1"/>
        <v>148</v>
      </c>
      <c r="E5" s="38">
        <f t="shared" si="1"/>
        <v>-117</v>
      </c>
      <c r="F5" s="38">
        <f t="shared" si="1"/>
        <v>17</v>
      </c>
      <c r="G5" s="38">
        <f t="shared" si="1"/>
        <v>48</v>
      </c>
      <c r="H5" s="38">
        <f t="shared" si="1"/>
        <v>68</v>
      </c>
      <c r="I5" s="38">
        <f t="shared" si="1"/>
        <v>710</v>
      </c>
      <c r="J5" s="38">
        <f t="shared" si="1"/>
        <v>-812</v>
      </c>
      <c r="K5" s="38">
        <f t="shared" si="1"/>
        <v>-102</v>
      </c>
    </row>
    <row r="6">
      <c r="A6" s="39" t="s">
        <v>31</v>
      </c>
      <c r="B6" s="40">
        <f>Average('July 2022'!B2:B8)</f>
        <v>176.4285714</v>
      </c>
      <c r="C6" s="40">
        <f>Average('July 2022'!C2:C8)</f>
        <v>12</v>
      </c>
      <c r="D6" s="40">
        <f>Average('July 2022'!D2:D8)</f>
        <v>188.4285714</v>
      </c>
      <c r="E6" s="40">
        <f>Average('July 2022'!F2:F8)</f>
        <v>257</v>
      </c>
      <c r="F6" s="40">
        <f>Average('July 2022'!G2:G8)</f>
        <v>13.71428571</v>
      </c>
      <c r="G6" s="40">
        <f>Average('July 2022'!H2:H8)</f>
        <v>459.1428571</v>
      </c>
      <c r="H6" s="40">
        <f>Average('July 2022'!J2:J8)</f>
        <v>70.42857143</v>
      </c>
      <c r="I6" s="40">
        <f>Average('July 2022'!L2:L8)</f>
        <v>331</v>
      </c>
      <c r="J6" s="40">
        <f>Average('July 2022'!N2:N8)</f>
        <v>689.2857143</v>
      </c>
      <c r="K6" s="40">
        <f>Average('July 2022'!O2:O8)</f>
        <v>1020.285714</v>
      </c>
    </row>
    <row r="7">
      <c r="A7" s="39" t="s">
        <v>32</v>
      </c>
      <c r="B7" s="40">
        <f>STDEV('July 2022'!B2:B8)</f>
        <v>64.11670906</v>
      </c>
      <c r="C7" s="40">
        <f>STdev('July 2022'!C2:C8)</f>
        <v>11.3137085</v>
      </c>
      <c r="D7" s="40">
        <f>STdev('July 2022'!D2:D8)</f>
        <v>58.5743321</v>
      </c>
      <c r="E7" s="40">
        <f>Stdev('July 2022'!F2:F8)</f>
        <v>41.29568178</v>
      </c>
      <c r="F7" s="40">
        <f>Stdev('July 2022'!G2:G8)</f>
        <v>11.84221665</v>
      </c>
      <c r="G7" s="40">
        <f>Stdev('July 2022'!H2:H8)</f>
        <v>17.55399832</v>
      </c>
      <c r="H7" s="40">
        <f>Stdev('July 2022'!J2:J8)</f>
        <v>70.91510686</v>
      </c>
      <c r="I7" s="40">
        <f>Stdev('July 2022'!L2:L8)</f>
        <v>207.1706221</v>
      </c>
      <c r="J7" s="40">
        <f>Stdev('July 2022'!N2:N8)</f>
        <v>270.4229492</v>
      </c>
      <c r="K7" s="40">
        <f>Stdev('July 2022'!O2:O8)</f>
        <v>66.58757213</v>
      </c>
    </row>
    <row r="8">
      <c r="A8" s="39" t="s">
        <v>33</v>
      </c>
      <c r="B8" s="40">
        <f>slope('July 2022'!B2:B8,'July 2022'!A2:A8)</f>
        <v>18.68617021</v>
      </c>
      <c r="C8" s="40">
        <f>slope('July 2022'!C2:C8,'July 2022'!A2:A8)</f>
        <v>-0.4468085106</v>
      </c>
      <c r="D8" s="40">
        <f>slope('July 2022'!D2:D8,'July 2022'!A2:A8)</f>
        <v>18.2393617</v>
      </c>
      <c r="E8" s="40">
        <f>slope('July 2022'!F2:F8,'July 2022'!A2:A8)</f>
        <v>-13.32978723</v>
      </c>
      <c r="F8" s="40">
        <f>slope('July 2022'!G2:G8,'July 2022'!A2:A8)</f>
        <v>0.2021276596</v>
      </c>
      <c r="G8" s="40">
        <f>slope('July 2022'!H2:H8,'July 2022'!A2:A8)</f>
        <v>5.111702128</v>
      </c>
      <c r="H8" s="40">
        <f>slope('July 2022'!B2:B8,'July 2022'!A2:A8)</f>
        <v>18.68617021</v>
      </c>
      <c r="I8" s="40">
        <f>slope('July 2022'!L2:L8,'July 2022'!A2:A8)</f>
        <v>53.1143617</v>
      </c>
      <c r="J8" s="40">
        <f>slope('July 2022'!N2:N8,'July 2022'!A2:A8)</f>
        <v>-71.22606383</v>
      </c>
      <c r="K8" s="40">
        <f>slope('July 2022'!O2:O8,'July 2022'!A2:A8)</f>
        <v>-18.11170213</v>
      </c>
    </row>
  </sheetData>
  <mergeCells count="1">
    <mergeCell ref="A1:K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15.75"/>
    <col customWidth="1" min="4" max="4" width="15.75"/>
  </cols>
  <sheetData>
    <row r="1" ht="37.5" customHeight="1">
      <c r="A1" s="16" t="s">
        <v>17</v>
      </c>
      <c r="B1" s="17" t="s">
        <v>34</v>
      </c>
      <c r="C1" s="17" t="s">
        <v>35</v>
      </c>
      <c r="D1" s="17" t="s">
        <v>36</v>
      </c>
      <c r="E1" s="17" t="s">
        <v>21</v>
      </c>
      <c r="F1" s="17" t="s">
        <v>37</v>
      </c>
      <c r="G1" s="17" t="s">
        <v>38</v>
      </c>
      <c r="H1" s="17" t="s">
        <v>39</v>
      </c>
      <c r="I1" s="17" t="s">
        <v>21</v>
      </c>
      <c r="J1" s="18" t="s">
        <v>24</v>
      </c>
      <c r="K1" s="18" t="s">
        <v>21</v>
      </c>
      <c r="L1" s="18" t="s">
        <v>40</v>
      </c>
      <c r="M1" s="18" t="s">
        <v>21</v>
      </c>
      <c r="N1" s="19" t="s">
        <v>13</v>
      </c>
      <c r="O1" s="19" t="s">
        <v>21</v>
      </c>
      <c r="P1" s="19" t="s">
        <v>25</v>
      </c>
      <c r="Q1" s="19" t="s">
        <v>26</v>
      </c>
      <c r="R1" s="19" t="s">
        <v>21</v>
      </c>
      <c r="S1" s="41"/>
      <c r="T1" s="41"/>
      <c r="U1" s="41"/>
      <c r="V1" s="41"/>
      <c r="W1" s="41"/>
      <c r="X1" s="41"/>
      <c r="Y1" s="41"/>
      <c r="Z1" s="41"/>
    </row>
    <row r="2">
      <c r="A2" s="42">
        <v>44774.0</v>
      </c>
      <c r="B2" s="21">
        <v>272.0</v>
      </c>
      <c r="C2" s="21">
        <v>40.0</v>
      </c>
      <c r="D2" s="22">
        <f>sum(B2,C2)</f>
        <v>312</v>
      </c>
      <c r="E2" s="30">
        <f>D2-272</f>
        <v>40</v>
      </c>
      <c r="F2" s="22">
        <f>123+32</f>
        <v>155</v>
      </c>
      <c r="G2" s="21">
        <v>18.0</v>
      </c>
      <c r="H2" s="21">
        <f>sum(D2,F2,G2)</f>
        <v>485</v>
      </c>
      <c r="I2" s="43">
        <v>1.0</v>
      </c>
      <c r="J2" s="21">
        <v>73.0</v>
      </c>
      <c r="K2" s="43">
        <v>0.0</v>
      </c>
      <c r="L2" s="21">
        <v>3.0</v>
      </c>
      <c r="M2" s="31">
        <v>-2.0</v>
      </c>
      <c r="N2" s="21">
        <f>968-75</f>
        <v>893</v>
      </c>
      <c r="O2" s="43">
        <v>118.0</v>
      </c>
      <c r="P2" s="21">
        <v>0.0</v>
      </c>
      <c r="Q2" s="22">
        <f t="shared" ref="Q2:Q5" si="1">SUM(N2,P2)</f>
        <v>893</v>
      </c>
      <c r="R2" s="43">
        <v>0.0</v>
      </c>
    </row>
    <row r="3">
      <c r="A3" s="44">
        <v>44775.0</v>
      </c>
      <c r="B3" s="27">
        <f>272+40-8-5</f>
        <v>299</v>
      </c>
      <c r="C3" s="26">
        <v>32.0</v>
      </c>
      <c r="D3" s="27">
        <f t="shared" ref="D3:D18" si="2">SUM(B3,C3)</f>
        <v>331</v>
      </c>
      <c r="E3" s="28">
        <f t="shared" ref="E3:E24" si="3">D3-D2</f>
        <v>19</v>
      </c>
      <c r="F3" s="26">
        <f>123+8</f>
        <v>131</v>
      </c>
      <c r="G3" s="26">
        <v>37.0</v>
      </c>
      <c r="H3" s="27">
        <f t="shared" ref="H3:H24" si="4">SUM(D3,F3,G3)</f>
        <v>499</v>
      </c>
      <c r="I3" s="28">
        <f t="shared" ref="I3:I24" si="5">H3-H2</f>
        <v>14</v>
      </c>
      <c r="J3" s="26">
        <v>29.0</v>
      </c>
      <c r="K3" s="28">
        <f t="shared" ref="K3:K24" si="6">J3-J2</f>
        <v>-44</v>
      </c>
      <c r="L3" s="26">
        <v>78.0</v>
      </c>
      <c r="M3" s="29">
        <f t="shared" ref="M3:M24" si="7">L3-L2</f>
        <v>75</v>
      </c>
      <c r="N3" s="26">
        <f>955-75</f>
        <v>880</v>
      </c>
      <c r="O3" s="28">
        <f t="shared" ref="O3:O24" si="8">N3-N2</f>
        <v>-13</v>
      </c>
      <c r="P3" s="26">
        <v>0.0</v>
      </c>
      <c r="Q3" s="27">
        <f t="shared" si="1"/>
        <v>880</v>
      </c>
      <c r="R3" s="28">
        <f t="shared" ref="R3:R24" si="9">Q3-Q2</f>
        <v>-13</v>
      </c>
    </row>
    <row r="4">
      <c r="A4" s="42">
        <v>44776.0</v>
      </c>
      <c r="B4" s="22">
        <f>367-5</f>
        <v>362</v>
      </c>
      <c r="C4" s="21">
        <v>7.0</v>
      </c>
      <c r="D4" s="22">
        <f t="shared" si="2"/>
        <v>369</v>
      </c>
      <c r="E4" s="30">
        <f t="shared" si="3"/>
        <v>38</v>
      </c>
      <c r="F4" s="21">
        <v>123.0</v>
      </c>
      <c r="G4" s="21">
        <v>0.0</v>
      </c>
      <c r="H4" s="22">
        <f t="shared" si="4"/>
        <v>492</v>
      </c>
      <c r="I4" s="30">
        <f t="shared" si="5"/>
        <v>-7</v>
      </c>
      <c r="J4" s="21">
        <v>0.0</v>
      </c>
      <c r="K4" s="30">
        <f t="shared" si="6"/>
        <v>-29</v>
      </c>
      <c r="L4" s="21">
        <v>56.0</v>
      </c>
      <c r="M4" s="32">
        <f t="shared" si="7"/>
        <v>-22</v>
      </c>
      <c r="N4" s="22">
        <f t="shared" ref="N4:N6" si="10">950-75</f>
        <v>875</v>
      </c>
      <c r="O4" s="30">
        <f t="shared" si="8"/>
        <v>-5</v>
      </c>
      <c r="P4" s="21">
        <v>0.0</v>
      </c>
      <c r="Q4" s="22">
        <f t="shared" si="1"/>
        <v>875</v>
      </c>
      <c r="R4" s="30">
        <f t="shared" si="9"/>
        <v>-5</v>
      </c>
    </row>
    <row r="5">
      <c r="A5" s="44">
        <v>44777.0</v>
      </c>
      <c r="B5" s="26">
        <v>362.0</v>
      </c>
      <c r="C5" s="26">
        <v>7.0</v>
      </c>
      <c r="D5" s="27">
        <f t="shared" si="2"/>
        <v>369</v>
      </c>
      <c r="E5" s="28">
        <f t="shared" si="3"/>
        <v>0</v>
      </c>
      <c r="F5" s="26">
        <v>123.0</v>
      </c>
      <c r="G5" s="26">
        <v>3.0</v>
      </c>
      <c r="H5" s="27">
        <f t="shared" si="4"/>
        <v>495</v>
      </c>
      <c r="I5" s="28">
        <f t="shared" si="5"/>
        <v>3</v>
      </c>
      <c r="J5" s="26">
        <v>0.0</v>
      </c>
      <c r="K5" s="28">
        <f t="shared" si="6"/>
        <v>0</v>
      </c>
      <c r="L5" s="26">
        <v>57.0</v>
      </c>
      <c r="M5" s="29">
        <f t="shared" si="7"/>
        <v>1</v>
      </c>
      <c r="N5" s="27">
        <f t="shared" si="10"/>
        <v>875</v>
      </c>
      <c r="O5" s="28">
        <f t="shared" si="8"/>
        <v>0</v>
      </c>
      <c r="P5" s="26">
        <v>0.0</v>
      </c>
      <c r="Q5" s="27">
        <f t="shared" si="1"/>
        <v>875</v>
      </c>
      <c r="R5" s="28">
        <f t="shared" si="9"/>
        <v>0</v>
      </c>
    </row>
    <row r="6">
      <c r="A6" s="42">
        <v>44778.0</v>
      </c>
      <c r="B6" s="21">
        <v>362.0</v>
      </c>
      <c r="C6" s="21">
        <v>7.0</v>
      </c>
      <c r="D6" s="22">
        <f t="shared" si="2"/>
        <v>369</v>
      </c>
      <c r="E6" s="43">
        <f t="shared" si="3"/>
        <v>0</v>
      </c>
      <c r="F6" s="21">
        <v>123.0</v>
      </c>
      <c r="G6" s="21">
        <v>3.0</v>
      </c>
      <c r="H6" s="22">
        <f t="shared" si="4"/>
        <v>495</v>
      </c>
      <c r="I6" s="30">
        <f t="shared" si="5"/>
        <v>0</v>
      </c>
      <c r="J6" s="21">
        <v>0.0</v>
      </c>
      <c r="K6" s="30">
        <f t="shared" si="6"/>
        <v>0</v>
      </c>
      <c r="L6" s="21">
        <v>49.0</v>
      </c>
      <c r="M6" s="32">
        <f t="shared" si="7"/>
        <v>-8</v>
      </c>
      <c r="N6" s="21">
        <f t="shared" si="10"/>
        <v>875</v>
      </c>
      <c r="O6" s="30">
        <f t="shared" si="8"/>
        <v>0</v>
      </c>
      <c r="P6" s="21">
        <v>0.0</v>
      </c>
      <c r="Q6" s="21">
        <v>950.0</v>
      </c>
      <c r="R6" s="30">
        <f t="shared" si="9"/>
        <v>75</v>
      </c>
    </row>
    <row r="7">
      <c r="A7" s="44">
        <v>44781.0</v>
      </c>
      <c r="B7" s="27">
        <f>362-8</f>
        <v>354</v>
      </c>
      <c r="C7" s="26">
        <v>7.0</v>
      </c>
      <c r="D7" s="27">
        <f t="shared" si="2"/>
        <v>361</v>
      </c>
      <c r="E7" s="28">
        <f t="shared" si="3"/>
        <v>-8</v>
      </c>
      <c r="F7" s="26">
        <v>123.0</v>
      </c>
      <c r="G7" s="26">
        <v>3.0</v>
      </c>
      <c r="H7" s="27">
        <f t="shared" si="4"/>
        <v>487</v>
      </c>
      <c r="I7" s="28">
        <f t="shared" si="5"/>
        <v>-8</v>
      </c>
      <c r="J7" s="26">
        <v>0.0</v>
      </c>
      <c r="K7" s="28">
        <f t="shared" si="6"/>
        <v>0</v>
      </c>
      <c r="L7" s="26">
        <v>49.0</v>
      </c>
      <c r="M7" s="29">
        <f t="shared" si="7"/>
        <v>0</v>
      </c>
      <c r="N7" s="27">
        <f>920-75</f>
        <v>845</v>
      </c>
      <c r="O7" s="28">
        <f t="shared" si="8"/>
        <v>-30</v>
      </c>
      <c r="P7" s="26">
        <v>0.0</v>
      </c>
      <c r="Q7" s="27">
        <f t="shared" ref="Q7:Q24" si="11">SUM(N7,P7)</f>
        <v>845</v>
      </c>
      <c r="R7" s="28">
        <f t="shared" si="9"/>
        <v>-105</v>
      </c>
    </row>
    <row r="8">
      <c r="A8" s="42">
        <v>44782.0</v>
      </c>
      <c r="B8" s="22">
        <f>354-16</f>
        <v>338</v>
      </c>
      <c r="C8" s="21">
        <v>7.0</v>
      </c>
      <c r="D8" s="22">
        <f t="shared" si="2"/>
        <v>345</v>
      </c>
      <c r="E8" s="30">
        <f t="shared" si="3"/>
        <v>-16</v>
      </c>
      <c r="F8" s="21">
        <v>123.0</v>
      </c>
      <c r="G8" s="21">
        <v>0.0</v>
      </c>
      <c r="H8" s="22">
        <f t="shared" si="4"/>
        <v>468</v>
      </c>
      <c r="I8" s="30">
        <f t="shared" si="5"/>
        <v>-19</v>
      </c>
      <c r="J8" s="21">
        <v>0.0</v>
      </c>
      <c r="K8" s="30">
        <f t="shared" si="6"/>
        <v>0</v>
      </c>
      <c r="L8" s="22">
        <f>49+4</f>
        <v>53</v>
      </c>
      <c r="M8" s="32">
        <f t="shared" si="7"/>
        <v>4</v>
      </c>
      <c r="N8" s="22">
        <f t="shared" ref="N8:N9" si="12">855-75</f>
        <v>780</v>
      </c>
      <c r="O8" s="30">
        <f t="shared" si="8"/>
        <v>-65</v>
      </c>
      <c r="P8" s="21">
        <v>0.0</v>
      </c>
      <c r="Q8" s="22">
        <f t="shared" si="11"/>
        <v>780</v>
      </c>
      <c r="R8" s="30">
        <f t="shared" si="9"/>
        <v>-65</v>
      </c>
    </row>
    <row r="9">
      <c r="A9" s="44">
        <v>44783.0</v>
      </c>
      <c r="B9" s="26">
        <v>331.0</v>
      </c>
      <c r="C9" s="26">
        <v>6.0</v>
      </c>
      <c r="D9" s="27">
        <f t="shared" si="2"/>
        <v>337</v>
      </c>
      <c r="E9" s="28">
        <f t="shared" si="3"/>
        <v>-8</v>
      </c>
      <c r="F9" s="26">
        <v>123.0</v>
      </c>
      <c r="G9" s="26">
        <v>0.0</v>
      </c>
      <c r="H9" s="27">
        <f t="shared" si="4"/>
        <v>460</v>
      </c>
      <c r="I9" s="28">
        <f t="shared" si="5"/>
        <v>-8</v>
      </c>
      <c r="J9" s="26">
        <v>0.0</v>
      </c>
      <c r="K9" s="28">
        <f t="shared" si="6"/>
        <v>0</v>
      </c>
      <c r="L9" s="26">
        <v>53.0</v>
      </c>
      <c r="M9" s="29">
        <f t="shared" si="7"/>
        <v>0</v>
      </c>
      <c r="N9" s="26">
        <f t="shared" si="12"/>
        <v>780</v>
      </c>
      <c r="O9" s="28">
        <f t="shared" si="8"/>
        <v>0</v>
      </c>
      <c r="P9" s="26">
        <v>0.0</v>
      </c>
      <c r="Q9" s="27">
        <f t="shared" si="11"/>
        <v>780</v>
      </c>
      <c r="R9" s="28">
        <f t="shared" si="9"/>
        <v>0</v>
      </c>
    </row>
    <row r="10">
      <c r="A10" s="42">
        <v>44784.0</v>
      </c>
      <c r="B10" s="22">
        <f>331-12</f>
        <v>319</v>
      </c>
      <c r="C10" s="21">
        <v>6.0</v>
      </c>
      <c r="D10" s="22">
        <f t="shared" si="2"/>
        <v>325</v>
      </c>
      <c r="E10" s="30">
        <f t="shared" si="3"/>
        <v>-12</v>
      </c>
      <c r="F10" s="21">
        <v>123.0</v>
      </c>
      <c r="G10" s="21">
        <v>0.0</v>
      </c>
      <c r="H10" s="22">
        <f t="shared" si="4"/>
        <v>448</v>
      </c>
      <c r="I10" s="30">
        <f t="shared" si="5"/>
        <v>-12</v>
      </c>
      <c r="J10" s="21">
        <v>0.0</v>
      </c>
      <c r="K10" s="30">
        <f t="shared" si="6"/>
        <v>0</v>
      </c>
      <c r="L10" s="21">
        <v>53.0</v>
      </c>
      <c r="M10" s="32">
        <f t="shared" si="7"/>
        <v>0</v>
      </c>
      <c r="N10" s="22">
        <f>847-75</f>
        <v>772</v>
      </c>
      <c r="O10" s="30">
        <f t="shared" si="8"/>
        <v>-8</v>
      </c>
      <c r="P10" s="21">
        <v>0.0</v>
      </c>
      <c r="Q10" s="22">
        <f t="shared" si="11"/>
        <v>772</v>
      </c>
      <c r="R10" s="30">
        <f t="shared" si="9"/>
        <v>-8</v>
      </c>
    </row>
    <row r="11">
      <c r="A11" s="44">
        <v>44785.0</v>
      </c>
      <c r="B11" s="27">
        <f>319-2</f>
        <v>317</v>
      </c>
      <c r="C11" s="26">
        <v>6.0</v>
      </c>
      <c r="D11" s="27">
        <f t="shared" si="2"/>
        <v>323</v>
      </c>
      <c r="E11" s="28">
        <f t="shared" si="3"/>
        <v>-2</v>
      </c>
      <c r="F11" s="26">
        <v>123.0</v>
      </c>
      <c r="G11" s="26">
        <v>9.0</v>
      </c>
      <c r="H11" s="27">
        <f t="shared" si="4"/>
        <v>455</v>
      </c>
      <c r="I11" s="28">
        <f t="shared" si="5"/>
        <v>7</v>
      </c>
      <c r="J11" s="26">
        <v>0.0</v>
      </c>
      <c r="K11" s="28">
        <f t="shared" si="6"/>
        <v>0</v>
      </c>
      <c r="L11" s="26">
        <v>53.0</v>
      </c>
      <c r="M11" s="29">
        <f t="shared" si="7"/>
        <v>0</v>
      </c>
      <c r="N11" s="27">
        <f>813-75</f>
        <v>738</v>
      </c>
      <c r="O11" s="28">
        <f t="shared" si="8"/>
        <v>-34</v>
      </c>
      <c r="P11" s="26">
        <v>0.0</v>
      </c>
      <c r="Q11" s="27">
        <f t="shared" si="11"/>
        <v>738</v>
      </c>
      <c r="R11" s="28">
        <f t="shared" si="9"/>
        <v>-34</v>
      </c>
    </row>
    <row r="12">
      <c r="A12" s="42">
        <v>44788.0</v>
      </c>
      <c r="B12" s="22">
        <f>296-2</f>
        <v>294</v>
      </c>
      <c r="C12" s="21">
        <v>6.0</v>
      </c>
      <c r="D12" s="22">
        <f t="shared" si="2"/>
        <v>300</v>
      </c>
      <c r="E12" s="30">
        <f t="shared" si="3"/>
        <v>-23</v>
      </c>
      <c r="F12" s="21">
        <v>123.0</v>
      </c>
      <c r="G12" s="21">
        <v>9.0</v>
      </c>
      <c r="H12" s="22">
        <f t="shared" si="4"/>
        <v>432</v>
      </c>
      <c r="I12" s="30">
        <f t="shared" si="5"/>
        <v>-23</v>
      </c>
      <c r="J12" s="21">
        <v>0.0</v>
      </c>
      <c r="K12" s="30">
        <f t="shared" si="6"/>
        <v>0</v>
      </c>
      <c r="L12" s="21">
        <v>53.0</v>
      </c>
      <c r="M12" s="32">
        <f t="shared" si="7"/>
        <v>0</v>
      </c>
      <c r="N12" s="21">
        <f>808-75</f>
        <v>733</v>
      </c>
      <c r="O12" s="30">
        <f t="shared" si="8"/>
        <v>-5</v>
      </c>
      <c r="P12" s="21">
        <v>0.0</v>
      </c>
      <c r="Q12" s="22">
        <f t="shared" si="11"/>
        <v>733</v>
      </c>
      <c r="R12" s="30">
        <f t="shared" si="9"/>
        <v>-5</v>
      </c>
    </row>
    <row r="13">
      <c r="A13" s="44">
        <v>44789.0</v>
      </c>
      <c r="B13" s="27">
        <f>294-1-15+9</f>
        <v>287</v>
      </c>
      <c r="C13" s="26">
        <f>7</f>
        <v>7</v>
      </c>
      <c r="D13" s="27">
        <f t="shared" si="2"/>
        <v>294</v>
      </c>
      <c r="E13" s="28">
        <f t="shared" si="3"/>
        <v>-6</v>
      </c>
      <c r="F13" s="26">
        <f t="shared" ref="F13:F17" si="13">109+15</f>
        <v>124</v>
      </c>
      <c r="G13" s="26">
        <v>3.0</v>
      </c>
      <c r="H13" s="27">
        <f t="shared" si="4"/>
        <v>421</v>
      </c>
      <c r="I13" s="28">
        <f t="shared" si="5"/>
        <v>-11</v>
      </c>
      <c r="J13" s="26">
        <v>0.0</v>
      </c>
      <c r="K13" s="28">
        <f t="shared" si="6"/>
        <v>0</v>
      </c>
      <c r="L13" s="26">
        <v>53.0</v>
      </c>
      <c r="M13" s="29">
        <f t="shared" si="7"/>
        <v>0</v>
      </c>
      <c r="N13" s="27">
        <f>798-75</f>
        <v>723</v>
      </c>
      <c r="O13" s="28">
        <f t="shared" si="8"/>
        <v>-10</v>
      </c>
      <c r="P13" s="26">
        <v>0.0</v>
      </c>
      <c r="Q13" s="27">
        <f t="shared" si="11"/>
        <v>723</v>
      </c>
      <c r="R13" s="28">
        <f t="shared" si="9"/>
        <v>-10</v>
      </c>
    </row>
    <row r="14">
      <c r="A14" s="42">
        <v>44790.0</v>
      </c>
      <c r="B14" s="22">
        <f>287-100+3-7</f>
        <v>183</v>
      </c>
      <c r="C14" s="21">
        <v>7.0</v>
      </c>
      <c r="D14" s="22">
        <f t="shared" si="2"/>
        <v>190</v>
      </c>
      <c r="E14" s="30">
        <f t="shared" si="3"/>
        <v>-104</v>
      </c>
      <c r="F14" s="21">
        <f t="shared" si="13"/>
        <v>124</v>
      </c>
      <c r="G14" s="21">
        <v>0.0</v>
      </c>
      <c r="H14" s="22">
        <f t="shared" si="4"/>
        <v>314</v>
      </c>
      <c r="I14" s="30">
        <f t="shared" si="5"/>
        <v>-107</v>
      </c>
      <c r="J14" s="21">
        <v>0.0</v>
      </c>
      <c r="K14" s="30">
        <f t="shared" si="6"/>
        <v>0</v>
      </c>
      <c r="L14" s="21">
        <v>53.0</v>
      </c>
      <c r="M14" s="32">
        <f t="shared" si="7"/>
        <v>0</v>
      </c>
      <c r="N14" s="22">
        <f>788-75</f>
        <v>713</v>
      </c>
      <c r="O14" s="30">
        <f t="shared" si="8"/>
        <v>-10</v>
      </c>
      <c r="P14" s="21">
        <v>0.0</v>
      </c>
      <c r="Q14" s="22">
        <f t="shared" si="11"/>
        <v>713</v>
      </c>
      <c r="R14" s="30">
        <f t="shared" si="9"/>
        <v>-10</v>
      </c>
    </row>
    <row r="15">
      <c r="A15" s="44">
        <v>44791.0</v>
      </c>
      <c r="B15" s="26">
        <v>182.0</v>
      </c>
      <c r="C15" s="26">
        <v>7.0</v>
      </c>
      <c r="D15" s="27">
        <f t="shared" si="2"/>
        <v>189</v>
      </c>
      <c r="E15" s="28">
        <f t="shared" si="3"/>
        <v>-1</v>
      </c>
      <c r="F15" s="26">
        <f t="shared" si="13"/>
        <v>124</v>
      </c>
      <c r="G15" s="26">
        <v>3.0</v>
      </c>
      <c r="H15" s="27">
        <f t="shared" si="4"/>
        <v>316</v>
      </c>
      <c r="I15" s="28">
        <f t="shared" si="5"/>
        <v>2</v>
      </c>
      <c r="J15" s="26">
        <v>0.0</v>
      </c>
      <c r="K15" s="28">
        <f t="shared" si="6"/>
        <v>0</v>
      </c>
      <c r="L15" s="26">
        <v>53.0</v>
      </c>
      <c r="M15" s="29">
        <f t="shared" si="7"/>
        <v>0</v>
      </c>
      <c r="N15" s="27">
        <f>779-75</f>
        <v>704</v>
      </c>
      <c r="O15" s="28">
        <f t="shared" si="8"/>
        <v>-9</v>
      </c>
      <c r="P15" s="26">
        <v>0.0</v>
      </c>
      <c r="Q15" s="27">
        <f t="shared" si="11"/>
        <v>704</v>
      </c>
      <c r="R15" s="28">
        <f t="shared" si="9"/>
        <v>-9</v>
      </c>
    </row>
    <row r="16">
      <c r="A16" s="42">
        <v>44792.0</v>
      </c>
      <c r="B16" s="22">
        <f>182-10+1</f>
        <v>173</v>
      </c>
      <c r="C16" s="21">
        <v>8.0</v>
      </c>
      <c r="D16" s="22">
        <f t="shared" si="2"/>
        <v>181</v>
      </c>
      <c r="E16" s="30">
        <f t="shared" si="3"/>
        <v>-8</v>
      </c>
      <c r="F16" s="21">
        <f t="shared" si="13"/>
        <v>124</v>
      </c>
      <c r="G16" s="21">
        <v>0.0</v>
      </c>
      <c r="H16" s="22">
        <f t="shared" si="4"/>
        <v>305</v>
      </c>
      <c r="I16" s="30">
        <f t="shared" si="5"/>
        <v>-11</v>
      </c>
      <c r="J16" s="21">
        <v>0.0</v>
      </c>
      <c r="K16" s="30">
        <f t="shared" si="6"/>
        <v>0</v>
      </c>
      <c r="L16" s="21">
        <v>53.0</v>
      </c>
      <c r="M16" s="32">
        <f t="shared" si="7"/>
        <v>0</v>
      </c>
      <c r="N16" s="22">
        <f>764-75</f>
        <v>689</v>
      </c>
      <c r="O16" s="30">
        <f t="shared" si="8"/>
        <v>-15</v>
      </c>
      <c r="P16" s="21">
        <v>0.0</v>
      </c>
      <c r="Q16" s="22">
        <f t="shared" si="11"/>
        <v>689</v>
      </c>
      <c r="R16" s="30">
        <f t="shared" si="9"/>
        <v>-15</v>
      </c>
    </row>
    <row r="17">
      <c r="A17" s="44">
        <v>44795.0</v>
      </c>
      <c r="B17" s="27">
        <f>173-14</f>
        <v>159</v>
      </c>
      <c r="C17" s="26">
        <v>8.0</v>
      </c>
      <c r="D17" s="27">
        <f t="shared" si="2"/>
        <v>167</v>
      </c>
      <c r="E17" s="28">
        <f t="shared" si="3"/>
        <v>-14</v>
      </c>
      <c r="F17" s="26">
        <f t="shared" si="13"/>
        <v>124</v>
      </c>
      <c r="G17" s="26">
        <v>0.0</v>
      </c>
      <c r="H17" s="27">
        <f t="shared" si="4"/>
        <v>291</v>
      </c>
      <c r="I17" s="28">
        <f t="shared" si="5"/>
        <v>-14</v>
      </c>
      <c r="J17" s="26">
        <v>0.0</v>
      </c>
      <c r="K17" s="28">
        <f t="shared" si="6"/>
        <v>0</v>
      </c>
      <c r="L17" s="26">
        <v>53.0</v>
      </c>
      <c r="M17" s="29">
        <f t="shared" si="7"/>
        <v>0</v>
      </c>
      <c r="N17" s="27">
        <f t="shared" ref="N17:N18" si="14">674-75</f>
        <v>599</v>
      </c>
      <c r="O17" s="28">
        <f t="shared" si="8"/>
        <v>-90</v>
      </c>
      <c r="P17" s="26">
        <v>0.0</v>
      </c>
      <c r="Q17" s="27">
        <f t="shared" si="11"/>
        <v>599</v>
      </c>
      <c r="R17" s="28">
        <f t="shared" si="9"/>
        <v>-90</v>
      </c>
    </row>
    <row r="18">
      <c r="A18" s="42">
        <v>44796.0</v>
      </c>
      <c r="B18" s="22">
        <f>159-8-1</f>
        <v>150</v>
      </c>
      <c r="C18" s="21">
        <v>24.0</v>
      </c>
      <c r="D18" s="22">
        <f t="shared" si="2"/>
        <v>174</v>
      </c>
      <c r="E18" s="30">
        <f t="shared" si="3"/>
        <v>7</v>
      </c>
      <c r="F18" s="21">
        <v>103.0</v>
      </c>
      <c r="G18" s="21">
        <v>5.0</v>
      </c>
      <c r="H18" s="22">
        <f t="shared" si="4"/>
        <v>282</v>
      </c>
      <c r="I18" s="30">
        <f t="shared" si="5"/>
        <v>-9</v>
      </c>
      <c r="J18" s="21">
        <v>0.0</v>
      </c>
      <c r="K18" s="30">
        <f t="shared" si="6"/>
        <v>0</v>
      </c>
      <c r="L18" s="21">
        <v>53.0</v>
      </c>
      <c r="M18" s="32">
        <f t="shared" si="7"/>
        <v>0</v>
      </c>
      <c r="N18" s="21">
        <f t="shared" si="14"/>
        <v>599</v>
      </c>
      <c r="O18" s="30">
        <f t="shared" si="8"/>
        <v>0</v>
      </c>
      <c r="P18" s="21">
        <v>0.0</v>
      </c>
      <c r="Q18" s="22">
        <f t="shared" si="11"/>
        <v>599</v>
      </c>
      <c r="R18" s="30">
        <f t="shared" si="9"/>
        <v>0</v>
      </c>
    </row>
    <row r="19">
      <c r="A19" s="44">
        <v>44797.0</v>
      </c>
      <c r="B19" s="26">
        <f>146+5+3-1-4</f>
        <v>149</v>
      </c>
      <c r="C19" s="27">
        <f>24+20-3</f>
        <v>41</v>
      </c>
      <c r="D19" s="27">
        <f t="shared" ref="D19:D21" si="15">SUM(B19:C19)</f>
        <v>190</v>
      </c>
      <c r="E19" s="28">
        <f t="shared" si="3"/>
        <v>16</v>
      </c>
      <c r="F19" s="27">
        <f>69+20</f>
        <v>89</v>
      </c>
      <c r="G19" s="26">
        <v>0.0</v>
      </c>
      <c r="H19" s="27">
        <f t="shared" si="4"/>
        <v>279</v>
      </c>
      <c r="I19" s="28">
        <f t="shared" si="5"/>
        <v>-3</v>
      </c>
      <c r="J19" s="26">
        <v>0.0</v>
      </c>
      <c r="K19" s="28">
        <f t="shared" si="6"/>
        <v>0</v>
      </c>
      <c r="L19" s="26">
        <v>53.0</v>
      </c>
      <c r="M19" s="29">
        <f t="shared" si="7"/>
        <v>0</v>
      </c>
      <c r="N19" s="27">
        <f>669-75</f>
        <v>594</v>
      </c>
      <c r="O19" s="28">
        <f t="shared" si="8"/>
        <v>-5</v>
      </c>
      <c r="P19" s="26">
        <v>0.0</v>
      </c>
      <c r="Q19" s="27">
        <f t="shared" si="11"/>
        <v>594</v>
      </c>
      <c r="R19" s="28">
        <f t="shared" si="9"/>
        <v>-5</v>
      </c>
    </row>
    <row r="20">
      <c r="A20" s="42">
        <v>44798.0</v>
      </c>
      <c r="B20" s="21">
        <v>31.0</v>
      </c>
      <c r="C20" s="21">
        <v>61.0</v>
      </c>
      <c r="D20" s="22">
        <f t="shared" si="15"/>
        <v>92</v>
      </c>
      <c r="E20" s="30">
        <f t="shared" si="3"/>
        <v>-98</v>
      </c>
      <c r="F20" s="21">
        <v>69.0</v>
      </c>
      <c r="G20" s="21">
        <v>0.0</v>
      </c>
      <c r="H20" s="22">
        <f t="shared" si="4"/>
        <v>161</v>
      </c>
      <c r="I20" s="30">
        <f t="shared" si="5"/>
        <v>-118</v>
      </c>
      <c r="J20" s="21">
        <v>0.0</v>
      </c>
      <c r="K20" s="30">
        <f t="shared" si="6"/>
        <v>0</v>
      </c>
      <c r="L20" s="22">
        <f>53-16</f>
        <v>37</v>
      </c>
      <c r="M20" s="32">
        <f t="shared" si="7"/>
        <v>-16</v>
      </c>
      <c r="N20" s="22">
        <f>649-75</f>
        <v>574</v>
      </c>
      <c r="O20" s="30">
        <f t="shared" si="8"/>
        <v>-20</v>
      </c>
      <c r="P20" s="21">
        <v>0.0</v>
      </c>
      <c r="Q20" s="22">
        <f t="shared" si="11"/>
        <v>574</v>
      </c>
      <c r="R20" s="30">
        <f t="shared" si="9"/>
        <v>-20</v>
      </c>
    </row>
    <row r="21">
      <c r="A21" s="44">
        <v>44799.0</v>
      </c>
      <c r="B21" s="27">
        <f>31-2-2-1</f>
        <v>26</v>
      </c>
      <c r="C21" s="27">
        <f>61+24</f>
        <v>85</v>
      </c>
      <c r="D21" s="27">
        <f t="shared" si="15"/>
        <v>111</v>
      </c>
      <c r="E21" s="28">
        <f t="shared" si="3"/>
        <v>19</v>
      </c>
      <c r="F21" s="27">
        <f>69-24</f>
        <v>45</v>
      </c>
      <c r="G21" s="26">
        <v>0.0</v>
      </c>
      <c r="H21" s="27">
        <f t="shared" si="4"/>
        <v>156</v>
      </c>
      <c r="I21" s="28">
        <f t="shared" si="5"/>
        <v>-5</v>
      </c>
      <c r="J21" s="26">
        <v>0.0</v>
      </c>
      <c r="K21" s="28">
        <f t="shared" si="6"/>
        <v>0</v>
      </c>
      <c r="L21" s="27">
        <f>37</f>
        <v>37</v>
      </c>
      <c r="M21" s="29">
        <f t="shared" si="7"/>
        <v>0</v>
      </c>
      <c r="N21" s="27">
        <f>644-75</f>
        <v>569</v>
      </c>
      <c r="O21" s="28">
        <f t="shared" si="8"/>
        <v>-5</v>
      </c>
      <c r="P21" s="26">
        <v>0.0</v>
      </c>
      <c r="Q21" s="27">
        <f t="shared" si="11"/>
        <v>569</v>
      </c>
      <c r="R21" s="28">
        <f t="shared" si="9"/>
        <v>-5</v>
      </c>
    </row>
    <row r="22">
      <c r="A22" s="42">
        <v>44802.0</v>
      </c>
      <c r="B22" s="21">
        <v>38.0</v>
      </c>
      <c r="C22" s="22">
        <f>85+24</f>
        <v>109</v>
      </c>
      <c r="D22" s="22">
        <f t="shared" ref="D22:D24" si="16">SUM(B22,C22)</f>
        <v>147</v>
      </c>
      <c r="E22" s="30">
        <f t="shared" si="3"/>
        <v>36</v>
      </c>
      <c r="F22" s="22">
        <f>45-24</f>
        <v>21</v>
      </c>
      <c r="G22" s="21">
        <v>4.0</v>
      </c>
      <c r="H22" s="22">
        <f t="shared" si="4"/>
        <v>172</v>
      </c>
      <c r="I22" s="30">
        <f t="shared" si="5"/>
        <v>16</v>
      </c>
      <c r="J22" s="21">
        <v>0.0</v>
      </c>
      <c r="K22" s="30">
        <f t="shared" si="6"/>
        <v>0</v>
      </c>
      <c r="L22" s="22">
        <f>37-2</f>
        <v>35</v>
      </c>
      <c r="M22" s="32">
        <f t="shared" si="7"/>
        <v>-2</v>
      </c>
      <c r="N22" s="22">
        <f>619-75</f>
        <v>544</v>
      </c>
      <c r="O22" s="30">
        <f t="shared" si="8"/>
        <v>-25</v>
      </c>
      <c r="P22" s="21">
        <v>0.0</v>
      </c>
      <c r="Q22" s="22">
        <f t="shared" si="11"/>
        <v>544</v>
      </c>
      <c r="R22" s="30">
        <f t="shared" si="9"/>
        <v>-25</v>
      </c>
    </row>
    <row r="23">
      <c r="A23" s="44">
        <v>44803.0</v>
      </c>
      <c r="B23" s="26">
        <v>43.0</v>
      </c>
      <c r="C23" s="26">
        <v>110.0</v>
      </c>
      <c r="D23" s="27">
        <f t="shared" si="16"/>
        <v>153</v>
      </c>
      <c r="E23" s="28">
        <f t="shared" si="3"/>
        <v>6</v>
      </c>
      <c r="F23" s="26">
        <v>0.0</v>
      </c>
      <c r="G23" s="26">
        <v>2.0</v>
      </c>
      <c r="H23" s="27">
        <f t="shared" si="4"/>
        <v>155</v>
      </c>
      <c r="I23" s="28">
        <f t="shared" si="5"/>
        <v>-17</v>
      </c>
      <c r="J23" s="26">
        <v>0.0</v>
      </c>
      <c r="K23" s="28">
        <f t="shared" si="6"/>
        <v>0</v>
      </c>
      <c r="L23" s="27">
        <f>35-4</f>
        <v>31</v>
      </c>
      <c r="M23" s="29">
        <f t="shared" si="7"/>
        <v>-4</v>
      </c>
      <c r="N23" s="27">
        <f t="shared" ref="N23:N24" si="17">609-75</f>
        <v>534</v>
      </c>
      <c r="O23" s="28">
        <f t="shared" si="8"/>
        <v>-10</v>
      </c>
      <c r="P23" s="26">
        <v>0.0</v>
      </c>
      <c r="Q23" s="27">
        <f t="shared" si="11"/>
        <v>534</v>
      </c>
      <c r="R23" s="28">
        <f t="shared" si="9"/>
        <v>-10</v>
      </c>
    </row>
    <row r="24">
      <c r="A24" s="42">
        <v>44804.0</v>
      </c>
      <c r="B24" s="21">
        <v>50.0</v>
      </c>
      <c r="C24" s="21">
        <v>97.0</v>
      </c>
      <c r="D24" s="22">
        <f t="shared" si="16"/>
        <v>147</v>
      </c>
      <c r="E24" s="30">
        <f t="shared" si="3"/>
        <v>-6</v>
      </c>
      <c r="F24" s="21">
        <v>0.0</v>
      </c>
      <c r="G24" s="21">
        <v>0.0</v>
      </c>
      <c r="H24" s="22">
        <f t="shared" si="4"/>
        <v>147</v>
      </c>
      <c r="I24" s="30">
        <f t="shared" si="5"/>
        <v>-8</v>
      </c>
      <c r="J24" s="21">
        <v>0.0</v>
      </c>
      <c r="K24" s="30">
        <f t="shared" si="6"/>
        <v>0</v>
      </c>
      <c r="L24" s="21">
        <v>31.0</v>
      </c>
      <c r="M24" s="32">
        <f t="shared" si="7"/>
        <v>0</v>
      </c>
      <c r="N24" s="21">
        <f t="shared" si="17"/>
        <v>534</v>
      </c>
      <c r="O24" s="30">
        <f t="shared" si="8"/>
        <v>0</v>
      </c>
      <c r="P24" s="21">
        <v>0.0</v>
      </c>
      <c r="Q24" s="22">
        <f t="shared" si="11"/>
        <v>534</v>
      </c>
      <c r="R24" s="30">
        <f t="shared" si="9"/>
        <v>0</v>
      </c>
    </row>
    <row r="26" ht="37.5" customHeight="1"/>
    <row r="27" ht="37.5" customHeight="1"/>
    <row r="28" ht="30.0" customHeight="1"/>
    <row r="29" ht="30.0" customHeight="1"/>
    <row r="30" ht="30.0" customHeight="1"/>
    <row r="31" ht="30.0" customHeight="1"/>
    <row r="32" ht="30.0" customHeight="1"/>
    <row r="33" ht="30.0" customHeight="1"/>
    <row r="35">
      <c r="B35" s="34"/>
      <c r="C35" s="34"/>
      <c r="D35" s="34"/>
      <c r="E35" s="34"/>
      <c r="F35" s="34"/>
      <c r="G35" s="34"/>
    </row>
    <row r="36">
      <c r="B36" s="34"/>
      <c r="C36" s="34"/>
      <c r="D36" s="34"/>
      <c r="E36" s="34"/>
      <c r="F36" s="34"/>
      <c r="G36" s="34"/>
    </row>
    <row r="37">
      <c r="B37" s="34"/>
      <c r="C37" s="34"/>
      <c r="D37" s="34"/>
      <c r="E37" s="34"/>
      <c r="F37" s="34"/>
      <c r="G37" s="34"/>
    </row>
    <row r="38">
      <c r="B38" s="34"/>
      <c r="C38" s="34"/>
      <c r="D38" s="34"/>
      <c r="E38" s="34"/>
      <c r="F38" s="34"/>
      <c r="G38" s="34"/>
    </row>
    <row r="39">
      <c r="B39" s="34"/>
      <c r="C39" s="34"/>
      <c r="D39" s="34"/>
      <c r="E39" s="34"/>
      <c r="F39" s="34"/>
      <c r="G39" s="34"/>
    </row>
    <row r="40">
      <c r="B40" s="34"/>
      <c r="C40" s="34"/>
      <c r="D40" s="34"/>
      <c r="E40" s="34"/>
      <c r="F40" s="34"/>
      <c r="G40" s="34"/>
    </row>
    <row r="41">
      <c r="B41" s="34"/>
      <c r="C41" s="34"/>
      <c r="D41" s="34"/>
      <c r="E41" s="34"/>
      <c r="F41" s="34"/>
      <c r="G41" s="34"/>
    </row>
    <row r="42">
      <c r="B42" s="34"/>
      <c r="C42" s="34"/>
      <c r="D42" s="34"/>
      <c r="E42" s="34"/>
      <c r="F42" s="34"/>
      <c r="G42" s="34"/>
    </row>
    <row r="43">
      <c r="B43" s="34"/>
      <c r="C43" s="34"/>
      <c r="D43" s="34"/>
      <c r="E43" s="34"/>
      <c r="F43" s="34"/>
      <c r="G43" s="34"/>
    </row>
    <row r="44">
      <c r="B44" s="34"/>
      <c r="C44" s="34"/>
      <c r="D44" s="34"/>
      <c r="E44" s="34"/>
      <c r="F44" s="34"/>
      <c r="G44" s="34"/>
    </row>
  </sheetData>
  <autoFilter ref="$A$1:$R$24"/>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41</v>
      </c>
      <c r="B1" s="2"/>
      <c r="C1" s="2"/>
      <c r="D1" s="2"/>
      <c r="E1" s="2"/>
      <c r="F1" s="2"/>
      <c r="G1" s="2"/>
      <c r="H1" s="2"/>
      <c r="I1" s="2"/>
      <c r="J1" s="2"/>
      <c r="K1" s="2"/>
      <c r="L1" s="3"/>
    </row>
    <row r="2">
      <c r="A2" s="45" t="s">
        <v>28</v>
      </c>
      <c r="B2" s="17" t="s">
        <v>42</v>
      </c>
      <c r="C2" s="17" t="s">
        <v>43</v>
      </c>
      <c r="D2" s="17" t="s">
        <v>20</v>
      </c>
      <c r="E2" s="17" t="s">
        <v>5</v>
      </c>
      <c r="F2" s="17" t="s">
        <v>38</v>
      </c>
      <c r="G2" s="17" t="s">
        <v>23</v>
      </c>
      <c r="H2" s="18" t="s">
        <v>24</v>
      </c>
      <c r="I2" s="18" t="s">
        <v>40</v>
      </c>
      <c r="J2" s="19" t="s">
        <v>13</v>
      </c>
      <c r="K2" s="19" t="s">
        <v>25</v>
      </c>
      <c r="L2" s="19" t="s">
        <v>26</v>
      </c>
    </row>
    <row r="3">
      <c r="A3" s="36" t="s">
        <v>29</v>
      </c>
      <c r="B3" s="46">
        <f>'August 2022'!B2</f>
        <v>272</v>
      </c>
      <c r="C3" s="46">
        <f>'August 2022'!C2</f>
        <v>40</v>
      </c>
      <c r="D3" s="46">
        <f>'August 2022'!D2</f>
        <v>312</v>
      </c>
      <c r="E3" s="37" t="s">
        <v>44</v>
      </c>
      <c r="F3" s="46">
        <f>'August 2022'!G2</f>
        <v>18</v>
      </c>
      <c r="G3" s="46">
        <f>'August 2022'!H2</f>
        <v>485</v>
      </c>
      <c r="H3" s="46">
        <f>'August 2022'!J2</f>
        <v>73</v>
      </c>
      <c r="I3" s="37">
        <f>'August 2022'!L2</f>
        <v>3</v>
      </c>
      <c r="J3" s="46">
        <f>'August 2022'!N2</f>
        <v>893</v>
      </c>
      <c r="K3" s="46">
        <f>'August 2022'!P2</f>
        <v>0</v>
      </c>
      <c r="L3" s="46">
        <f>'August 2022'!Q2</f>
        <v>893</v>
      </c>
    </row>
    <row r="4">
      <c r="A4" s="36" t="s">
        <v>30</v>
      </c>
      <c r="B4" s="46">
        <f>'August 2022'!B24</f>
        <v>50</v>
      </c>
      <c r="C4" s="46">
        <f>'August 2022'!C24</f>
        <v>97</v>
      </c>
      <c r="D4" s="46">
        <f>'August 2022'!D24</f>
        <v>147</v>
      </c>
      <c r="E4" s="46">
        <f>'August 2022'!F24</f>
        <v>0</v>
      </c>
      <c r="F4" s="46">
        <f>'August 2022'!G24</f>
        <v>0</v>
      </c>
      <c r="G4" s="46">
        <f>'August 2022'!H24</f>
        <v>147</v>
      </c>
      <c r="H4" s="46">
        <f>'August 2022'!J24</f>
        <v>0</v>
      </c>
      <c r="I4" s="46">
        <f>'August 2022'!L24</f>
        <v>31</v>
      </c>
      <c r="J4" s="46">
        <f>'August 2022'!N24</f>
        <v>534</v>
      </c>
      <c r="K4" s="46">
        <f>'August 2022'!P24</f>
        <v>0</v>
      </c>
      <c r="L4" s="46">
        <f>'August 2022'!Q24</f>
        <v>534</v>
      </c>
    </row>
    <row r="5">
      <c r="A5" s="36" t="s">
        <v>21</v>
      </c>
      <c r="B5" s="38">
        <f t="shared" ref="B5:L5" si="1">B4-B3</f>
        <v>-222</v>
      </c>
      <c r="C5" s="38">
        <f t="shared" si="1"/>
        <v>57</v>
      </c>
      <c r="D5" s="38">
        <f t="shared" si="1"/>
        <v>-165</v>
      </c>
      <c r="E5" s="38" t="str">
        <f t="shared" si="1"/>
        <v>#VALUE!</v>
      </c>
      <c r="F5" s="38">
        <f t="shared" si="1"/>
        <v>-18</v>
      </c>
      <c r="G5" s="38">
        <f t="shared" si="1"/>
        <v>-338</v>
      </c>
      <c r="H5" s="38">
        <f t="shared" si="1"/>
        <v>-73</v>
      </c>
      <c r="I5" s="38">
        <f t="shared" si="1"/>
        <v>28</v>
      </c>
      <c r="J5" s="38">
        <f t="shared" si="1"/>
        <v>-359</v>
      </c>
      <c r="K5" s="38">
        <f t="shared" si="1"/>
        <v>0</v>
      </c>
      <c r="L5" s="38">
        <f t="shared" si="1"/>
        <v>-359</v>
      </c>
    </row>
    <row r="6">
      <c r="A6" s="39" t="s">
        <v>31</v>
      </c>
      <c r="B6" s="47">
        <f>Average('August 2022'!B2:B24)</f>
        <v>220.9130435</v>
      </c>
      <c r="C6" s="47">
        <f>Average('August 2022'!C2:C24)</f>
        <v>30.2173913</v>
      </c>
      <c r="D6" s="47">
        <f>Average('August 2022'!D2:D24)</f>
        <v>251.1304348</v>
      </c>
      <c r="E6" s="47">
        <f>Average('August 2022'!F2:F24)</f>
        <v>101.7391304</v>
      </c>
      <c r="F6" s="47">
        <f>Average('August 2022'!G2:G24)</f>
        <v>4.304347826</v>
      </c>
      <c r="G6" s="47">
        <f>Average('August 2022'!H2:H24)</f>
        <v>357.173913</v>
      </c>
      <c r="H6" s="47">
        <f>Average('August 2022'!J2:J24)</f>
        <v>4.434782609</v>
      </c>
      <c r="I6" s="47">
        <f>Average('August 2022'!L2:L24)</f>
        <v>47.7826087</v>
      </c>
      <c r="J6" s="47">
        <f>Average('August 2022'!N2:N24)</f>
        <v>714</v>
      </c>
      <c r="K6" s="47">
        <f>Average('August 2022'!P2:P24)</f>
        <v>0</v>
      </c>
      <c r="L6" s="47">
        <f>Average('August 2022'!Q2:Q24)</f>
        <v>717.2608696</v>
      </c>
    </row>
    <row r="7">
      <c r="A7" s="39" t="s">
        <v>32</v>
      </c>
      <c r="B7" s="47">
        <f>Stdev('August 2022'!B2:B24)</f>
        <v>122.1377438</v>
      </c>
      <c r="C7" s="47">
        <f>Stdev('August 2022'!C2:C24)</f>
        <v>36.23152385</v>
      </c>
      <c r="D7" s="47">
        <f>Stdev('August 2022'!D2:D24)</f>
        <v>95.44694116</v>
      </c>
      <c r="E7" s="47">
        <f>Stdev('August 2022'!F2:F24)</f>
        <v>43.64861488</v>
      </c>
      <c r="F7" s="47">
        <f>Stdev('August 2022'!G2:G24)</f>
        <v>8.309002689</v>
      </c>
      <c r="G7" s="47">
        <f>Stdev('August 2022'!H2:H24)</f>
        <v>131.5193218</v>
      </c>
      <c r="H7" s="47">
        <f>Stdev('August 2022'!J2:J24)</f>
        <v>16.12120593</v>
      </c>
      <c r="I7" s="47">
        <f>Stdev('August 2022'!L2:L24)</f>
        <v>14.07756604</v>
      </c>
      <c r="J7" s="47">
        <f>Stdev('August 2022'!N2:N24)</f>
        <v>124.9574473</v>
      </c>
      <c r="K7" s="47">
        <f>Stdev('August 2022'!P2:P24)</f>
        <v>0</v>
      </c>
      <c r="L7" s="47">
        <f>Stdev('August 2022'!Q2:Q24)</f>
        <v>130.2177259</v>
      </c>
    </row>
    <row r="8">
      <c r="A8" s="39" t="s">
        <v>33</v>
      </c>
      <c r="B8" s="47">
        <f>slope('August 2022'!B2:B24,'August 2022'!A2:A24)</f>
        <v>-11.74615182</v>
      </c>
      <c r="C8" s="47">
        <f>slope('August 2022'!C2:C24,'August 2022'!B2:B24)</f>
        <v>-0.238651647</v>
      </c>
      <c r="D8" s="47">
        <f>slope('August 2022'!D2:D24,'August 2022'!C2:C24)</f>
        <v>-1.712008346</v>
      </c>
      <c r="E8" s="47">
        <f>slope('August 2022'!F2:F24,'August 2022'!A2:A24)</f>
        <v>-3.702722315</v>
      </c>
      <c r="F8" s="47">
        <f>slope('August 2022'!G2:G24,'August 2022'!A2:A24)</f>
        <v>-0.3897220512</v>
      </c>
      <c r="G8" s="47">
        <f>slope('August 2022'!H2:H24,'August 2022'!A2:A24)</f>
        <v>-13.23860938</v>
      </c>
      <c r="H8" s="47">
        <f>slope('August 2022'!J2:J24,'August 2022'!A2:A24)</f>
        <v>-0.7412041516</v>
      </c>
      <c r="I8" s="47">
        <f>slope('August 2022'!L2:L24,'August 2022'!A2:A24)</f>
        <v>-0.419144164</v>
      </c>
      <c r="J8" s="47">
        <f>slope('August 2022'!N2:N24,'August 2022'!A2:A24)</f>
        <v>-13.05218137</v>
      </c>
      <c r="K8" s="47">
        <f>slope('August 2022'!P2:P24,'August 2022'!A2:A24)</f>
        <v>0</v>
      </c>
      <c r="L8" s="47">
        <f>slope('August 2022'!Q2:Q24,'August 2022'!A2:A24)</f>
        <v>-13.45624065</v>
      </c>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34</v>
      </c>
      <c r="C1" s="17" t="s">
        <v>35</v>
      </c>
      <c r="D1" s="17" t="s">
        <v>36</v>
      </c>
      <c r="E1" s="17" t="s">
        <v>21</v>
      </c>
      <c r="F1" s="17" t="s">
        <v>37</v>
      </c>
      <c r="G1" s="17" t="s">
        <v>38</v>
      </c>
      <c r="H1" s="17" t="s">
        <v>39</v>
      </c>
      <c r="I1" s="17" t="s">
        <v>21</v>
      </c>
      <c r="J1" s="18" t="s">
        <v>24</v>
      </c>
      <c r="K1" s="18" t="s">
        <v>21</v>
      </c>
      <c r="L1" s="18" t="s">
        <v>40</v>
      </c>
      <c r="M1" s="18" t="s">
        <v>21</v>
      </c>
      <c r="N1" s="19" t="s">
        <v>13</v>
      </c>
      <c r="O1" s="19" t="s">
        <v>21</v>
      </c>
      <c r="P1" s="19" t="s">
        <v>25</v>
      </c>
      <c r="Q1" s="19" t="s">
        <v>26</v>
      </c>
      <c r="R1" s="19" t="s">
        <v>21</v>
      </c>
    </row>
    <row r="2">
      <c r="A2" s="48">
        <v>44805.0</v>
      </c>
      <c r="B2" s="22">
        <f>50-5</f>
        <v>45</v>
      </c>
      <c r="C2" s="21">
        <v>97.0</v>
      </c>
      <c r="D2" s="22">
        <f>sum(B2,C2)</f>
        <v>142</v>
      </c>
      <c r="E2" s="30">
        <f>147-142</f>
        <v>5</v>
      </c>
      <c r="F2" s="21">
        <v>0.0</v>
      </c>
      <c r="G2" s="21">
        <v>14.0</v>
      </c>
      <c r="H2" s="22">
        <f t="shared" ref="H2:H22" si="1">sum(D2,F2,G2)</f>
        <v>156</v>
      </c>
      <c r="I2" s="30">
        <f>156-147</f>
        <v>9</v>
      </c>
      <c r="J2" s="21">
        <v>0.0</v>
      </c>
      <c r="K2" s="30">
        <f>0-0</f>
        <v>0</v>
      </c>
      <c r="L2" s="49">
        <v>35.0</v>
      </c>
      <c r="M2" s="30">
        <f>35-31</f>
        <v>4</v>
      </c>
      <c r="N2" s="21">
        <f>599-75</f>
        <v>524</v>
      </c>
      <c r="O2" s="43">
        <v>-10.0</v>
      </c>
      <c r="P2" s="21">
        <v>0.0</v>
      </c>
      <c r="Q2" s="22">
        <f t="shared" ref="Q2:Q3" si="2">sum(N2,P2)</f>
        <v>524</v>
      </c>
      <c r="R2" s="43">
        <v>-10.0</v>
      </c>
    </row>
    <row r="3">
      <c r="A3" s="50">
        <f>WORKDAY($A$2,row(A1),1)</f>
        <v>44806</v>
      </c>
      <c r="B3" s="27">
        <f>45-6</f>
        <v>39</v>
      </c>
      <c r="C3" s="27">
        <f>97</f>
        <v>97</v>
      </c>
      <c r="D3" s="27">
        <f>SUM(B3,C3)</f>
        <v>136</v>
      </c>
      <c r="E3" s="28">
        <f t="shared" ref="E3:E22" si="3">D3-D2</f>
        <v>-6</v>
      </c>
      <c r="F3" s="26">
        <v>0.0</v>
      </c>
      <c r="G3" s="27">
        <f>14+11</f>
        <v>25</v>
      </c>
      <c r="H3" s="27">
        <f t="shared" si="1"/>
        <v>161</v>
      </c>
      <c r="I3" s="28">
        <f t="shared" ref="I3:I22" si="4">H3-H2</f>
        <v>5</v>
      </c>
      <c r="J3" s="26">
        <v>0.0</v>
      </c>
      <c r="K3" s="28">
        <f t="shared" ref="K3:K22" si="5">J3-J2</f>
        <v>0</v>
      </c>
      <c r="L3" s="27">
        <f>35+2</f>
        <v>37</v>
      </c>
      <c r="M3" s="28">
        <f t="shared" ref="M3:M22" si="6">L3-L2</f>
        <v>2</v>
      </c>
      <c r="N3" s="27">
        <f>594-75</f>
        <v>519</v>
      </c>
      <c r="O3" s="28">
        <f t="shared" ref="O3:O22" si="7">N3-N2</f>
        <v>-5</v>
      </c>
      <c r="P3" s="26">
        <v>0.0</v>
      </c>
      <c r="Q3" s="27">
        <f t="shared" si="2"/>
        <v>519</v>
      </c>
      <c r="R3" s="28">
        <f t="shared" ref="R3:R22" si="8">Q3-Q2</f>
        <v>-5</v>
      </c>
    </row>
    <row r="4">
      <c r="A4" s="48">
        <v>44810.0</v>
      </c>
      <c r="B4" s="21">
        <v>42.0</v>
      </c>
      <c r="C4" s="21">
        <v>97.0</v>
      </c>
      <c r="D4" s="22">
        <f t="shared" ref="D4:D22" si="9">SUM(B4:C4)</f>
        <v>139</v>
      </c>
      <c r="E4" s="30">
        <f t="shared" si="3"/>
        <v>3</v>
      </c>
      <c r="F4" s="21">
        <v>0.0</v>
      </c>
      <c r="G4" s="21">
        <v>0.0</v>
      </c>
      <c r="H4" s="22">
        <f t="shared" si="1"/>
        <v>139</v>
      </c>
      <c r="I4" s="30">
        <f t="shared" si="4"/>
        <v>-22</v>
      </c>
      <c r="J4" s="21">
        <v>0.0</v>
      </c>
      <c r="K4" s="30">
        <f t="shared" si="5"/>
        <v>0</v>
      </c>
      <c r="L4" s="21">
        <v>37.0</v>
      </c>
      <c r="M4" s="30">
        <f t="shared" si="6"/>
        <v>0</v>
      </c>
      <c r="N4" s="22">
        <f>589-75</f>
        <v>514</v>
      </c>
      <c r="O4" s="30">
        <f t="shared" si="7"/>
        <v>-5</v>
      </c>
      <c r="P4" s="21">
        <v>0.0</v>
      </c>
      <c r="Q4" s="22">
        <f t="shared" ref="Q4:Q22" si="10">SUM(N4,P4)</f>
        <v>514</v>
      </c>
      <c r="R4" s="30">
        <f t="shared" si="8"/>
        <v>-5</v>
      </c>
    </row>
    <row r="5">
      <c r="A5" s="50">
        <f t="shared" ref="A5:A22" si="11">_xlfn.WORKDAY.INTL($A$4,row(A1),1)</f>
        <v>44811</v>
      </c>
      <c r="B5" s="27">
        <f>42-2</f>
        <v>40</v>
      </c>
      <c r="C5" s="27">
        <f>97</f>
        <v>97</v>
      </c>
      <c r="D5" s="27">
        <f t="shared" si="9"/>
        <v>137</v>
      </c>
      <c r="E5" s="28">
        <f t="shared" si="3"/>
        <v>-2</v>
      </c>
      <c r="F5" s="26">
        <v>0.0</v>
      </c>
      <c r="G5" s="26">
        <v>22.0</v>
      </c>
      <c r="H5" s="27">
        <f t="shared" si="1"/>
        <v>159</v>
      </c>
      <c r="I5" s="28">
        <f t="shared" si="4"/>
        <v>20</v>
      </c>
      <c r="J5" s="26">
        <v>0.0</v>
      </c>
      <c r="K5" s="28">
        <f t="shared" si="5"/>
        <v>0</v>
      </c>
      <c r="L5" s="27">
        <f>37+7</f>
        <v>44</v>
      </c>
      <c r="M5" s="28">
        <f t="shared" si="6"/>
        <v>7</v>
      </c>
      <c r="N5" s="27">
        <f>579-75</f>
        <v>504</v>
      </c>
      <c r="O5" s="28">
        <f t="shared" si="7"/>
        <v>-10</v>
      </c>
      <c r="P5" s="26">
        <v>0.0</v>
      </c>
      <c r="Q5" s="27">
        <f t="shared" si="10"/>
        <v>504</v>
      </c>
      <c r="R5" s="28">
        <f t="shared" si="8"/>
        <v>-10</v>
      </c>
    </row>
    <row r="6">
      <c r="A6" s="48">
        <f t="shared" si="11"/>
        <v>44812</v>
      </c>
      <c r="B6" s="22">
        <f>40-4</f>
        <v>36</v>
      </c>
      <c r="C6" s="21">
        <v>97.0</v>
      </c>
      <c r="D6" s="22">
        <f t="shared" si="9"/>
        <v>133</v>
      </c>
      <c r="E6" s="30">
        <f t="shared" si="3"/>
        <v>-4</v>
      </c>
      <c r="F6" s="21">
        <v>0.0</v>
      </c>
      <c r="G6" s="21">
        <v>22.0</v>
      </c>
      <c r="H6" s="22">
        <f t="shared" si="1"/>
        <v>155</v>
      </c>
      <c r="I6" s="30">
        <f t="shared" si="4"/>
        <v>-4</v>
      </c>
      <c r="J6" s="21">
        <v>0.0</v>
      </c>
      <c r="K6" s="30">
        <f t="shared" si="5"/>
        <v>0</v>
      </c>
      <c r="L6" s="21">
        <v>44.0</v>
      </c>
      <c r="M6" s="30">
        <f t="shared" si="6"/>
        <v>0</v>
      </c>
      <c r="N6" s="22">
        <f>559-75</f>
        <v>484</v>
      </c>
      <c r="O6" s="30">
        <f t="shared" si="7"/>
        <v>-20</v>
      </c>
      <c r="P6" s="21">
        <v>0.0</v>
      </c>
      <c r="Q6" s="22">
        <f t="shared" si="10"/>
        <v>484</v>
      </c>
      <c r="R6" s="30">
        <f t="shared" si="8"/>
        <v>-20</v>
      </c>
    </row>
    <row r="7">
      <c r="A7" s="50">
        <f t="shared" si="11"/>
        <v>44813</v>
      </c>
      <c r="B7" s="27">
        <f>36+6</f>
        <v>42</v>
      </c>
      <c r="C7" s="27">
        <f>97</f>
        <v>97</v>
      </c>
      <c r="D7" s="27">
        <f t="shared" si="9"/>
        <v>139</v>
      </c>
      <c r="E7" s="28">
        <f t="shared" si="3"/>
        <v>6</v>
      </c>
      <c r="F7" s="26">
        <v>0.0</v>
      </c>
      <c r="G7" s="26">
        <v>24.0</v>
      </c>
      <c r="H7" s="27">
        <f t="shared" si="1"/>
        <v>163</v>
      </c>
      <c r="I7" s="28">
        <f t="shared" si="4"/>
        <v>8</v>
      </c>
      <c r="J7" s="26">
        <v>0.0</v>
      </c>
      <c r="K7" s="28">
        <f t="shared" si="5"/>
        <v>0</v>
      </c>
      <c r="L7" s="27">
        <f>44+6</f>
        <v>50</v>
      </c>
      <c r="M7" s="28">
        <f t="shared" si="6"/>
        <v>6</v>
      </c>
      <c r="N7" s="27">
        <f>539-75</f>
        <v>464</v>
      </c>
      <c r="O7" s="28">
        <f t="shared" si="7"/>
        <v>-20</v>
      </c>
      <c r="P7" s="26">
        <v>0.0</v>
      </c>
      <c r="Q7" s="27">
        <f t="shared" si="10"/>
        <v>464</v>
      </c>
      <c r="R7" s="28">
        <f t="shared" si="8"/>
        <v>-20</v>
      </c>
    </row>
    <row r="8">
      <c r="A8" s="48">
        <f t="shared" si="11"/>
        <v>44816</v>
      </c>
      <c r="B8" s="22">
        <f>42-3</f>
        <v>39</v>
      </c>
      <c r="C8" s="21">
        <v>97.0</v>
      </c>
      <c r="D8" s="22">
        <f t="shared" si="9"/>
        <v>136</v>
      </c>
      <c r="E8" s="30">
        <f t="shared" si="3"/>
        <v>-3</v>
      </c>
      <c r="F8" s="21">
        <v>0.0</v>
      </c>
      <c r="G8" s="21">
        <v>31.0</v>
      </c>
      <c r="H8" s="22">
        <f t="shared" si="1"/>
        <v>167</v>
      </c>
      <c r="I8" s="30">
        <f t="shared" si="4"/>
        <v>4</v>
      </c>
      <c r="J8" s="21">
        <v>0.0</v>
      </c>
      <c r="K8" s="30">
        <f t="shared" si="5"/>
        <v>0</v>
      </c>
      <c r="L8" s="21">
        <v>50.0</v>
      </c>
      <c r="M8" s="30">
        <f t="shared" si="6"/>
        <v>0</v>
      </c>
      <c r="N8" s="22">
        <f t="shared" ref="N8:N9" si="12">534-75</f>
        <v>459</v>
      </c>
      <c r="O8" s="30">
        <f t="shared" si="7"/>
        <v>-5</v>
      </c>
      <c r="P8" s="21">
        <v>0.0</v>
      </c>
      <c r="Q8" s="22">
        <f t="shared" si="10"/>
        <v>459</v>
      </c>
      <c r="R8" s="30">
        <f t="shared" si="8"/>
        <v>-5</v>
      </c>
    </row>
    <row r="9">
      <c r="A9" s="50">
        <f t="shared" si="11"/>
        <v>44817</v>
      </c>
      <c r="B9" s="27">
        <f>39</f>
        <v>39</v>
      </c>
      <c r="C9" s="26">
        <v>97.0</v>
      </c>
      <c r="D9" s="27">
        <f t="shared" si="9"/>
        <v>136</v>
      </c>
      <c r="E9" s="28">
        <f t="shared" si="3"/>
        <v>0</v>
      </c>
      <c r="F9" s="26">
        <v>0.0</v>
      </c>
      <c r="G9" s="26">
        <f>35</f>
        <v>35</v>
      </c>
      <c r="H9" s="27">
        <f t="shared" si="1"/>
        <v>171</v>
      </c>
      <c r="I9" s="28">
        <f t="shared" si="4"/>
        <v>4</v>
      </c>
      <c r="J9" s="26">
        <v>0.0</v>
      </c>
      <c r="K9" s="28">
        <f t="shared" si="5"/>
        <v>0</v>
      </c>
      <c r="L9" s="26">
        <v>50.0</v>
      </c>
      <c r="M9" s="28">
        <f t="shared" si="6"/>
        <v>0</v>
      </c>
      <c r="N9" s="27">
        <f t="shared" si="12"/>
        <v>459</v>
      </c>
      <c r="O9" s="28">
        <f t="shared" si="7"/>
        <v>0</v>
      </c>
      <c r="P9" s="26">
        <v>0.0</v>
      </c>
      <c r="Q9" s="27">
        <f t="shared" si="10"/>
        <v>459</v>
      </c>
      <c r="R9" s="28">
        <f t="shared" si="8"/>
        <v>0</v>
      </c>
    </row>
    <row r="10">
      <c r="A10" s="48">
        <f t="shared" si="11"/>
        <v>44818</v>
      </c>
      <c r="B10" s="22">
        <f>68</f>
        <v>68</v>
      </c>
      <c r="C10" s="22">
        <f>97</f>
        <v>97</v>
      </c>
      <c r="D10" s="22">
        <f t="shared" si="9"/>
        <v>165</v>
      </c>
      <c r="E10" s="30">
        <f t="shared" si="3"/>
        <v>29</v>
      </c>
      <c r="F10" s="21">
        <v>0.0</v>
      </c>
      <c r="G10" s="22">
        <f>2</f>
        <v>2</v>
      </c>
      <c r="H10" s="22">
        <f t="shared" si="1"/>
        <v>167</v>
      </c>
      <c r="I10" s="30">
        <f t="shared" si="4"/>
        <v>-4</v>
      </c>
      <c r="J10" s="21">
        <v>0.0</v>
      </c>
      <c r="K10" s="30">
        <f t="shared" si="5"/>
        <v>0</v>
      </c>
      <c r="L10" s="21">
        <v>55.0</v>
      </c>
      <c r="M10" s="30">
        <f t="shared" si="6"/>
        <v>5</v>
      </c>
      <c r="N10" s="22">
        <f t="shared" ref="N10:N11" si="13">524-75</f>
        <v>449</v>
      </c>
      <c r="O10" s="30">
        <f t="shared" si="7"/>
        <v>-10</v>
      </c>
      <c r="P10" s="21">
        <v>0.0</v>
      </c>
      <c r="Q10" s="22">
        <f t="shared" si="10"/>
        <v>449</v>
      </c>
      <c r="R10" s="30">
        <f t="shared" si="8"/>
        <v>-10</v>
      </c>
    </row>
    <row r="11">
      <c r="A11" s="50">
        <f t="shared" si="11"/>
        <v>44819</v>
      </c>
      <c r="B11" s="27">
        <f>68-7</f>
        <v>61</v>
      </c>
      <c r="C11" s="26">
        <v>99.0</v>
      </c>
      <c r="D11" s="27">
        <f t="shared" si="9"/>
        <v>160</v>
      </c>
      <c r="E11" s="28">
        <f t="shared" si="3"/>
        <v>-5</v>
      </c>
      <c r="F11" s="26">
        <v>0.0</v>
      </c>
      <c r="G11" s="26">
        <v>5.0</v>
      </c>
      <c r="H11" s="27">
        <f t="shared" si="1"/>
        <v>165</v>
      </c>
      <c r="I11" s="28">
        <f t="shared" si="4"/>
        <v>-2</v>
      </c>
      <c r="J11" s="26">
        <v>0.0</v>
      </c>
      <c r="K11" s="28">
        <f t="shared" si="5"/>
        <v>0</v>
      </c>
      <c r="L11" s="27">
        <f>55+4</f>
        <v>59</v>
      </c>
      <c r="M11" s="28">
        <f t="shared" si="6"/>
        <v>4</v>
      </c>
      <c r="N11" s="27">
        <f t="shared" si="13"/>
        <v>449</v>
      </c>
      <c r="O11" s="28">
        <f t="shared" si="7"/>
        <v>0</v>
      </c>
      <c r="P11" s="26">
        <v>0.0</v>
      </c>
      <c r="Q11" s="27">
        <f t="shared" si="10"/>
        <v>449</v>
      </c>
      <c r="R11" s="28">
        <f t="shared" si="8"/>
        <v>0</v>
      </c>
    </row>
    <row r="12">
      <c r="A12" s="48">
        <f t="shared" si="11"/>
        <v>44820</v>
      </c>
      <c r="B12" s="22">
        <f>61-8</f>
        <v>53</v>
      </c>
      <c r="C12" s="21">
        <v>99.0</v>
      </c>
      <c r="D12" s="22">
        <f t="shared" si="9"/>
        <v>152</v>
      </c>
      <c r="E12" s="30">
        <f t="shared" si="3"/>
        <v>-8</v>
      </c>
      <c r="F12" s="21">
        <v>0.0</v>
      </c>
      <c r="G12" s="21">
        <v>15.0</v>
      </c>
      <c r="H12" s="22">
        <f t="shared" si="1"/>
        <v>167</v>
      </c>
      <c r="I12" s="30">
        <f t="shared" si="4"/>
        <v>2</v>
      </c>
      <c r="J12" s="21">
        <v>0.0</v>
      </c>
      <c r="K12" s="30">
        <f t="shared" si="5"/>
        <v>0</v>
      </c>
      <c r="L12" s="22">
        <f>59+2</f>
        <v>61</v>
      </c>
      <c r="M12" s="30">
        <f t="shared" si="6"/>
        <v>2</v>
      </c>
      <c r="N12" s="22">
        <f>501-75</f>
        <v>426</v>
      </c>
      <c r="O12" s="30">
        <f t="shared" si="7"/>
        <v>-23</v>
      </c>
      <c r="P12" s="21">
        <v>0.0</v>
      </c>
      <c r="Q12" s="22">
        <f t="shared" si="10"/>
        <v>426</v>
      </c>
      <c r="R12" s="30">
        <f t="shared" si="8"/>
        <v>-23</v>
      </c>
    </row>
    <row r="13">
      <c r="A13" s="50">
        <f t="shared" si="11"/>
        <v>44823</v>
      </c>
      <c r="B13" s="27">
        <f>53+15-4</f>
        <v>64</v>
      </c>
      <c r="C13" s="27">
        <f>99-1</f>
        <v>98</v>
      </c>
      <c r="D13" s="27">
        <f t="shared" si="9"/>
        <v>162</v>
      </c>
      <c r="E13" s="28">
        <f t="shared" si="3"/>
        <v>10</v>
      </c>
      <c r="F13" s="26">
        <v>0.0</v>
      </c>
      <c r="G13" s="26">
        <v>18.0</v>
      </c>
      <c r="H13" s="27">
        <f t="shared" si="1"/>
        <v>180</v>
      </c>
      <c r="I13" s="28">
        <f t="shared" si="4"/>
        <v>13</v>
      </c>
      <c r="J13" s="26">
        <v>0.0</v>
      </c>
      <c r="K13" s="28">
        <f t="shared" si="5"/>
        <v>0</v>
      </c>
      <c r="L13" s="27">
        <f>61</f>
        <v>61</v>
      </c>
      <c r="M13" s="28">
        <f t="shared" si="6"/>
        <v>0</v>
      </c>
      <c r="N13" s="27">
        <f>491-75</f>
        <v>416</v>
      </c>
      <c r="O13" s="28">
        <f t="shared" si="7"/>
        <v>-10</v>
      </c>
      <c r="P13" s="26">
        <v>0.0</v>
      </c>
      <c r="Q13" s="27">
        <f t="shared" si="10"/>
        <v>416</v>
      </c>
      <c r="R13" s="28">
        <f t="shared" si="8"/>
        <v>-10</v>
      </c>
    </row>
    <row r="14">
      <c r="A14" s="48">
        <f t="shared" si="11"/>
        <v>44824</v>
      </c>
      <c r="B14" s="21">
        <v>62.0</v>
      </c>
      <c r="C14" s="21">
        <v>98.0</v>
      </c>
      <c r="D14" s="22">
        <f t="shared" si="9"/>
        <v>160</v>
      </c>
      <c r="E14" s="30">
        <f t="shared" si="3"/>
        <v>-2</v>
      </c>
      <c r="F14" s="21">
        <v>0.0</v>
      </c>
      <c r="G14" s="21">
        <v>25.0</v>
      </c>
      <c r="H14" s="22">
        <f t="shared" si="1"/>
        <v>185</v>
      </c>
      <c r="I14" s="30">
        <f t="shared" si="4"/>
        <v>5</v>
      </c>
      <c r="J14" s="21">
        <v>0.0</v>
      </c>
      <c r="K14" s="30">
        <f t="shared" si="5"/>
        <v>0</v>
      </c>
      <c r="L14" s="21">
        <v>61.0</v>
      </c>
      <c r="M14" s="30">
        <f t="shared" si="6"/>
        <v>0</v>
      </c>
      <c r="N14" s="22">
        <f>486-75</f>
        <v>411</v>
      </c>
      <c r="O14" s="30">
        <f t="shared" si="7"/>
        <v>-5</v>
      </c>
      <c r="P14" s="21">
        <v>0.0</v>
      </c>
      <c r="Q14" s="22">
        <f t="shared" si="10"/>
        <v>411</v>
      </c>
      <c r="R14" s="30">
        <f t="shared" si="8"/>
        <v>-5</v>
      </c>
    </row>
    <row r="15">
      <c r="A15" s="50">
        <f t="shared" si="11"/>
        <v>44825</v>
      </c>
      <c r="B15" s="27">
        <f>51</f>
        <v>51</v>
      </c>
      <c r="C15" s="26">
        <v>98.0</v>
      </c>
      <c r="D15" s="27">
        <f t="shared" si="9"/>
        <v>149</v>
      </c>
      <c r="E15" s="28">
        <f t="shared" si="3"/>
        <v>-11</v>
      </c>
      <c r="F15" s="26">
        <v>0.0</v>
      </c>
      <c r="G15" s="26">
        <v>25.0</v>
      </c>
      <c r="H15" s="27">
        <f t="shared" si="1"/>
        <v>174</v>
      </c>
      <c r="I15" s="28">
        <f t="shared" si="4"/>
        <v>-11</v>
      </c>
      <c r="J15" s="26">
        <v>0.0</v>
      </c>
      <c r="K15" s="28">
        <f t="shared" si="5"/>
        <v>0</v>
      </c>
      <c r="L15" s="26">
        <v>61.0</v>
      </c>
      <c r="M15" s="28">
        <f t="shared" si="6"/>
        <v>0</v>
      </c>
      <c r="N15" s="27">
        <f>401-75</f>
        <v>326</v>
      </c>
      <c r="O15" s="28">
        <f t="shared" si="7"/>
        <v>-85</v>
      </c>
      <c r="P15" s="26">
        <v>0.0</v>
      </c>
      <c r="Q15" s="27">
        <f t="shared" si="10"/>
        <v>326</v>
      </c>
      <c r="R15" s="28">
        <f t="shared" si="8"/>
        <v>-85</v>
      </c>
    </row>
    <row r="16">
      <c r="A16" s="48">
        <f t="shared" si="11"/>
        <v>44826</v>
      </c>
      <c r="B16" s="22">
        <f>51-1</f>
        <v>50</v>
      </c>
      <c r="C16" s="21">
        <v>98.0</v>
      </c>
      <c r="D16" s="22">
        <f t="shared" si="9"/>
        <v>148</v>
      </c>
      <c r="E16" s="30">
        <f t="shared" si="3"/>
        <v>-1</v>
      </c>
      <c r="F16" s="21">
        <v>0.0</v>
      </c>
      <c r="G16" s="21">
        <v>25.0</v>
      </c>
      <c r="H16" s="22">
        <f t="shared" si="1"/>
        <v>173</v>
      </c>
      <c r="I16" s="30">
        <f t="shared" si="4"/>
        <v>-1</v>
      </c>
      <c r="J16" s="21">
        <v>0.0</v>
      </c>
      <c r="K16" s="30">
        <f t="shared" si="5"/>
        <v>0</v>
      </c>
      <c r="L16" s="22">
        <f>61</f>
        <v>61</v>
      </c>
      <c r="M16" s="30">
        <f t="shared" si="6"/>
        <v>0</v>
      </c>
      <c r="N16" s="22">
        <f>396-75</f>
        <v>321</v>
      </c>
      <c r="O16" s="30">
        <f t="shared" si="7"/>
        <v>-5</v>
      </c>
      <c r="P16" s="21">
        <v>0.0</v>
      </c>
      <c r="Q16" s="22">
        <f t="shared" si="10"/>
        <v>321</v>
      </c>
      <c r="R16" s="30">
        <f t="shared" si="8"/>
        <v>-5</v>
      </c>
    </row>
    <row r="17">
      <c r="A17" s="50">
        <f t="shared" si="11"/>
        <v>44827</v>
      </c>
      <c r="B17" s="26">
        <v>56.0</v>
      </c>
      <c r="C17" s="27">
        <f>104</f>
        <v>104</v>
      </c>
      <c r="D17" s="27">
        <f t="shared" si="9"/>
        <v>160</v>
      </c>
      <c r="E17" s="28">
        <f t="shared" si="3"/>
        <v>12</v>
      </c>
      <c r="F17" s="26">
        <v>0.0</v>
      </c>
      <c r="G17" s="26">
        <v>0.0</v>
      </c>
      <c r="H17" s="27">
        <f t="shared" si="1"/>
        <v>160</v>
      </c>
      <c r="I17" s="28">
        <f t="shared" si="4"/>
        <v>-13</v>
      </c>
      <c r="J17" s="26">
        <v>0.0</v>
      </c>
      <c r="K17" s="28">
        <f t="shared" si="5"/>
        <v>0</v>
      </c>
      <c r="L17" s="27">
        <f>61-4</f>
        <v>57</v>
      </c>
      <c r="M17" s="28">
        <f t="shared" si="6"/>
        <v>-4</v>
      </c>
      <c r="N17" s="27">
        <f>386-75</f>
        <v>311</v>
      </c>
      <c r="O17" s="28">
        <f t="shared" si="7"/>
        <v>-10</v>
      </c>
      <c r="P17" s="26">
        <v>0.0</v>
      </c>
      <c r="Q17" s="27">
        <f t="shared" si="10"/>
        <v>311</v>
      </c>
      <c r="R17" s="28">
        <f t="shared" si="8"/>
        <v>-10</v>
      </c>
    </row>
    <row r="18">
      <c r="A18" s="48">
        <f t="shared" si="11"/>
        <v>44830</v>
      </c>
      <c r="B18" s="21">
        <v>52.0</v>
      </c>
      <c r="C18" s="21">
        <v>98.0</v>
      </c>
      <c r="D18" s="22">
        <f t="shared" si="9"/>
        <v>150</v>
      </c>
      <c r="E18" s="30">
        <f t="shared" si="3"/>
        <v>-10</v>
      </c>
      <c r="F18" s="21">
        <v>0.0</v>
      </c>
      <c r="G18" s="21">
        <v>16.0</v>
      </c>
      <c r="H18" s="22">
        <f t="shared" si="1"/>
        <v>166</v>
      </c>
      <c r="I18" s="30">
        <f t="shared" si="4"/>
        <v>6</v>
      </c>
      <c r="J18" s="21">
        <v>0.0</v>
      </c>
      <c r="K18" s="30">
        <f t="shared" si="5"/>
        <v>0</v>
      </c>
      <c r="L18" s="22">
        <f>57+3</f>
        <v>60</v>
      </c>
      <c r="M18" s="30">
        <f t="shared" si="6"/>
        <v>3</v>
      </c>
      <c r="N18" s="22">
        <f>380-75</f>
        <v>305</v>
      </c>
      <c r="O18" s="30">
        <f t="shared" si="7"/>
        <v>-6</v>
      </c>
      <c r="P18" s="21">
        <v>0.0</v>
      </c>
      <c r="Q18" s="22">
        <f t="shared" si="10"/>
        <v>305</v>
      </c>
      <c r="R18" s="30">
        <f t="shared" si="8"/>
        <v>-6</v>
      </c>
    </row>
    <row r="19">
      <c r="A19" s="50">
        <f t="shared" si="11"/>
        <v>44831</v>
      </c>
      <c r="B19" s="26">
        <v>54.0</v>
      </c>
      <c r="C19" s="26">
        <v>98.0</v>
      </c>
      <c r="D19" s="27">
        <f t="shared" si="9"/>
        <v>152</v>
      </c>
      <c r="E19" s="28">
        <f t="shared" si="3"/>
        <v>2</v>
      </c>
      <c r="F19" s="26">
        <v>0.0</v>
      </c>
      <c r="G19" s="26">
        <v>0.0</v>
      </c>
      <c r="H19" s="27">
        <f t="shared" si="1"/>
        <v>152</v>
      </c>
      <c r="I19" s="28">
        <f t="shared" si="4"/>
        <v>-14</v>
      </c>
      <c r="J19" s="26">
        <v>0.0</v>
      </c>
      <c r="K19" s="28">
        <f t="shared" si="5"/>
        <v>0</v>
      </c>
      <c r="L19" s="27">
        <f>60</f>
        <v>60</v>
      </c>
      <c r="M19" s="28">
        <f t="shared" si="6"/>
        <v>0</v>
      </c>
      <c r="N19" s="27">
        <f t="shared" ref="N19:N20" si="14">360-75</f>
        <v>285</v>
      </c>
      <c r="O19" s="28">
        <f t="shared" si="7"/>
        <v>-20</v>
      </c>
      <c r="P19" s="26">
        <v>0.0</v>
      </c>
      <c r="Q19" s="27">
        <f t="shared" si="10"/>
        <v>285</v>
      </c>
      <c r="R19" s="28">
        <f t="shared" si="8"/>
        <v>-20</v>
      </c>
    </row>
    <row r="20">
      <c r="A20" s="48">
        <f t="shared" si="11"/>
        <v>44832</v>
      </c>
      <c r="B20" s="21">
        <v>59.0</v>
      </c>
      <c r="C20" s="21">
        <v>98.0</v>
      </c>
      <c r="D20" s="22">
        <f t="shared" si="9"/>
        <v>157</v>
      </c>
      <c r="E20" s="30">
        <f t="shared" si="3"/>
        <v>5</v>
      </c>
      <c r="F20" s="21">
        <v>0.0</v>
      </c>
      <c r="G20" s="21">
        <v>0.0</v>
      </c>
      <c r="H20" s="22">
        <f t="shared" si="1"/>
        <v>157</v>
      </c>
      <c r="I20" s="30">
        <f t="shared" si="4"/>
        <v>5</v>
      </c>
      <c r="J20" s="21">
        <v>0.0</v>
      </c>
      <c r="K20" s="30">
        <f t="shared" si="5"/>
        <v>0</v>
      </c>
      <c r="L20" s="21">
        <v>60.0</v>
      </c>
      <c r="M20" s="30">
        <f t="shared" si="6"/>
        <v>0</v>
      </c>
      <c r="N20" s="21">
        <f t="shared" si="14"/>
        <v>285</v>
      </c>
      <c r="O20" s="30">
        <f t="shared" si="7"/>
        <v>0</v>
      </c>
      <c r="P20" s="21">
        <v>0.0</v>
      </c>
      <c r="Q20" s="22">
        <f t="shared" si="10"/>
        <v>285</v>
      </c>
      <c r="R20" s="30">
        <f t="shared" si="8"/>
        <v>0</v>
      </c>
    </row>
    <row r="21">
      <c r="A21" s="50">
        <f t="shared" si="11"/>
        <v>44833</v>
      </c>
      <c r="B21" s="26">
        <v>12.0</v>
      </c>
      <c r="C21" s="26">
        <v>98.0</v>
      </c>
      <c r="D21" s="27">
        <f t="shared" si="9"/>
        <v>110</v>
      </c>
      <c r="E21" s="28">
        <f t="shared" si="3"/>
        <v>-47</v>
      </c>
      <c r="F21" s="26">
        <v>0.0</v>
      </c>
      <c r="G21" s="26">
        <v>13.0</v>
      </c>
      <c r="H21" s="27">
        <f t="shared" si="1"/>
        <v>123</v>
      </c>
      <c r="I21" s="28">
        <f t="shared" si="4"/>
        <v>-34</v>
      </c>
      <c r="J21" s="26">
        <v>100.0</v>
      </c>
      <c r="K21" s="28">
        <f t="shared" si="5"/>
        <v>100</v>
      </c>
      <c r="L21" s="26">
        <v>60.0</v>
      </c>
      <c r="M21" s="28">
        <f t="shared" si="6"/>
        <v>0</v>
      </c>
      <c r="N21" s="27">
        <f>330-75</f>
        <v>255</v>
      </c>
      <c r="O21" s="28">
        <f t="shared" si="7"/>
        <v>-30</v>
      </c>
      <c r="P21" s="26">
        <v>0.0</v>
      </c>
      <c r="Q21" s="27">
        <f t="shared" si="10"/>
        <v>255</v>
      </c>
      <c r="R21" s="28">
        <f t="shared" si="8"/>
        <v>-30</v>
      </c>
    </row>
    <row r="22">
      <c r="A22" s="48">
        <f t="shared" si="11"/>
        <v>44834</v>
      </c>
      <c r="B22" s="21">
        <v>22.0</v>
      </c>
      <c r="C22" s="21">
        <v>98.0</v>
      </c>
      <c r="D22" s="22">
        <f t="shared" si="9"/>
        <v>120</v>
      </c>
      <c r="E22" s="30">
        <f t="shared" si="3"/>
        <v>10</v>
      </c>
      <c r="F22" s="21">
        <v>0.0</v>
      </c>
      <c r="G22" s="21">
        <v>0.0</v>
      </c>
      <c r="H22" s="22">
        <f t="shared" si="1"/>
        <v>120</v>
      </c>
      <c r="I22" s="30">
        <f t="shared" si="4"/>
        <v>-3</v>
      </c>
      <c r="J22" s="21">
        <v>100.0</v>
      </c>
      <c r="K22" s="30">
        <f t="shared" si="5"/>
        <v>0</v>
      </c>
      <c r="L22" s="21">
        <v>60.0</v>
      </c>
      <c r="M22" s="30">
        <f t="shared" si="6"/>
        <v>0</v>
      </c>
      <c r="N22" s="22">
        <f>315-75</f>
        <v>240</v>
      </c>
      <c r="O22" s="30">
        <f t="shared" si="7"/>
        <v>-15</v>
      </c>
      <c r="P22" s="21">
        <v>0.0</v>
      </c>
      <c r="Q22" s="22">
        <f t="shared" si="10"/>
        <v>240</v>
      </c>
      <c r="R22" s="30">
        <f t="shared" si="8"/>
        <v>-15</v>
      </c>
    </row>
    <row r="23">
      <c r="A23" s="51"/>
    </row>
    <row r="24" ht="37.5" customHeight="1"/>
    <row r="25" ht="37.5" customHeight="1"/>
    <row r="26" ht="37.5" customHeight="1"/>
    <row r="27" ht="37.5" customHeight="1"/>
    <row r="28" ht="37.5" customHeight="1"/>
    <row r="29" ht="37.5" customHeight="1"/>
    <row r="30" ht="37.5" customHeight="1"/>
    <row r="31" ht="37.5" customHeight="1"/>
  </sheetData>
  <autoFilter ref="$A$1:$R$22"/>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45</v>
      </c>
      <c r="B1" s="2"/>
      <c r="C1" s="2"/>
      <c r="D1" s="2"/>
      <c r="E1" s="2"/>
      <c r="F1" s="2"/>
      <c r="G1" s="2"/>
      <c r="H1" s="2"/>
      <c r="I1" s="2"/>
      <c r="J1" s="2"/>
      <c r="K1" s="2"/>
      <c r="L1" s="3"/>
    </row>
    <row r="2">
      <c r="A2" s="45" t="s">
        <v>28</v>
      </c>
      <c r="B2" s="17" t="s">
        <v>42</v>
      </c>
      <c r="C2" s="17" t="s">
        <v>43</v>
      </c>
      <c r="D2" s="17" t="s">
        <v>20</v>
      </c>
      <c r="E2" s="17" t="s">
        <v>5</v>
      </c>
      <c r="F2" s="17" t="s">
        <v>38</v>
      </c>
      <c r="G2" s="17" t="s">
        <v>23</v>
      </c>
      <c r="H2" s="18" t="s">
        <v>24</v>
      </c>
      <c r="I2" s="18" t="s">
        <v>40</v>
      </c>
      <c r="J2" s="19" t="s">
        <v>13</v>
      </c>
      <c r="K2" s="19" t="s">
        <v>25</v>
      </c>
      <c r="L2" s="19" t="s">
        <v>26</v>
      </c>
    </row>
    <row r="3">
      <c r="A3" s="36" t="s">
        <v>29</v>
      </c>
      <c r="B3" s="46">
        <f>'September 2022'!B2</f>
        <v>45</v>
      </c>
      <c r="C3" s="46">
        <f>'September 2022'!C2</f>
        <v>97</v>
      </c>
      <c r="D3" s="46">
        <f>'September 2022'!D2</f>
        <v>142</v>
      </c>
      <c r="E3" s="37">
        <f>'September 2022'!F2</f>
        <v>0</v>
      </c>
      <c r="F3" s="37">
        <f>'September 2022'!G2</f>
        <v>14</v>
      </c>
      <c r="G3" s="37">
        <f>'September 2022'!H2</f>
        <v>156</v>
      </c>
      <c r="H3" s="46">
        <f>'September 2022'!J2</f>
        <v>0</v>
      </c>
      <c r="I3" s="37">
        <f>'September 2022'!L2</f>
        <v>35</v>
      </c>
      <c r="J3" s="46">
        <f>'September 2022'!N2</f>
        <v>524</v>
      </c>
      <c r="K3" s="46">
        <f>'September 2022'!P2</f>
        <v>0</v>
      </c>
      <c r="L3" s="46">
        <f>'September 2022'!Q2</f>
        <v>524</v>
      </c>
    </row>
    <row r="4">
      <c r="A4" s="36" t="s">
        <v>30</v>
      </c>
      <c r="B4" s="46">
        <f>'September 2022'!B22</f>
        <v>22</v>
      </c>
      <c r="C4" s="46">
        <f>'September 2022'!C22</f>
        <v>98</v>
      </c>
      <c r="D4" s="46">
        <f>'September 2022'!D22</f>
        <v>120</v>
      </c>
      <c r="E4" s="46">
        <f>'September 2022'!F22</f>
        <v>0</v>
      </c>
      <c r="F4" s="46">
        <f>'September 2022'!G22</f>
        <v>0</v>
      </c>
      <c r="G4" s="46">
        <f>'September 2022'!H22</f>
        <v>120</v>
      </c>
      <c r="H4" s="46">
        <f>'September 2022'!J22</f>
        <v>100</v>
      </c>
      <c r="I4" s="46">
        <f>'September 2022'!L22</f>
        <v>60</v>
      </c>
      <c r="J4" s="46">
        <f>'September 2022'!N22</f>
        <v>240</v>
      </c>
      <c r="K4" s="46">
        <f>'September 2022'!P22</f>
        <v>0</v>
      </c>
      <c r="L4" s="46">
        <f>'September 2022'!Q22</f>
        <v>240</v>
      </c>
    </row>
    <row r="5">
      <c r="A5" s="36" t="s">
        <v>21</v>
      </c>
      <c r="B5" s="38">
        <f t="shared" ref="B5:L5" si="1">B4-B3</f>
        <v>-23</v>
      </c>
      <c r="C5" s="38">
        <f t="shared" si="1"/>
        <v>1</v>
      </c>
      <c r="D5" s="38">
        <f t="shared" si="1"/>
        <v>-22</v>
      </c>
      <c r="E5" s="38">
        <f t="shared" si="1"/>
        <v>0</v>
      </c>
      <c r="F5" s="38">
        <f t="shared" si="1"/>
        <v>-14</v>
      </c>
      <c r="G5" s="38">
        <f t="shared" si="1"/>
        <v>-36</v>
      </c>
      <c r="H5" s="38">
        <f t="shared" si="1"/>
        <v>100</v>
      </c>
      <c r="I5" s="38">
        <f t="shared" si="1"/>
        <v>25</v>
      </c>
      <c r="J5" s="38">
        <f t="shared" si="1"/>
        <v>-284</v>
      </c>
      <c r="K5" s="38">
        <f t="shared" si="1"/>
        <v>0</v>
      </c>
      <c r="L5" s="38">
        <f t="shared" si="1"/>
        <v>-284</v>
      </c>
    </row>
    <row r="6">
      <c r="A6" s="39" t="s">
        <v>31</v>
      </c>
      <c r="B6" s="47">
        <f>AVERAGE('September 2022'!B2:B22)</f>
        <v>46.95238095</v>
      </c>
      <c r="C6" s="47">
        <f>AVERAGE('September 2022'!C2:C22)</f>
        <v>97.95238095</v>
      </c>
      <c r="D6" s="47">
        <f>AVERAGE('September 2022'!D2:D22)</f>
        <v>144.9047619</v>
      </c>
      <c r="E6" s="47">
        <f>AVERAGE('September 2022'!F2:F22)</f>
        <v>0</v>
      </c>
      <c r="F6" s="47">
        <f>AVERAGE('September 2022'!G2:G22)</f>
        <v>15.0952381</v>
      </c>
      <c r="G6" s="47">
        <f>AVERAGE('September 2022'!H2:H22)</f>
        <v>160</v>
      </c>
      <c r="H6" s="47">
        <f>AVERAGE('September 2022'!J2:J22)</f>
        <v>9.523809524</v>
      </c>
      <c r="I6" s="47">
        <f>AVERAGE('September 2022'!L2:L22)</f>
        <v>53.47619048</v>
      </c>
      <c r="J6" s="47">
        <f>AVERAGE('September 2022'!N2:N22)</f>
        <v>400.2857143</v>
      </c>
      <c r="K6" s="47">
        <f>AVERAGE('September 2022'!P2:P22)</f>
        <v>0</v>
      </c>
      <c r="L6" s="47">
        <f>AVERAGE('September 2022'!Q2:Q22)</f>
        <v>400.2857143</v>
      </c>
    </row>
    <row r="7">
      <c r="A7" s="39" t="s">
        <v>32</v>
      </c>
      <c r="B7" s="47">
        <f>stdev('September 2022'!B2:B22)</f>
        <v>13.74218393</v>
      </c>
      <c r="C7" s="47">
        <f>stdev('September 2022'!C2:C22)</f>
        <v>1.532194194</v>
      </c>
      <c r="D7" s="47">
        <f>stdev('September 2022'!D2:D22)</f>
        <v>14.20881685</v>
      </c>
      <c r="E7" s="47">
        <f>stdev('September 2022'!F2:F22)</f>
        <v>0</v>
      </c>
      <c r="F7" s="47">
        <f>stdev('September 2022'!G2:G22)</f>
        <v>11.49741172</v>
      </c>
      <c r="G7" s="47">
        <f>stdev('September 2022'!H2:H22)</f>
        <v>16.2080227</v>
      </c>
      <c r="H7" s="47">
        <f>stdev('September 2022'!J2:J22)</f>
        <v>30.07926038</v>
      </c>
      <c r="I7" s="47">
        <f>stdev('September 2022'!L2:L22)</f>
        <v>9.058802612</v>
      </c>
      <c r="J7" s="47">
        <f>stdev('September 2022'!N2:N22)</f>
        <v>94.618784</v>
      </c>
      <c r="K7" s="47">
        <f>stdev('September 2022'!P2:P22)</f>
        <v>0</v>
      </c>
      <c r="L7" s="47">
        <f>stdev('September 2022'!Q2:Q22)</f>
        <v>94.618784</v>
      </c>
    </row>
    <row r="8">
      <c r="A8" s="39" t="s">
        <v>33</v>
      </c>
      <c r="B8" s="47">
        <f>slope('September 2022'!B2:B22,'September 2022'!A2:A22)</f>
        <v>0.03528782748</v>
      </c>
      <c r="C8" s="47">
        <f>slope('September 2022'!C2:C22,'September 2022'!A2:A22)</f>
        <v>0.07084298699</v>
      </c>
      <c r="D8" s="47">
        <f>slope('September 2022'!D2:D22,'September 2022'!A2:A22)</f>
        <v>0.1061308145</v>
      </c>
      <c r="E8" s="47">
        <f>slope('September 2022'!F2:F22,'September 2022'!A2:A22)</f>
        <v>0</v>
      </c>
      <c r="F8" s="47">
        <f>slope('September 2022'!G2:G22,'September 2022'!A2:A22)</f>
        <v>-0.4760292283</v>
      </c>
      <c r="G8" s="47">
        <f>slope('September 2022'!H2:H22,'September 2022'!A2:A22)</f>
        <v>-0.3698984138</v>
      </c>
      <c r="H8" s="47">
        <f>slope('September 2022'!J2:J22,'September 2022'!A2:A22)</f>
        <v>1.612903226</v>
      </c>
      <c r="I8" s="47">
        <f>slope('September 2022'!L2:L22,'September 2022'!A2:A22)</f>
        <v>0.8890572091</v>
      </c>
      <c r="J8" s="47">
        <f>slope('September 2022'!N2:N22,'September 2022'!A2:A22)</f>
        <v>-10.21769738</v>
      </c>
      <c r="K8" s="47">
        <f>slope('September 2022'!P2:P22,'September 2022'!A2:A22)</f>
        <v>0</v>
      </c>
      <c r="L8" s="47">
        <f>slope('September 2022'!Q2:Q22,'September 2022'!A2:A22)</f>
        <v>-10.21769738</v>
      </c>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34</v>
      </c>
      <c r="C1" s="17" t="s">
        <v>35</v>
      </c>
      <c r="D1" s="17" t="s">
        <v>36</v>
      </c>
      <c r="E1" s="17" t="s">
        <v>21</v>
      </c>
      <c r="F1" s="17" t="s">
        <v>37</v>
      </c>
      <c r="G1" s="17" t="s">
        <v>38</v>
      </c>
      <c r="H1" s="17" t="s">
        <v>39</v>
      </c>
      <c r="I1" s="17" t="s">
        <v>21</v>
      </c>
      <c r="J1" s="18" t="s">
        <v>24</v>
      </c>
      <c r="K1" s="18" t="s">
        <v>21</v>
      </c>
      <c r="L1" s="18" t="s">
        <v>40</v>
      </c>
      <c r="M1" s="18" t="s">
        <v>21</v>
      </c>
      <c r="N1" s="19" t="s">
        <v>13</v>
      </c>
      <c r="O1" s="19" t="s">
        <v>21</v>
      </c>
      <c r="P1" s="19" t="s">
        <v>25</v>
      </c>
      <c r="Q1" s="19" t="s">
        <v>26</v>
      </c>
      <c r="R1" s="19" t="s">
        <v>21</v>
      </c>
    </row>
    <row r="2">
      <c r="A2" s="48">
        <v>44837.0</v>
      </c>
      <c r="B2" s="21">
        <v>25.0</v>
      </c>
      <c r="C2" s="21">
        <v>98.0</v>
      </c>
      <c r="D2" s="22">
        <f t="shared" ref="D2:D21" si="1">SUM(B2:C2)</f>
        <v>123</v>
      </c>
      <c r="E2" s="30">
        <f>3</f>
        <v>3</v>
      </c>
      <c r="F2" s="21">
        <v>0.0</v>
      </c>
      <c r="G2" s="21">
        <v>10.0</v>
      </c>
      <c r="H2" s="22">
        <f t="shared" ref="H2:H21" si="2">SUM(D2,F2,G2)</f>
        <v>133</v>
      </c>
      <c r="I2" s="43">
        <v>11.0</v>
      </c>
      <c r="J2" s="21">
        <v>100.0</v>
      </c>
      <c r="K2" s="43">
        <v>0.0</v>
      </c>
      <c r="L2" s="49">
        <v>65.0</v>
      </c>
      <c r="M2" s="30">
        <f>5</f>
        <v>5</v>
      </c>
      <c r="N2" s="21">
        <f t="shared" ref="N2:N3" si="3">310-75</f>
        <v>235</v>
      </c>
      <c r="O2" s="43">
        <v>-5.0</v>
      </c>
      <c r="P2" s="21">
        <v>0.0</v>
      </c>
      <c r="Q2" s="22">
        <f t="shared" ref="Q2:Q21" si="4">sum(N2,P2)</f>
        <v>235</v>
      </c>
      <c r="R2" s="43">
        <v>-5.0</v>
      </c>
    </row>
    <row r="3">
      <c r="A3" s="50">
        <f>WORKDAY($A$2,row(A1),1)</f>
        <v>44838</v>
      </c>
      <c r="B3" s="26">
        <v>34.0</v>
      </c>
      <c r="C3" s="26">
        <v>98.0</v>
      </c>
      <c r="D3" s="27">
        <f t="shared" si="1"/>
        <v>132</v>
      </c>
      <c r="E3" s="28">
        <f t="shared" ref="E3:E21" si="5">D3-D2</f>
        <v>9</v>
      </c>
      <c r="F3" s="26">
        <v>0.0</v>
      </c>
      <c r="G3" s="26">
        <v>0.0</v>
      </c>
      <c r="H3" s="27">
        <f t="shared" si="2"/>
        <v>132</v>
      </c>
      <c r="I3" s="28">
        <f t="shared" ref="I3:I21" si="6">H3-H2</f>
        <v>-1</v>
      </c>
      <c r="J3" s="26">
        <v>100.0</v>
      </c>
      <c r="K3" s="28">
        <f t="shared" ref="K3:K21" si="7">J3-J2</f>
        <v>0</v>
      </c>
      <c r="L3" s="26">
        <v>65.0</v>
      </c>
      <c r="M3" s="28">
        <f t="shared" ref="M3:M21" si="8">L3-L2</f>
        <v>0</v>
      </c>
      <c r="N3" s="26">
        <f t="shared" si="3"/>
        <v>235</v>
      </c>
      <c r="O3" s="28">
        <f t="shared" ref="O3:O21" si="9">N3-N2</f>
        <v>0</v>
      </c>
      <c r="P3" s="26">
        <v>0.0</v>
      </c>
      <c r="Q3" s="27">
        <f t="shared" si="4"/>
        <v>235</v>
      </c>
      <c r="R3" s="28">
        <f t="shared" ref="R3:R21" si="10">Q3-Q2</f>
        <v>0</v>
      </c>
    </row>
    <row r="4">
      <c r="A4" s="48">
        <f t="shared" ref="A4:A6" si="11">WORKDAY($A$2,row(A1),1)</f>
        <v>44838</v>
      </c>
      <c r="B4" s="21">
        <v>20.0</v>
      </c>
      <c r="C4" s="21">
        <v>98.0</v>
      </c>
      <c r="D4" s="22">
        <f t="shared" si="1"/>
        <v>118</v>
      </c>
      <c r="E4" s="30">
        <f t="shared" si="5"/>
        <v>-14</v>
      </c>
      <c r="F4" s="21">
        <v>0.0</v>
      </c>
      <c r="G4" s="21">
        <v>0.0</v>
      </c>
      <c r="H4" s="22">
        <f t="shared" si="2"/>
        <v>118</v>
      </c>
      <c r="I4" s="30">
        <f t="shared" si="6"/>
        <v>-14</v>
      </c>
      <c r="J4" s="21">
        <v>100.0</v>
      </c>
      <c r="K4" s="30">
        <f t="shared" si="7"/>
        <v>0</v>
      </c>
      <c r="L4" s="21">
        <v>65.0</v>
      </c>
      <c r="M4" s="30">
        <f t="shared" si="8"/>
        <v>0</v>
      </c>
      <c r="N4" s="22">
        <f>288-75</f>
        <v>213</v>
      </c>
      <c r="O4" s="30">
        <f t="shared" si="9"/>
        <v>-22</v>
      </c>
      <c r="P4" s="21">
        <v>0.0</v>
      </c>
      <c r="Q4" s="22">
        <f t="shared" si="4"/>
        <v>213</v>
      </c>
      <c r="R4" s="30">
        <f t="shared" si="10"/>
        <v>-22</v>
      </c>
    </row>
    <row r="5">
      <c r="A5" s="50">
        <f t="shared" si="11"/>
        <v>44839</v>
      </c>
      <c r="B5" s="26">
        <v>4.0</v>
      </c>
      <c r="C5" s="26">
        <v>98.0</v>
      </c>
      <c r="D5" s="27">
        <f t="shared" si="1"/>
        <v>102</v>
      </c>
      <c r="E5" s="28">
        <f t="shared" si="5"/>
        <v>-16</v>
      </c>
      <c r="F5" s="26">
        <v>0.0</v>
      </c>
      <c r="G5" s="26">
        <v>0.0</v>
      </c>
      <c r="H5" s="27">
        <f t="shared" si="2"/>
        <v>102</v>
      </c>
      <c r="I5" s="28">
        <f t="shared" si="6"/>
        <v>-16</v>
      </c>
      <c r="J5" s="26">
        <v>100.0</v>
      </c>
      <c r="K5" s="28">
        <f t="shared" si="7"/>
        <v>0</v>
      </c>
      <c r="L5" s="27">
        <f>65</f>
        <v>65</v>
      </c>
      <c r="M5" s="28">
        <f t="shared" si="8"/>
        <v>0</v>
      </c>
      <c r="N5" s="27">
        <f>273-75</f>
        <v>198</v>
      </c>
      <c r="O5" s="28">
        <f t="shared" si="9"/>
        <v>-15</v>
      </c>
      <c r="P5" s="26">
        <v>0.0</v>
      </c>
      <c r="Q5" s="27">
        <f t="shared" si="4"/>
        <v>198</v>
      </c>
      <c r="R5" s="28">
        <f t="shared" si="10"/>
        <v>-15</v>
      </c>
    </row>
    <row r="6">
      <c r="A6" s="48">
        <f t="shared" si="11"/>
        <v>44840</v>
      </c>
      <c r="B6" s="21">
        <v>46.0</v>
      </c>
      <c r="C6" s="21">
        <v>60.0</v>
      </c>
      <c r="D6" s="22">
        <f t="shared" si="1"/>
        <v>106</v>
      </c>
      <c r="E6" s="30">
        <f t="shared" si="5"/>
        <v>4</v>
      </c>
      <c r="F6" s="21">
        <v>221.0</v>
      </c>
      <c r="G6" s="21">
        <v>0.0</v>
      </c>
      <c r="H6" s="22">
        <f t="shared" si="2"/>
        <v>327</v>
      </c>
      <c r="I6" s="30">
        <f t="shared" si="6"/>
        <v>225</v>
      </c>
      <c r="J6" s="21">
        <v>65.0</v>
      </c>
      <c r="K6" s="30">
        <f t="shared" si="7"/>
        <v>-35</v>
      </c>
      <c r="L6" s="21">
        <v>67.0</v>
      </c>
      <c r="M6" s="30">
        <f t="shared" si="8"/>
        <v>2</v>
      </c>
      <c r="N6" s="22">
        <f t="shared" ref="N6:N7" si="12">268-75</f>
        <v>193</v>
      </c>
      <c r="O6" s="30">
        <f t="shared" si="9"/>
        <v>-5</v>
      </c>
      <c r="P6" s="21">
        <v>0.0</v>
      </c>
      <c r="Q6" s="22">
        <f t="shared" si="4"/>
        <v>193</v>
      </c>
      <c r="R6" s="30">
        <f t="shared" si="10"/>
        <v>-5</v>
      </c>
    </row>
    <row r="7">
      <c r="A7" s="50">
        <v>44845.0</v>
      </c>
      <c r="B7" s="26">
        <v>34.0</v>
      </c>
      <c r="C7" s="26">
        <v>0.0</v>
      </c>
      <c r="D7" s="27">
        <f t="shared" si="1"/>
        <v>34</v>
      </c>
      <c r="E7" s="28">
        <f t="shared" si="5"/>
        <v>-72</v>
      </c>
      <c r="F7" s="26">
        <v>221.0</v>
      </c>
      <c r="G7" s="26">
        <v>0.0</v>
      </c>
      <c r="H7" s="27">
        <f t="shared" si="2"/>
        <v>255</v>
      </c>
      <c r="I7" s="28">
        <f t="shared" si="6"/>
        <v>-72</v>
      </c>
      <c r="J7" s="26">
        <v>8.0</v>
      </c>
      <c r="K7" s="28">
        <f t="shared" si="7"/>
        <v>-57</v>
      </c>
      <c r="L7" s="26">
        <v>67.0</v>
      </c>
      <c r="M7" s="28">
        <f t="shared" si="8"/>
        <v>0</v>
      </c>
      <c r="N7" s="27">
        <f t="shared" si="12"/>
        <v>193</v>
      </c>
      <c r="O7" s="28">
        <f t="shared" si="9"/>
        <v>0</v>
      </c>
      <c r="P7" s="26">
        <v>0.0</v>
      </c>
      <c r="Q7" s="27">
        <f t="shared" si="4"/>
        <v>193</v>
      </c>
      <c r="R7" s="28">
        <f t="shared" si="10"/>
        <v>0</v>
      </c>
    </row>
    <row r="8">
      <c r="A8" s="48">
        <f t="shared" ref="A8:A21" si="13">WORKDAY($A$7,row(A1),1)</f>
        <v>44846</v>
      </c>
      <c r="B8" s="21">
        <v>29.0</v>
      </c>
      <c r="C8" s="21">
        <v>0.0</v>
      </c>
      <c r="D8" s="22">
        <f t="shared" si="1"/>
        <v>29</v>
      </c>
      <c r="E8" s="30">
        <f t="shared" si="5"/>
        <v>-5</v>
      </c>
      <c r="F8" s="21">
        <v>221.0</v>
      </c>
      <c r="G8" s="21">
        <v>9.0</v>
      </c>
      <c r="H8" s="22">
        <f t="shared" si="2"/>
        <v>259</v>
      </c>
      <c r="I8" s="30">
        <f t="shared" si="6"/>
        <v>4</v>
      </c>
      <c r="J8" s="21">
        <v>8.0</v>
      </c>
      <c r="K8" s="30">
        <f t="shared" si="7"/>
        <v>0</v>
      </c>
      <c r="L8" s="21">
        <v>67.0</v>
      </c>
      <c r="M8" s="30">
        <f t="shared" si="8"/>
        <v>0</v>
      </c>
      <c r="N8" s="21">
        <f>257-75</f>
        <v>182</v>
      </c>
      <c r="O8" s="30">
        <f t="shared" si="9"/>
        <v>-11</v>
      </c>
      <c r="P8" s="21">
        <v>0.0</v>
      </c>
      <c r="Q8" s="22">
        <f t="shared" si="4"/>
        <v>182</v>
      </c>
      <c r="R8" s="30">
        <f t="shared" si="10"/>
        <v>-11</v>
      </c>
    </row>
    <row r="9">
      <c r="A9" s="50">
        <f t="shared" si="13"/>
        <v>44847</v>
      </c>
      <c r="B9" s="26">
        <v>23.0</v>
      </c>
      <c r="C9" s="26">
        <v>0.0</v>
      </c>
      <c r="D9" s="27">
        <f t="shared" si="1"/>
        <v>23</v>
      </c>
      <c r="E9" s="28">
        <f t="shared" si="5"/>
        <v>-6</v>
      </c>
      <c r="F9" s="26">
        <v>221.0</v>
      </c>
      <c r="G9" s="26">
        <v>0.0</v>
      </c>
      <c r="H9" s="27">
        <f t="shared" si="2"/>
        <v>244</v>
      </c>
      <c r="I9" s="28">
        <f t="shared" si="6"/>
        <v>-15</v>
      </c>
      <c r="J9" s="26">
        <v>4.0</v>
      </c>
      <c r="K9" s="28">
        <f t="shared" si="7"/>
        <v>-4</v>
      </c>
      <c r="L9" s="26">
        <f>67-10</f>
        <v>57</v>
      </c>
      <c r="M9" s="28">
        <f t="shared" si="8"/>
        <v>-10</v>
      </c>
      <c r="N9" s="27">
        <f>238-75</f>
        <v>163</v>
      </c>
      <c r="O9" s="28">
        <f t="shared" si="9"/>
        <v>-19</v>
      </c>
      <c r="P9" s="26">
        <v>0.0</v>
      </c>
      <c r="Q9" s="27">
        <f t="shared" si="4"/>
        <v>163</v>
      </c>
      <c r="R9" s="28">
        <f t="shared" si="10"/>
        <v>-19</v>
      </c>
    </row>
    <row r="10">
      <c r="A10" s="48">
        <f t="shared" si="13"/>
        <v>44848</v>
      </c>
      <c r="B10" s="21">
        <v>13.0</v>
      </c>
      <c r="C10" s="21">
        <v>0.0</v>
      </c>
      <c r="D10" s="22">
        <f t="shared" si="1"/>
        <v>13</v>
      </c>
      <c r="E10" s="30">
        <f t="shared" si="5"/>
        <v>-10</v>
      </c>
      <c r="F10" s="21">
        <v>221.0</v>
      </c>
      <c r="G10" s="21">
        <v>0.0</v>
      </c>
      <c r="H10" s="22">
        <f t="shared" si="2"/>
        <v>234</v>
      </c>
      <c r="I10" s="30">
        <f t="shared" si="6"/>
        <v>-10</v>
      </c>
      <c r="J10" s="21">
        <v>4.0</v>
      </c>
      <c r="K10" s="30">
        <f t="shared" si="7"/>
        <v>0</v>
      </c>
      <c r="L10" s="21">
        <v>57.0</v>
      </c>
      <c r="M10" s="30">
        <f t="shared" si="8"/>
        <v>0</v>
      </c>
      <c r="N10" s="22">
        <f>225-75</f>
        <v>150</v>
      </c>
      <c r="O10" s="30">
        <f t="shared" si="9"/>
        <v>-13</v>
      </c>
      <c r="P10" s="21">
        <v>0.0</v>
      </c>
      <c r="Q10" s="22">
        <f t="shared" si="4"/>
        <v>150</v>
      </c>
      <c r="R10" s="30">
        <f t="shared" si="10"/>
        <v>-13</v>
      </c>
    </row>
    <row r="11">
      <c r="A11" s="50">
        <f t="shared" si="13"/>
        <v>44851</v>
      </c>
      <c r="B11" s="27">
        <f>13-1</f>
        <v>12</v>
      </c>
      <c r="C11" s="26">
        <v>0.0</v>
      </c>
      <c r="D11" s="27">
        <f t="shared" si="1"/>
        <v>12</v>
      </c>
      <c r="E11" s="28">
        <f t="shared" si="5"/>
        <v>-1</v>
      </c>
      <c r="F11" s="26">
        <v>221.0</v>
      </c>
      <c r="G11" s="26">
        <v>0.0</v>
      </c>
      <c r="H11" s="27">
        <f t="shared" si="2"/>
        <v>233</v>
      </c>
      <c r="I11" s="28">
        <f t="shared" si="6"/>
        <v>-1</v>
      </c>
      <c r="J11" s="26">
        <v>4.0</v>
      </c>
      <c r="K11" s="28">
        <f t="shared" si="7"/>
        <v>0</v>
      </c>
      <c r="L11" s="27">
        <f>57</f>
        <v>57</v>
      </c>
      <c r="M11" s="28">
        <f t="shared" si="8"/>
        <v>0</v>
      </c>
      <c r="N11" s="27">
        <f t="shared" ref="N11:N12" si="14">220-75</f>
        <v>145</v>
      </c>
      <c r="O11" s="28">
        <f t="shared" si="9"/>
        <v>-5</v>
      </c>
      <c r="P11" s="26">
        <v>0.0</v>
      </c>
      <c r="Q11" s="27">
        <f t="shared" si="4"/>
        <v>145</v>
      </c>
      <c r="R11" s="28">
        <f t="shared" si="10"/>
        <v>-5</v>
      </c>
    </row>
    <row r="12">
      <c r="A12" s="48">
        <f t="shared" si="13"/>
        <v>44852</v>
      </c>
      <c r="B12" s="21">
        <v>0.0</v>
      </c>
      <c r="C12" s="21">
        <v>4.0</v>
      </c>
      <c r="D12" s="22">
        <f t="shared" si="1"/>
        <v>4</v>
      </c>
      <c r="E12" s="43">
        <f t="shared" si="5"/>
        <v>-8</v>
      </c>
      <c r="F12" s="21">
        <f>217+279</f>
        <v>496</v>
      </c>
      <c r="G12" s="21">
        <v>3.0</v>
      </c>
      <c r="H12" s="22">
        <f t="shared" si="2"/>
        <v>503</v>
      </c>
      <c r="I12" s="30">
        <f t="shared" si="6"/>
        <v>270</v>
      </c>
      <c r="J12" s="21">
        <v>4.0</v>
      </c>
      <c r="K12" s="30">
        <f t="shared" si="7"/>
        <v>0</v>
      </c>
      <c r="L12" s="21">
        <v>0.0</v>
      </c>
      <c r="M12" s="30">
        <f t="shared" si="8"/>
        <v>-57</v>
      </c>
      <c r="N12" s="21">
        <f t="shared" si="14"/>
        <v>145</v>
      </c>
      <c r="O12" s="30">
        <f t="shared" si="9"/>
        <v>0</v>
      </c>
      <c r="P12" s="21">
        <v>0.0</v>
      </c>
      <c r="Q12" s="22">
        <f t="shared" si="4"/>
        <v>145</v>
      </c>
      <c r="R12" s="30">
        <f t="shared" si="10"/>
        <v>0</v>
      </c>
    </row>
    <row r="13">
      <c r="A13" s="50">
        <f t="shared" si="13"/>
        <v>44853</v>
      </c>
      <c r="B13" s="26">
        <v>1.0</v>
      </c>
      <c r="C13" s="26">
        <v>24.0</v>
      </c>
      <c r="D13" s="27">
        <f t="shared" si="1"/>
        <v>25</v>
      </c>
      <c r="E13" s="28">
        <f t="shared" si="5"/>
        <v>21</v>
      </c>
      <c r="F13" s="26">
        <f>217+279-25</f>
        <v>471</v>
      </c>
      <c r="G13" s="26">
        <v>0.0</v>
      </c>
      <c r="H13" s="27">
        <f t="shared" si="2"/>
        <v>496</v>
      </c>
      <c r="I13" s="28">
        <f t="shared" si="6"/>
        <v>-7</v>
      </c>
      <c r="J13" s="26">
        <v>4.0</v>
      </c>
      <c r="K13" s="28">
        <f t="shared" si="7"/>
        <v>0</v>
      </c>
      <c r="L13" s="26">
        <v>0.0</v>
      </c>
      <c r="M13" s="28">
        <f t="shared" si="8"/>
        <v>0</v>
      </c>
      <c r="N13" s="27">
        <f>205-75</f>
        <v>130</v>
      </c>
      <c r="O13" s="28">
        <f t="shared" si="9"/>
        <v>-15</v>
      </c>
      <c r="P13" s="26">
        <v>0.0</v>
      </c>
      <c r="Q13" s="27">
        <f t="shared" si="4"/>
        <v>130</v>
      </c>
      <c r="R13" s="28">
        <f t="shared" si="10"/>
        <v>-15</v>
      </c>
    </row>
    <row r="14">
      <c r="A14" s="48">
        <f t="shared" si="13"/>
        <v>44854</v>
      </c>
      <c r="B14" s="21">
        <v>1.0</v>
      </c>
      <c r="C14" s="21">
        <v>51.0</v>
      </c>
      <c r="D14" s="22">
        <f t="shared" si="1"/>
        <v>52</v>
      </c>
      <c r="E14" s="30">
        <f t="shared" si="5"/>
        <v>27</v>
      </c>
      <c r="F14" s="21">
        <f>471-27</f>
        <v>444</v>
      </c>
      <c r="G14" s="21">
        <v>0.0</v>
      </c>
      <c r="H14" s="22">
        <f t="shared" si="2"/>
        <v>496</v>
      </c>
      <c r="I14" s="30">
        <f t="shared" si="6"/>
        <v>0</v>
      </c>
      <c r="J14" s="21">
        <v>4.0</v>
      </c>
      <c r="K14" s="30">
        <f t="shared" si="7"/>
        <v>0</v>
      </c>
      <c r="L14" s="21">
        <v>100.0</v>
      </c>
      <c r="M14" s="30">
        <f t="shared" si="8"/>
        <v>100</v>
      </c>
      <c r="N14" s="22">
        <f>130-10</f>
        <v>120</v>
      </c>
      <c r="O14" s="30">
        <f t="shared" si="9"/>
        <v>-10</v>
      </c>
      <c r="P14" s="21">
        <v>0.0</v>
      </c>
      <c r="Q14" s="22">
        <f t="shared" si="4"/>
        <v>120</v>
      </c>
      <c r="R14" s="30">
        <f t="shared" si="10"/>
        <v>-10</v>
      </c>
    </row>
    <row r="15">
      <c r="A15" s="50">
        <f t="shared" si="13"/>
        <v>44855</v>
      </c>
      <c r="B15" s="26">
        <v>0.0</v>
      </c>
      <c r="C15" s="26">
        <f>51-8+27</f>
        <v>70</v>
      </c>
      <c r="D15" s="27">
        <f t="shared" si="1"/>
        <v>70</v>
      </c>
      <c r="E15" s="28">
        <f t="shared" si="5"/>
        <v>18</v>
      </c>
      <c r="F15" s="26">
        <f>444-27</f>
        <v>417</v>
      </c>
      <c r="G15" s="26">
        <v>0.0</v>
      </c>
      <c r="H15" s="27">
        <f t="shared" si="2"/>
        <v>487</v>
      </c>
      <c r="I15" s="28">
        <f t="shared" si="6"/>
        <v>-9</v>
      </c>
      <c r="J15" s="26">
        <v>0.0</v>
      </c>
      <c r="K15" s="28">
        <f t="shared" si="7"/>
        <v>-4</v>
      </c>
      <c r="L15" s="26">
        <f>100-70</f>
        <v>30</v>
      </c>
      <c r="M15" s="28">
        <f t="shared" si="8"/>
        <v>-70</v>
      </c>
      <c r="N15" s="27">
        <f>120-25</f>
        <v>95</v>
      </c>
      <c r="O15" s="28">
        <f t="shared" si="9"/>
        <v>-25</v>
      </c>
      <c r="P15" s="26">
        <v>0.0</v>
      </c>
      <c r="Q15" s="27">
        <f t="shared" si="4"/>
        <v>95</v>
      </c>
      <c r="R15" s="28">
        <f t="shared" si="10"/>
        <v>-25</v>
      </c>
    </row>
    <row r="16">
      <c r="A16" s="48">
        <f t="shared" si="13"/>
        <v>44858</v>
      </c>
      <c r="B16" s="21">
        <v>0.0</v>
      </c>
      <c r="C16" s="21">
        <f>70+20-4</f>
        <v>86</v>
      </c>
      <c r="D16" s="22">
        <f t="shared" si="1"/>
        <v>86</v>
      </c>
      <c r="E16" s="30">
        <f t="shared" si="5"/>
        <v>16</v>
      </c>
      <c r="F16" s="21">
        <f>417-20</f>
        <v>397</v>
      </c>
      <c r="G16" s="21">
        <f>0</f>
        <v>0</v>
      </c>
      <c r="H16" s="22">
        <f t="shared" si="2"/>
        <v>483</v>
      </c>
      <c r="I16" s="30">
        <f t="shared" si="6"/>
        <v>-4</v>
      </c>
      <c r="J16" s="21">
        <v>0.0</v>
      </c>
      <c r="K16" s="30">
        <f t="shared" si="7"/>
        <v>0</v>
      </c>
      <c r="L16" s="22">
        <f>30</f>
        <v>30</v>
      </c>
      <c r="M16" s="30">
        <f t="shared" si="8"/>
        <v>0</v>
      </c>
      <c r="N16" s="22">
        <f t="shared" ref="N16:N17" si="15">95-15</f>
        <v>80</v>
      </c>
      <c r="O16" s="30">
        <f t="shared" si="9"/>
        <v>-15</v>
      </c>
      <c r="P16" s="21">
        <v>0.0</v>
      </c>
      <c r="Q16" s="22">
        <f t="shared" si="4"/>
        <v>80</v>
      </c>
      <c r="R16" s="30">
        <f t="shared" si="10"/>
        <v>-15</v>
      </c>
    </row>
    <row r="17">
      <c r="A17" s="50">
        <f t="shared" si="13"/>
        <v>44859</v>
      </c>
      <c r="B17" s="26">
        <v>0.0</v>
      </c>
      <c r="C17" s="27">
        <f>86-5+19</f>
        <v>100</v>
      </c>
      <c r="D17" s="27">
        <f t="shared" si="1"/>
        <v>100</v>
      </c>
      <c r="E17" s="28">
        <f t="shared" si="5"/>
        <v>14</v>
      </c>
      <c r="F17" s="26">
        <f>397-19</f>
        <v>378</v>
      </c>
      <c r="G17" s="26">
        <v>13.0</v>
      </c>
      <c r="H17" s="27">
        <f t="shared" si="2"/>
        <v>491</v>
      </c>
      <c r="I17" s="28">
        <f t="shared" si="6"/>
        <v>8</v>
      </c>
      <c r="J17" s="26">
        <v>0.0</v>
      </c>
      <c r="K17" s="28">
        <f t="shared" si="7"/>
        <v>0</v>
      </c>
      <c r="L17" s="26">
        <v>32.0</v>
      </c>
      <c r="M17" s="28">
        <f t="shared" si="8"/>
        <v>2</v>
      </c>
      <c r="N17" s="27">
        <f t="shared" si="15"/>
        <v>80</v>
      </c>
      <c r="O17" s="28">
        <f t="shared" si="9"/>
        <v>0</v>
      </c>
      <c r="P17" s="26">
        <v>0.0</v>
      </c>
      <c r="Q17" s="27">
        <f t="shared" si="4"/>
        <v>80</v>
      </c>
      <c r="R17" s="28">
        <f t="shared" si="10"/>
        <v>0</v>
      </c>
    </row>
    <row r="18">
      <c r="A18" s="48">
        <f t="shared" si="13"/>
        <v>44860</v>
      </c>
      <c r="B18" s="21">
        <v>0.0</v>
      </c>
      <c r="C18" s="21">
        <f>100+19-3</f>
        <v>116</v>
      </c>
      <c r="D18" s="22">
        <f t="shared" si="1"/>
        <v>116</v>
      </c>
      <c r="E18" s="30">
        <f t="shared" si="5"/>
        <v>16</v>
      </c>
      <c r="F18" s="21">
        <f>378-19</f>
        <v>359</v>
      </c>
      <c r="G18" s="21">
        <v>13.0</v>
      </c>
      <c r="H18" s="22">
        <f t="shared" si="2"/>
        <v>488</v>
      </c>
      <c r="I18" s="30">
        <f t="shared" si="6"/>
        <v>-3</v>
      </c>
      <c r="J18" s="21">
        <v>0.0</v>
      </c>
      <c r="K18" s="30">
        <f t="shared" si="7"/>
        <v>0</v>
      </c>
      <c r="L18" s="21">
        <v>32.0</v>
      </c>
      <c r="M18" s="30">
        <f t="shared" si="8"/>
        <v>0</v>
      </c>
      <c r="N18" s="22">
        <f>80-5</f>
        <v>75</v>
      </c>
      <c r="O18" s="30">
        <f t="shared" si="9"/>
        <v>-5</v>
      </c>
      <c r="P18" s="21">
        <v>0.0</v>
      </c>
      <c r="Q18" s="22">
        <f t="shared" si="4"/>
        <v>75</v>
      </c>
      <c r="R18" s="30">
        <f t="shared" si="10"/>
        <v>-5</v>
      </c>
    </row>
    <row r="19">
      <c r="A19" s="50">
        <f t="shared" si="13"/>
        <v>44861</v>
      </c>
      <c r="B19" s="26">
        <v>0.0</v>
      </c>
      <c r="C19" s="26">
        <f>116+19-5</f>
        <v>130</v>
      </c>
      <c r="D19" s="27">
        <f t="shared" si="1"/>
        <v>130</v>
      </c>
      <c r="E19" s="28">
        <f t="shared" si="5"/>
        <v>14</v>
      </c>
      <c r="F19" s="26">
        <f>359-19</f>
        <v>340</v>
      </c>
      <c r="G19" s="26">
        <v>9.0</v>
      </c>
      <c r="H19" s="27">
        <f t="shared" si="2"/>
        <v>479</v>
      </c>
      <c r="I19" s="28">
        <f t="shared" si="6"/>
        <v>-9</v>
      </c>
      <c r="J19" s="26">
        <v>0.0</v>
      </c>
      <c r="K19" s="28">
        <f t="shared" si="7"/>
        <v>0</v>
      </c>
      <c r="L19" s="26">
        <v>32.0</v>
      </c>
      <c r="M19" s="28">
        <f t="shared" si="8"/>
        <v>0</v>
      </c>
      <c r="N19" s="27">
        <f>75-5</f>
        <v>70</v>
      </c>
      <c r="O19" s="28">
        <f t="shared" si="9"/>
        <v>-5</v>
      </c>
      <c r="P19" s="26">
        <v>0.0</v>
      </c>
      <c r="Q19" s="27">
        <f t="shared" si="4"/>
        <v>70</v>
      </c>
      <c r="R19" s="28">
        <f t="shared" si="10"/>
        <v>-5</v>
      </c>
    </row>
    <row r="20">
      <c r="A20" s="48">
        <f t="shared" si="13"/>
        <v>44862</v>
      </c>
      <c r="B20" s="21">
        <v>0.0</v>
      </c>
      <c r="C20" s="21">
        <f>130-1+25</f>
        <v>154</v>
      </c>
      <c r="D20" s="22">
        <f t="shared" si="1"/>
        <v>154</v>
      </c>
      <c r="E20" s="30">
        <f t="shared" si="5"/>
        <v>24</v>
      </c>
      <c r="F20" s="21">
        <f>340-25</f>
        <v>315</v>
      </c>
      <c r="G20" s="21">
        <v>4.0</v>
      </c>
      <c r="H20" s="22">
        <f t="shared" si="2"/>
        <v>473</v>
      </c>
      <c r="I20" s="30">
        <f t="shared" si="6"/>
        <v>-6</v>
      </c>
      <c r="J20" s="21">
        <v>0.0</v>
      </c>
      <c r="K20" s="30">
        <f t="shared" si="7"/>
        <v>0</v>
      </c>
      <c r="L20" s="21">
        <v>28.0</v>
      </c>
      <c r="M20" s="30">
        <f t="shared" si="8"/>
        <v>-4</v>
      </c>
      <c r="N20" s="21">
        <f>70-10</f>
        <v>60</v>
      </c>
      <c r="O20" s="30">
        <f t="shared" si="9"/>
        <v>-10</v>
      </c>
      <c r="P20" s="21">
        <v>0.0</v>
      </c>
      <c r="Q20" s="22">
        <f t="shared" si="4"/>
        <v>60</v>
      </c>
      <c r="R20" s="30">
        <f t="shared" si="10"/>
        <v>-10</v>
      </c>
    </row>
    <row r="21">
      <c r="A21" s="50">
        <f t="shared" si="13"/>
        <v>44865</v>
      </c>
      <c r="B21" s="26">
        <v>0.0</v>
      </c>
      <c r="C21" s="26">
        <f>154-8+23-50</f>
        <v>119</v>
      </c>
      <c r="D21" s="27">
        <f t="shared" si="1"/>
        <v>119</v>
      </c>
      <c r="E21" s="28">
        <f t="shared" si="5"/>
        <v>-35</v>
      </c>
      <c r="F21" s="26">
        <f>315-23</f>
        <v>292</v>
      </c>
      <c r="G21" s="26">
        <v>24.0</v>
      </c>
      <c r="H21" s="27">
        <f t="shared" si="2"/>
        <v>435</v>
      </c>
      <c r="I21" s="28">
        <f t="shared" si="6"/>
        <v>-38</v>
      </c>
      <c r="J21" s="26">
        <v>0.0</v>
      </c>
      <c r="K21" s="28">
        <f t="shared" si="7"/>
        <v>0</v>
      </c>
      <c r="L21" s="26">
        <f>29</f>
        <v>29</v>
      </c>
      <c r="M21" s="28">
        <f t="shared" si="8"/>
        <v>1</v>
      </c>
      <c r="N21" s="27">
        <f>60</f>
        <v>60</v>
      </c>
      <c r="O21" s="28">
        <f t="shared" si="9"/>
        <v>0</v>
      </c>
      <c r="P21" s="26">
        <v>0.0</v>
      </c>
      <c r="Q21" s="27">
        <f t="shared" si="4"/>
        <v>60</v>
      </c>
      <c r="R21" s="28">
        <f t="shared" si="10"/>
        <v>0</v>
      </c>
    </row>
    <row r="22">
      <c r="A22" s="51"/>
    </row>
    <row r="23" ht="37.5" customHeight="1"/>
    <row r="24" ht="37.5" customHeight="1"/>
    <row r="25" ht="37.5" customHeight="1"/>
    <row r="26" ht="37.5" customHeight="1"/>
    <row r="27" ht="37.5" customHeight="1"/>
    <row r="28" ht="37.5" customHeight="1"/>
    <row r="29" ht="37.5" customHeight="1"/>
    <row r="30" ht="37.5" customHeight="1"/>
  </sheetData>
  <autoFilter ref="$A$1:$R$21"/>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46</v>
      </c>
      <c r="B1" s="2"/>
      <c r="C1" s="2"/>
      <c r="D1" s="2"/>
      <c r="E1" s="2"/>
      <c r="F1" s="2"/>
      <c r="G1" s="2"/>
      <c r="H1" s="2"/>
      <c r="I1" s="2"/>
      <c r="J1" s="2"/>
      <c r="K1" s="2"/>
      <c r="L1" s="3"/>
    </row>
    <row r="2">
      <c r="A2" s="45" t="s">
        <v>28</v>
      </c>
      <c r="B2" s="17" t="s">
        <v>42</v>
      </c>
      <c r="C2" s="17" t="s">
        <v>43</v>
      </c>
      <c r="D2" s="17" t="s">
        <v>20</v>
      </c>
      <c r="E2" s="17" t="s">
        <v>5</v>
      </c>
      <c r="F2" s="17" t="s">
        <v>38</v>
      </c>
      <c r="G2" s="17" t="s">
        <v>23</v>
      </c>
      <c r="H2" s="18" t="s">
        <v>24</v>
      </c>
      <c r="I2" s="18" t="s">
        <v>40</v>
      </c>
      <c r="J2" s="19" t="s">
        <v>13</v>
      </c>
      <c r="K2" s="19" t="s">
        <v>25</v>
      </c>
      <c r="L2" s="19" t="s">
        <v>26</v>
      </c>
    </row>
    <row r="3">
      <c r="A3" s="36" t="s">
        <v>29</v>
      </c>
      <c r="B3" s="46">
        <f t="array" ref="B3">INDEX('October 2022'!B2:B21,1,1)</f>
        <v>25</v>
      </c>
      <c r="C3" s="46">
        <f t="array" ref="C3">INDEX('October 2022'!C2:C21,1,1)</f>
        <v>98</v>
      </c>
      <c r="D3" s="46">
        <f t="array" ref="D3">INDEX('October 2022'!D2:D21,1,1)</f>
        <v>123</v>
      </c>
      <c r="E3" s="37">
        <f t="array" ref="E3">INDEX('October 2022'!F2:F21,1,1)</f>
        <v>0</v>
      </c>
      <c r="F3" s="37">
        <f t="array" ref="F3">INDEX('October 2022'!G2:G21,1,1)</f>
        <v>10</v>
      </c>
      <c r="G3" s="37">
        <f t="array" ref="G3">INDEX('October 2022'!H2:H21,1,1)</f>
        <v>133</v>
      </c>
      <c r="H3" s="46">
        <f t="array" ref="H3">INDEX('October 2022'!J2:J21,1,1)</f>
        <v>100</v>
      </c>
      <c r="I3" s="37">
        <f t="array" ref="I3">INDEX('October 2022'!L2:L21,1,1)</f>
        <v>65</v>
      </c>
      <c r="J3" s="46">
        <f t="array" ref="J3">INDEX('October 2022'!N2:N21,1,1)</f>
        <v>235</v>
      </c>
      <c r="K3" s="46">
        <f t="array" ref="K3">INDEX('October 2022'!P2:P21,1,1)</f>
        <v>0</v>
      </c>
      <c r="L3" s="46">
        <f t="array" ref="L3">INDEX('October 2022'!Q2:Q21,1,1)</f>
        <v>235</v>
      </c>
    </row>
    <row r="4">
      <c r="A4" s="36" t="s">
        <v>30</v>
      </c>
      <c r="B4" s="46">
        <f t="array" ref="B4">INDEX('October 2022'!B2:B21,MATCH(143^143,'October 2022'!B2:B21))</f>
        <v>0</v>
      </c>
      <c r="C4" s="46">
        <f t="array" ref="C4">INDEX('October 2022'!C2:C21,MATCH(143^143,'October 2022'!C2:C21))</f>
        <v>119</v>
      </c>
      <c r="D4" s="46">
        <f t="array" ref="D4">INDEX('October 2022'!D2:D21,MATCH(143^143,'October 2022'!D2:D21))</f>
        <v>119</v>
      </c>
      <c r="E4" s="46">
        <f t="array" ref="E4">INDEX('October 2022'!F2:F21,MATCH(143^143,'October 2022'!F2:F21))</f>
        <v>292</v>
      </c>
      <c r="F4" s="46">
        <f t="array" ref="F4">INDEX('October 2022'!G2:G21,MATCH(143^143,'October 2022'!G2:G21))</f>
        <v>24</v>
      </c>
      <c r="G4" s="46">
        <f t="array" ref="G4">INDEX('October 2022'!H2:H21,MATCH(143^143,'October 2022'!H2:H21))</f>
        <v>435</v>
      </c>
      <c r="H4" s="46">
        <f t="array" ref="H4">INDEX('October 2022'!J2:J21,MATCH(143^143,'October 2022'!J2:J21))</f>
        <v>0</v>
      </c>
      <c r="I4" s="46">
        <f t="array" ref="I4">INDEX('October 2022'!L2:L21,MATCH(143^143,'October 2022'!L2:L21))</f>
        <v>29</v>
      </c>
      <c r="J4" s="46">
        <f t="array" ref="J4">INDEX('October 2022'!N2:N21,MATCH(143^143,'October 2022'!N2:N21))</f>
        <v>60</v>
      </c>
      <c r="K4" s="46">
        <f t="array" ref="K4">INDEX('October 2022'!P2:P21,MATCH(143^143,'October 2022'!P2:P21))</f>
        <v>0</v>
      </c>
      <c r="L4" s="46">
        <f t="array" ref="L4">INDEX('October 2022'!Q2:Q21,MATCH(143^143,'October 2022'!Q2:Q21))</f>
        <v>60</v>
      </c>
    </row>
    <row r="5">
      <c r="A5" s="36" t="s">
        <v>21</v>
      </c>
      <c r="B5" s="38">
        <f t="shared" ref="B5:L5" si="1">B4-B3</f>
        <v>-25</v>
      </c>
      <c r="C5" s="38">
        <f t="shared" si="1"/>
        <v>21</v>
      </c>
      <c r="D5" s="38">
        <f t="shared" si="1"/>
        <v>-4</v>
      </c>
      <c r="E5" s="38">
        <f t="shared" si="1"/>
        <v>292</v>
      </c>
      <c r="F5" s="38">
        <f t="shared" si="1"/>
        <v>14</v>
      </c>
      <c r="G5" s="38">
        <f t="shared" si="1"/>
        <v>302</v>
      </c>
      <c r="H5" s="38">
        <f t="shared" si="1"/>
        <v>-100</v>
      </c>
      <c r="I5" s="38">
        <f t="shared" si="1"/>
        <v>-36</v>
      </c>
      <c r="J5" s="38">
        <f t="shared" si="1"/>
        <v>-175</v>
      </c>
      <c r="K5" s="38">
        <f t="shared" si="1"/>
        <v>0</v>
      </c>
      <c r="L5" s="38">
        <f t="shared" si="1"/>
        <v>-175</v>
      </c>
    </row>
    <row r="6">
      <c r="A6" s="39" t="s">
        <v>31</v>
      </c>
      <c r="B6" s="47">
        <f>AVERAGE('October 2022'!B2:B21)</f>
        <v>12.1</v>
      </c>
      <c r="C6" s="47">
        <f>AVERAGE('October 2022'!C2:C21)</f>
        <v>65.3</v>
      </c>
      <c r="D6" s="47">
        <f>AVERAGE('October 2022'!D2:D21)</f>
        <v>77.4</v>
      </c>
      <c r="E6" s="47">
        <f>AVERAGE('October 2022'!F2:F21)</f>
        <v>261.75</v>
      </c>
      <c r="F6" s="47">
        <f>AVERAGE('October 2022'!G2:G21)</f>
        <v>4.25</v>
      </c>
      <c r="G6" s="47">
        <f>AVERAGE('October 2022'!H2:H21)</f>
        <v>343.4</v>
      </c>
      <c r="H6" s="47">
        <f>AVERAGE('October 2022'!J2:J21)</f>
        <v>25.25</v>
      </c>
      <c r="I6" s="47">
        <f>AVERAGE('October 2022'!L2:L21)</f>
        <v>47.25</v>
      </c>
      <c r="J6" s="47">
        <f>AVERAGE('October 2022'!N2:N21)</f>
        <v>141.1</v>
      </c>
      <c r="K6" s="47">
        <f>AVERAGE('October 2022'!P2:P21)</f>
        <v>0</v>
      </c>
      <c r="L6" s="47">
        <f>AVERAGE('October 2022'!Q2:Q21)</f>
        <v>141.1</v>
      </c>
    </row>
    <row r="7">
      <c r="A7" s="39" t="s">
        <v>32</v>
      </c>
      <c r="B7" s="47">
        <f>stdev('October 2022'!B2:B21)</f>
        <v>14.91343442</v>
      </c>
      <c r="C7" s="47">
        <f>stdev('October 2022'!C2:C21)</f>
        <v>51.53241188</v>
      </c>
      <c r="D7" s="47">
        <f>stdev('October 2022'!D2:D21)</f>
        <v>48.6744286</v>
      </c>
      <c r="E7" s="47">
        <f>stdev('October 2022'!F2:F21)</f>
        <v>160.7760374</v>
      </c>
      <c r="F7" s="47">
        <f>stdev('October 2022'!G2:G21)</f>
        <v>6.648110139</v>
      </c>
      <c r="G7" s="47">
        <f>stdev('October 2022'!H2:H21)</f>
        <v>153.1605281</v>
      </c>
      <c r="H7" s="47">
        <f>stdev('October 2022'!J2:J21)</f>
        <v>40.84486053</v>
      </c>
      <c r="I7" s="47">
        <f>stdev('October 2022'!L2:L21)</f>
        <v>25.08905192</v>
      </c>
      <c r="J7" s="47">
        <f>stdev('October 2022'!N2:Z21)</f>
        <v>81.37340295</v>
      </c>
      <c r="K7" s="47">
        <f>stdev('October 2022'!P2:P21)</f>
        <v>0</v>
      </c>
      <c r="L7" s="47">
        <f>stdev('October 2022'!Q2:Q21)</f>
        <v>59.12956336</v>
      </c>
    </row>
    <row r="8">
      <c r="A8" s="39" t="s">
        <v>33</v>
      </c>
      <c r="B8" s="47">
        <f>slope('October 2022'!B2:B21,'October 2022'!$A$2:$A$21)</f>
        <v>-1.274558862</v>
      </c>
      <c r="C8" s="47">
        <f>slope('October 2022'!C2:C21,'October 2022'!$A$2:$A$21)</f>
        <v>1.724124309</v>
      </c>
      <c r="D8" s="47">
        <f>slope('October 2022'!D2:D21,'October 2022'!$A$2:$A$21)</f>
        <v>0.4495654464</v>
      </c>
      <c r="E8" s="47">
        <f>slope('October 2022'!F2:F21,'October 2022'!$A$2:$A$21)</f>
        <v>13.93007638</v>
      </c>
      <c r="F8" s="47">
        <f>slope('October 2022'!G2:G21,'October 2022'!$A$2:$A$21)</f>
        <v>0.3687121412</v>
      </c>
      <c r="G8" s="47">
        <f>slope('October 2022'!H2:H21,'October 2022'!$A$2:$A$21)</f>
        <v>14.74835396</v>
      </c>
      <c r="H8" s="47">
        <f>slope('October 2022'!J2:J21,'October 2022'!$A$2:$A$21)</f>
        <v>-3.755596524</v>
      </c>
      <c r="I8" s="47">
        <f>slope('October 2022'!L2:L21,'October 2022'!$A$2:$A$21)</f>
        <v>-1.631551225</v>
      </c>
      <c r="J8" s="47">
        <f>slope('October 2022'!N2:N21,'October 2022'!$A$2:$A$21)</f>
        <v>-6.498419805</v>
      </c>
      <c r="K8" s="47">
        <f>slope('October 2022'!P2:P21,'October 2022'!$A$2:$A$21)</f>
        <v>0</v>
      </c>
      <c r="L8" s="47">
        <f>slope('October 2022'!Q2:Q21,'October 2022'!$A$2:$A$21)</f>
        <v>-6.498419805</v>
      </c>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34</v>
      </c>
      <c r="C1" s="17" t="s">
        <v>35</v>
      </c>
      <c r="D1" s="17" t="s">
        <v>36</v>
      </c>
      <c r="E1" s="17" t="s">
        <v>21</v>
      </c>
      <c r="F1" s="17" t="s">
        <v>37</v>
      </c>
      <c r="G1" s="17" t="s">
        <v>38</v>
      </c>
      <c r="H1" s="17" t="s">
        <v>39</v>
      </c>
      <c r="I1" s="17" t="s">
        <v>21</v>
      </c>
      <c r="J1" s="18" t="s">
        <v>24</v>
      </c>
      <c r="K1" s="18" t="s">
        <v>21</v>
      </c>
      <c r="L1" s="18" t="s">
        <v>40</v>
      </c>
      <c r="M1" s="18" t="s">
        <v>21</v>
      </c>
      <c r="N1" s="19" t="s">
        <v>13</v>
      </c>
      <c r="O1" s="19" t="s">
        <v>21</v>
      </c>
      <c r="P1" s="19" t="s">
        <v>25</v>
      </c>
      <c r="Q1" s="19" t="s">
        <v>26</v>
      </c>
      <c r="R1" s="19" t="s">
        <v>21</v>
      </c>
    </row>
    <row r="2">
      <c r="A2" s="48">
        <v>44866.0</v>
      </c>
      <c r="B2" s="21">
        <v>0.0</v>
      </c>
      <c r="C2" s="21">
        <f>119-50+20</f>
        <v>89</v>
      </c>
      <c r="D2" s="22">
        <f>sum(B2,C2)</f>
        <v>89</v>
      </c>
      <c r="E2" s="30">
        <f>89-119</f>
        <v>-30</v>
      </c>
      <c r="F2" s="21">
        <f>292-20</f>
        <v>272</v>
      </c>
      <c r="G2" s="21">
        <v>23.0</v>
      </c>
      <c r="H2" s="22">
        <f t="shared" ref="H2:H11" si="1">sum(D2,F2,G2)</f>
        <v>384</v>
      </c>
      <c r="I2" s="43">
        <f>384-435</f>
        <v>-51</v>
      </c>
      <c r="J2" s="21">
        <v>0.0</v>
      </c>
      <c r="K2" s="43">
        <v>0.0</v>
      </c>
      <c r="L2" s="49">
        <v>29.0</v>
      </c>
      <c r="M2" s="43">
        <v>0.0</v>
      </c>
      <c r="N2" s="21">
        <v>60.0</v>
      </c>
      <c r="O2" s="43">
        <v>0.0</v>
      </c>
      <c r="P2" s="21">
        <v>1000.0</v>
      </c>
      <c r="Q2" s="22">
        <f t="shared" ref="Q2:Q21" si="2">sum(N2,P2)</f>
        <v>1060</v>
      </c>
      <c r="R2" s="43">
        <v>940.0</v>
      </c>
    </row>
    <row r="3">
      <c r="A3" s="50">
        <f t="shared" ref="A3:A18" si="3">WORKDAY($A$2,row(A1),1)</f>
        <v>44867</v>
      </c>
      <c r="B3" s="26">
        <v>4.0</v>
      </c>
      <c r="C3" s="26">
        <f>89+30+6</f>
        <v>125</v>
      </c>
      <c r="D3" s="27">
        <f t="shared" ref="D3:D4" si="4">SUM(B3,C3)</f>
        <v>129</v>
      </c>
      <c r="E3" s="28">
        <f t="shared" ref="E3:E18" si="5">D3-D2</f>
        <v>40</v>
      </c>
      <c r="F3" s="26">
        <f>272-30</f>
        <v>242</v>
      </c>
      <c r="G3" s="26">
        <v>11.0</v>
      </c>
      <c r="H3" s="27">
        <f t="shared" si="1"/>
        <v>382</v>
      </c>
      <c r="I3" s="28">
        <f t="shared" ref="I3:I18" si="6">H3-H2</f>
        <v>-2</v>
      </c>
      <c r="J3" s="26">
        <v>0.0</v>
      </c>
      <c r="K3" s="28">
        <f t="shared" ref="K3:K4" si="7">J3-J2</f>
        <v>0</v>
      </c>
      <c r="L3" s="26">
        <v>29.0</v>
      </c>
      <c r="M3" s="28">
        <f t="shared" ref="M3:M21" si="8">L3-L2</f>
        <v>0</v>
      </c>
      <c r="N3" s="26">
        <f>60-5</f>
        <v>55</v>
      </c>
      <c r="O3" s="28">
        <f t="shared" ref="O3:O21" si="9">N3-N2</f>
        <v>-5</v>
      </c>
      <c r="P3" s="26">
        <v>1000.0</v>
      </c>
      <c r="Q3" s="27">
        <f t="shared" si="2"/>
        <v>1055</v>
      </c>
      <c r="R3" s="28">
        <f t="shared" ref="R3:R21" si="10">Q3-Q2</f>
        <v>-5</v>
      </c>
    </row>
    <row r="4">
      <c r="A4" s="48">
        <f t="shared" si="3"/>
        <v>44868</v>
      </c>
      <c r="B4" s="21">
        <v>2.0</v>
      </c>
      <c r="C4" s="21">
        <f>125+27</f>
        <v>152</v>
      </c>
      <c r="D4" s="22">
        <f t="shared" si="4"/>
        <v>154</v>
      </c>
      <c r="E4" s="30">
        <f t="shared" si="5"/>
        <v>25</v>
      </c>
      <c r="F4" s="21">
        <f>242-27</f>
        <v>215</v>
      </c>
      <c r="G4" s="21">
        <v>17.0</v>
      </c>
      <c r="H4" s="22">
        <f t="shared" si="1"/>
        <v>386</v>
      </c>
      <c r="I4" s="30">
        <f t="shared" si="6"/>
        <v>4</v>
      </c>
      <c r="J4" s="21">
        <v>0.0</v>
      </c>
      <c r="K4" s="30">
        <f t="shared" si="7"/>
        <v>0</v>
      </c>
      <c r="L4" s="21">
        <f>29+8</f>
        <v>37</v>
      </c>
      <c r="M4" s="30">
        <f t="shared" si="8"/>
        <v>8</v>
      </c>
      <c r="N4" s="22">
        <f>55-23</f>
        <v>32</v>
      </c>
      <c r="O4" s="30">
        <f t="shared" si="9"/>
        <v>-23</v>
      </c>
      <c r="P4" s="21">
        <v>1000.0</v>
      </c>
      <c r="Q4" s="22">
        <f t="shared" si="2"/>
        <v>1032</v>
      </c>
      <c r="R4" s="30">
        <f t="shared" si="10"/>
        <v>-23</v>
      </c>
    </row>
    <row r="5">
      <c r="A5" s="50">
        <f t="shared" si="3"/>
        <v>44869</v>
      </c>
      <c r="B5" s="26">
        <v>2.0</v>
      </c>
      <c r="C5" s="26">
        <f>152-5+25</f>
        <v>172</v>
      </c>
      <c r="D5" s="27">
        <f t="shared" ref="D5:D18" si="11">SUM(B5:C5)</f>
        <v>174</v>
      </c>
      <c r="E5" s="28">
        <f t="shared" si="5"/>
        <v>20</v>
      </c>
      <c r="F5" s="26">
        <f>215-25</f>
        <v>190</v>
      </c>
      <c r="G5" s="26">
        <v>7.0</v>
      </c>
      <c r="H5" s="27">
        <f t="shared" si="1"/>
        <v>371</v>
      </c>
      <c r="I5" s="28">
        <f t="shared" si="6"/>
        <v>-15</v>
      </c>
      <c r="J5" s="26">
        <v>0.0</v>
      </c>
      <c r="K5" s="52">
        <v>0.0</v>
      </c>
      <c r="L5" s="27">
        <f>37</f>
        <v>37</v>
      </c>
      <c r="M5" s="28">
        <f t="shared" si="8"/>
        <v>0</v>
      </c>
      <c r="N5" s="27">
        <f>32</f>
        <v>32</v>
      </c>
      <c r="O5" s="28">
        <f t="shared" si="9"/>
        <v>0</v>
      </c>
      <c r="P5" s="26">
        <v>1000.0</v>
      </c>
      <c r="Q5" s="27">
        <f t="shared" si="2"/>
        <v>1032</v>
      </c>
      <c r="R5" s="28">
        <f t="shared" si="10"/>
        <v>0</v>
      </c>
    </row>
    <row r="6">
      <c r="A6" s="48">
        <f t="shared" si="3"/>
        <v>44872</v>
      </c>
      <c r="B6" s="21">
        <v>2.0</v>
      </c>
      <c r="C6" s="21">
        <f>172+30-4</f>
        <v>198</v>
      </c>
      <c r="D6" s="22">
        <f t="shared" si="11"/>
        <v>200</v>
      </c>
      <c r="E6" s="30">
        <f t="shared" si="5"/>
        <v>26</v>
      </c>
      <c r="F6" s="21">
        <f>190-30</f>
        <v>160</v>
      </c>
      <c r="G6" s="21">
        <v>8.0</v>
      </c>
      <c r="H6" s="22">
        <f t="shared" si="1"/>
        <v>368</v>
      </c>
      <c r="I6" s="30">
        <f t="shared" si="6"/>
        <v>-3</v>
      </c>
      <c r="J6" s="21">
        <v>0.0</v>
      </c>
      <c r="K6" s="30">
        <f t="shared" ref="K6:K18" si="12">J6-J5</f>
        <v>0</v>
      </c>
      <c r="L6" s="21">
        <v>37.0</v>
      </c>
      <c r="M6" s="30">
        <f t="shared" si="8"/>
        <v>0</v>
      </c>
      <c r="N6" s="21">
        <v>22.0</v>
      </c>
      <c r="O6" s="30">
        <f t="shared" si="9"/>
        <v>-10</v>
      </c>
      <c r="P6" s="21">
        <v>1000.0</v>
      </c>
      <c r="Q6" s="22">
        <f t="shared" si="2"/>
        <v>1022</v>
      </c>
      <c r="R6" s="30">
        <f t="shared" si="10"/>
        <v>-10</v>
      </c>
    </row>
    <row r="7">
      <c r="A7" s="50">
        <f t="shared" si="3"/>
        <v>44873</v>
      </c>
      <c r="B7" s="26">
        <v>0.0</v>
      </c>
      <c r="C7" s="26">
        <f>198-15+28+10</f>
        <v>221</v>
      </c>
      <c r="D7" s="27">
        <f t="shared" si="11"/>
        <v>221</v>
      </c>
      <c r="E7" s="28">
        <f t="shared" si="5"/>
        <v>21</v>
      </c>
      <c r="F7" s="26">
        <f>160-28</f>
        <v>132</v>
      </c>
      <c r="G7" s="26">
        <v>0.0</v>
      </c>
      <c r="H7" s="27">
        <f t="shared" si="1"/>
        <v>353</v>
      </c>
      <c r="I7" s="28">
        <f t="shared" si="6"/>
        <v>-15</v>
      </c>
      <c r="J7" s="26">
        <v>0.0</v>
      </c>
      <c r="K7" s="28">
        <f t="shared" si="12"/>
        <v>0</v>
      </c>
      <c r="L7" s="26">
        <v>37.0</v>
      </c>
      <c r="M7" s="28">
        <f t="shared" si="8"/>
        <v>0</v>
      </c>
      <c r="N7" s="27">
        <f>22+47-25</f>
        <v>44</v>
      </c>
      <c r="O7" s="28">
        <f t="shared" si="9"/>
        <v>22</v>
      </c>
      <c r="P7" s="26">
        <f>1000-47</f>
        <v>953</v>
      </c>
      <c r="Q7" s="27">
        <f t="shared" si="2"/>
        <v>997</v>
      </c>
      <c r="R7" s="28">
        <f t="shared" si="10"/>
        <v>-25</v>
      </c>
    </row>
    <row r="8">
      <c r="A8" s="48">
        <f t="shared" si="3"/>
        <v>44874</v>
      </c>
      <c r="B8" s="21">
        <v>0.0</v>
      </c>
      <c r="C8" s="21">
        <f>C7-7</f>
        <v>214</v>
      </c>
      <c r="D8" s="22">
        <f t="shared" si="11"/>
        <v>214</v>
      </c>
      <c r="E8" s="30">
        <f t="shared" si="5"/>
        <v>-7</v>
      </c>
      <c r="F8" s="21">
        <v>132.0</v>
      </c>
      <c r="G8" s="21">
        <v>6.0</v>
      </c>
      <c r="H8" s="22">
        <f t="shared" si="1"/>
        <v>352</v>
      </c>
      <c r="I8" s="30">
        <f t="shared" si="6"/>
        <v>-1</v>
      </c>
      <c r="J8" s="21">
        <v>0.0</v>
      </c>
      <c r="K8" s="30">
        <f t="shared" si="12"/>
        <v>0</v>
      </c>
      <c r="L8" s="21">
        <f>37+6</f>
        <v>43</v>
      </c>
      <c r="M8" s="30">
        <f t="shared" si="8"/>
        <v>6</v>
      </c>
      <c r="N8" s="21">
        <f>N7+108</f>
        <v>152</v>
      </c>
      <c r="O8" s="30">
        <f t="shared" si="9"/>
        <v>108</v>
      </c>
      <c r="P8" s="21">
        <f>P7-108</f>
        <v>845</v>
      </c>
      <c r="Q8" s="22">
        <f t="shared" si="2"/>
        <v>997</v>
      </c>
      <c r="R8" s="30">
        <f t="shared" si="10"/>
        <v>0</v>
      </c>
    </row>
    <row r="9">
      <c r="A9" s="50">
        <f t="shared" si="3"/>
        <v>44875</v>
      </c>
      <c r="B9" s="26">
        <v>0.0</v>
      </c>
      <c r="C9" s="26">
        <f>C8-2-1-10+7</f>
        <v>208</v>
      </c>
      <c r="D9" s="27">
        <f t="shared" si="11"/>
        <v>208</v>
      </c>
      <c r="E9" s="28">
        <f t="shared" si="5"/>
        <v>-6</v>
      </c>
      <c r="F9" s="26">
        <f>132-7</f>
        <v>125</v>
      </c>
      <c r="G9" s="26">
        <v>0.0</v>
      </c>
      <c r="H9" s="27">
        <f t="shared" si="1"/>
        <v>333</v>
      </c>
      <c r="I9" s="28">
        <f t="shared" si="6"/>
        <v>-19</v>
      </c>
      <c r="J9" s="26">
        <v>0.0</v>
      </c>
      <c r="K9" s="28">
        <f t="shared" si="12"/>
        <v>0</v>
      </c>
      <c r="L9" s="26">
        <f>43-1</f>
        <v>42</v>
      </c>
      <c r="M9" s="28">
        <f t="shared" si="8"/>
        <v>-1</v>
      </c>
      <c r="N9" s="27">
        <f>N8-25+44</f>
        <v>171</v>
      </c>
      <c r="O9" s="28">
        <f t="shared" si="9"/>
        <v>19</v>
      </c>
      <c r="P9" s="26">
        <f>845-44</f>
        <v>801</v>
      </c>
      <c r="Q9" s="27">
        <f t="shared" si="2"/>
        <v>972</v>
      </c>
      <c r="R9" s="28">
        <f t="shared" si="10"/>
        <v>-25</v>
      </c>
    </row>
    <row r="10">
      <c r="A10" s="48">
        <f t="shared" si="3"/>
        <v>44876</v>
      </c>
      <c r="B10" s="21">
        <v>0.0</v>
      </c>
      <c r="C10" s="21">
        <f>C9-5+3</f>
        <v>206</v>
      </c>
      <c r="D10" s="22">
        <f t="shared" si="11"/>
        <v>206</v>
      </c>
      <c r="E10" s="30">
        <f t="shared" si="5"/>
        <v>-2</v>
      </c>
      <c r="F10" s="21">
        <f>125-3</f>
        <v>122</v>
      </c>
      <c r="G10" s="21">
        <v>0.0</v>
      </c>
      <c r="H10" s="22">
        <f t="shared" si="1"/>
        <v>328</v>
      </c>
      <c r="I10" s="30">
        <f t="shared" si="6"/>
        <v>-5</v>
      </c>
      <c r="J10" s="21">
        <v>0.0</v>
      </c>
      <c r="K10" s="30">
        <f t="shared" si="12"/>
        <v>0</v>
      </c>
      <c r="L10" s="21">
        <v>42.0</v>
      </c>
      <c r="M10" s="30">
        <f t="shared" si="8"/>
        <v>0</v>
      </c>
      <c r="N10" s="22">
        <f>N9-5+104</f>
        <v>270</v>
      </c>
      <c r="O10" s="30">
        <f t="shared" si="9"/>
        <v>99</v>
      </c>
      <c r="P10" s="21">
        <f>801-104</f>
        <v>697</v>
      </c>
      <c r="Q10" s="22">
        <f t="shared" si="2"/>
        <v>967</v>
      </c>
      <c r="R10" s="30">
        <f t="shared" si="10"/>
        <v>-5</v>
      </c>
    </row>
    <row r="11">
      <c r="A11" s="50">
        <f t="shared" si="3"/>
        <v>44879</v>
      </c>
      <c r="B11" s="26">
        <v>0.0</v>
      </c>
      <c r="C11" s="26">
        <f>C10-5-37</f>
        <v>164</v>
      </c>
      <c r="D11" s="27">
        <f t="shared" si="11"/>
        <v>164</v>
      </c>
      <c r="E11" s="28">
        <f t="shared" si="5"/>
        <v>-42</v>
      </c>
      <c r="F11" s="26">
        <v>122.0</v>
      </c>
      <c r="G11" s="26">
        <v>0.0</v>
      </c>
      <c r="H11" s="27">
        <f t="shared" si="1"/>
        <v>286</v>
      </c>
      <c r="I11" s="28">
        <f t="shared" si="6"/>
        <v>-42</v>
      </c>
      <c r="J11" s="26">
        <v>0.0</v>
      </c>
      <c r="K11" s="28">
        <f t="shared" si="12"/>
        <v>0</v>
      </c>
      <c r="L11" s="26">
        <v>42.0</v>
      </c>
      <c r="M11" s="28">
        <f t="shared" si="8"/>
        <v>0</v>
      </c>
      <c r="N11" s="27">
        <f>N10+189</f>
        <v>459</v>
      </c>
      <c r="O11" s="28">
        <f t="shared" si="9"/>
        <v>189</v>
      </c>
      <c r="P11" s="26">
        <f>697-189</f>
        <v>508</v>
      </c>
      <c r="Q11" s="27">
        <f t="shared" si="2"/>
        <v>967</v>
      </c>
      <c r="R11" s="28">
        <f t="shared" si="10"/>
        <v>0</v>
      </c>
    </row>
    <row r="12">
      <c r="A12" s="48">
        <f t="shared" si="3"/>
        <v>44880</v>
      </c>
      <c r="B12" s="21">
        <v>0.0</v>
      </c>
      <c r="C12" s="21">
        <f>C11-15-4</f>
        <v>145</v>
      </c>
      <c r="D12" s="22">
        <f t="shared" si="11"/>
        <v>145</v>
      </c>
      <c r="E12" s="43">
        <f t="shared" si="5"/>
        <v>-19</v>
      </c>
      <c r="F12" s="21">
        <v>122.0</v>
      </c>
      <c r="G12" s="21">
        <v>5.0</v>
      </c>
      <c r="H12" s="22">
        <f t="shared" ref="H12:H18" si="13">SUM(D12,F12,G12)</f>
        <v>272</v>
      </c>
      <c r="I12" s="30">
        <f t="shared" si="6"/>
        <v>-14</v>
      </c>
      <c r="J12" s="21">
        <v>0.0</v>
      </c>
      <c r="K12" s="30">
        <f t="shared" si="12"/>
        <v>0</v>
      </c>
      <c r="L12" s="21">
        <v>42.0</v>
      </c>
      <c r="M12" s="30">
        <f t="shared" si="8"/>
        <v>0</v>
      </c>
      <c r="N12" s="21">
        <f>N11-5+211</f>
        <v>665</v>
      </c>
      <c r="O12" s="30">
        <f t="shared" si="9"/>
        <v>206</v>
      </c>
      <c r="P12" s="21">
        <f>508-211</f>
        <v>297</v>
      </c>
      <c r="Q12" s="22">
        <f t="shared" si="2"/>
        <v>962</v>
      </c>
      <c r="R12" s="30">
        <f t="shared" si="10"/>
        <v>-5</v>
      </c>
    </row>
    <row r="13">
      <c r="A13" s="50">
        <f t="shared" si="3"/>
        <v>44881</v>
      </c>
      <c r="B13" s="26">
        <v>4.0</v>
      </c>
      <c r="C13" s="26">
        <f>C12-1</f>
        <v>144</v>
      </c>
      <c r="D13" s="27">
        <f t="shared" si="11"/>
        <v>148</v>
      </c>
      <c r="E13" s="52">
        <f t="shared" si="5"/>
        <v>3</v>
      </c>
      <c r="F13" s="26">
        <v>122.0</v>
      </c>
      <c r="G13" s="26">
        <v>1.0</v>
      </c>
      <c r="H13" s="27">
        <f t="shared" si="13"/>
        <v>271</v>
      </c>
      <c r="I13" s="28">
        <f t="shared" si="6"/>
        <v>-1</v>
      </c>
      <c r="J13" s="26">
        <v>0.0</v>
      </c>
      <c r="K13" s="28">
        <f t="shared" si="12"/>
        <v>0</v>
      </c>
      <c r="L13" s="26">
        <f>42</f>
        <v>42</v>
      </c>
      <c r="M13" s="28">
        <f t="shared" si="8"/>
        <v>0</v>
      </c>
      <c r="N13" s="27">
        <f>N12+189-10</f>
        <v>844</v>
      </c>
      <c r="O13" s="28">
        <f t="shared" si="9"/>
        <v>179</v>
      </c>
      <c r="P13" s="26">
        <f>297-189</f>
        <v>108</v>
      </c>
      <c r="Q13" s="27">
        <f t="shared" si="2"/>
        <v>952</v>
      </c>
      <c r="R13" s="28">
        <f t="shared" si="10"/>
        <v>-10</v>
      </c>
    </row>
    <row r="14">
      <c r="A14" s="48">
        <f t="shared" si="3"/>
        <v>44882</v>
      </c>
      <c r="B14" s="21">
        <v>0.0</v>
      </c>
      <c r="C14" s="21">
        <f>C13-16</f>
        <v>128</v>
      </c>
      <c r="D14" s="22">
        <f t="shared" si="11"/>
        <v>128</v>
      </c>
      <c r="E14" s="30">
        <f t="shared" si="5"/>
        <v>-20</v>
      </c>
      <c r="F14" s="21">
        <v>122.0</v>
      </c>
      <c r="G14" s="21">
        <v>0.0</v>
      </c>
      <c r="H14" s="22">
        <f t="shared" si="13"/>
        <v>250</v>
      </c>
      <c r="I14" s="30">
        <f t="shared" si="6"/>
        <v>-21</v>
      </c>
      <c r="J14" s="21">
        <v>0.0</v>
      </c>
      <c r="K14" s="30">
        <f t="shared" si="12"/>
        <v>0</v>
      </c>
      <c r="L14" s="21">
        <f>42-4</f>
        <v>38</v>
      </c>
      <c r="M14" s="30">
        <f t="shared" si="8"/>
        <v>-4</v>
      </c>
      <c r="N14" s="22">
        <f>N13+108-10</f>
        <v>942</v>
      </c>
      <c r="O14" s="30">
        <f t="shared" si="9"/>
        <v>98</v>
      </c>
      <c r="P14" s="21">
        <v>0.0</v>
      </c>
      <c r="Q14" s="22">
        <f t="shared" si="2"/>
        <v>942</v>
      </c>
      <c r="R14" s="30">
        <f t="shared" si="10"/>
        <v>-10</v>
      </c>
    </row>
    <row r="15">
      <c r="A15" s="50">
        <f t="shared" si="3"/>
        <v>44883</v>
      </c>
      <c r="B15" s="26">
        <v>0.0</v>
      </c>
      <c r="C15" s="26">
        <f>C14</f>
        <v>128</v>
      </c>
      <c r="D15" s="27">
        <f t="shared" si="11"/>
        <v>128</v>
      </c>
      <c r="E15" s="28">
        <f t="shared" si="5"/>
        <v>0</v>
      </c>
      <c r="F15" s="26">
        <v>122.0</v>
      </c>
      <c r="G15" s="26">
        <v>4.0</v>
      </c>
      <c r="H15" s="27">
        <f t="shared" si="13"/>
        <v>254</v>
      </c>
      <c r="I15" s="28">
        <f t="shared" si="6"/>
        <v>4</v>
      </c>
      <c r="J15" s="26">
        <v>0.0</v>
      </c>
      <c r="K15" s="28">
        <f t="shared" si="12"/>
        <v>0</v>
      </c>
      <c r="L15" s="26">
        <v>38.0</v>
      </c>
      <c r="M15" s="28">
        <f t="shared" si="8"/>
        <v>0</v>
      </c>
      <c r="N15" s="27">
        <f>N14</f>
        <v>942</v>
      </c>
      <c r="O15" s="28">
        <f t="shared" si="9"/>
        <v>0</v>
      </c>
      <c r="P15" s="26">
        <v>0.0</v>
      </c>
      <c r="Q15" s="27">
        <f t="shared" si="2"/>
        <v>942</v>
      </c>
      <c r="R15" s="28">
        <f t="shared" si="10"/>
        <v>0</v>
      </c>
    </row>
    <row r="16">
      <c r="A16" s="48">
        <f t="shared" si="3"/>
        <v>44886</v>
      </c>
      <c r="B16" s="21">
        <v>0.0</v>
      </c>
      <c r="C16" s="21">
        <f>C15-6</f>
        <v>122</v>
      </c>
      <c r="D16" s="21">
        <f t="shared" si="11"/>
        <v>122</v>
      </c>
      <c r="E16" s="30">
        <f t="shared" si="5"/>
        <v>-6</v>
      </c>
      <c r="F16" s="21">
        <v>122.0</v>
      </c>
      <c r="G16" s="21">
        <v>5.0</v>
      </c>
      <c r="H16" s="22">
        <f t="shared" si="13"/>
        <v>249</v>
      </c>
      <c r="I16" s="30">
        <f t="shared" si="6"/>
        <v>-5</v>
      </c>
      <c r="J16" s="21">
        <v>0.0</v>
      </c>
      <c r="K16" s="30">
        <f t="shared" si="12"/>
        <v>0</v>
      </c>
      <c r="L16" s="21">
        <v>38.0</v>
      </c>
      <c r="M16" s="30">
        <f t="shared" si="8"/>
        <v>0</v>
      </c>
      <c r="N16" s="22">
        <f>N15-10</f>
        <v>932</v>
      </c>
      <c r="O16" s="30">
        <f t="shared" si="9"/>
        <v>-10</v>
      </c>
      <c r="P16" s="21">
        <v>0.0</v>
      </c>
      <c r="Q16" s="22">
        <f t="shared" si="2"/>
        <v>932</v>
      </c>
      <c r="R16" s="30">
        <f t="shared" si="10"/>
        <v>-10</v>
      </c>
    </row>
    <row r="17">
      <c r="A17" s="50">
        <f t="shared" si="3"/>
        <v>44887</v>
      </c>
      <c r="B17" s="26">
        <v>0.0</v>
      </c>
      <c r="C17" s="27">
        <f>C16-2</f>
        <v>120</v>
      </c>
      <c r="D17" s="27">
        <f t="shared" si="11"/>
        <v>120</v>
      </c>
      <c r="E17" s="28">
        <f t="shared" si="5"/>
        <v>-2</v>
      </c>
      <c r="F17" s="26">
        <f>122</f>
        <v>122</v>
      </c>
      <c r="G17" s="26">
        <v>3.0</v>
      </c>
      <c r="H17" s="27">
        <f t="shared" si="13"/>
        <v>245</v>
      </c>
      <c r="I17" s="28">
        <f t="shared" si="6"/>
        <v>-4</v>
      </c>
      <c r="J17" s="26">
        <v>0.0</v>
      </c>
      <c r="K17" s="28">
        <f t="shared" si="12"/>
        <v>0</v>
      </c>
      <c r="L17" s="26">
        <f>38-7</f>
        <v>31</v>
      </c>
      <c r="M17" s="28">
        <f t="shared" si="8"/>
        <v>-7</v>
      </c>
      <c r="N17" s="27">
        <f>N16-25</f>
        <v>907</v>
      </c>
      <c r="O17" s="28">
        <f t="shared" si="9"/>
        <v>-25</v>
      </c>
      <c r="P17" s="26">
        <v>0.0</v>
      </c>
      <c r="Q17" s="27">
        <f t="shared" si="2"/>
        <v>907</v>
      </c>
      <c r="R17" s="28">
        <f t="shared" si="10"/>
        <v>-25</v>
      </c>
    </row>
    <row r="18">
      <c r="A18" s="48">
        <f t="shared" si="3"/>
        <v>44888</v>
      </c>
      <c r="B18" s="21">
        <v>0.0</v>
      </c>
      <c r="C18" s="21">
        <f>C17-23</f>
        <v>97</v>
      </c>
      <c r="D18" s="22">
        <f t="shared" si="11"/>
        <v>97</v>
      </c>
      <c r="E18" s="30">
        <f t="shared" si="5"/>
        <v>-23</v>
      </c>
      <c r="F18" s="21">
        <v>122.0</v>
      </c>
      <c r="G18" s="21">
        <v>2.0</v>
      </c>
      <c r="H18" s="22">
        <f t="shared" si="13"/>
        <v>221</v>
      </c>
      <c r="I18" s="30">
        <f t="shared" si="6"/>
        <v>-24</v>
      </c>
      <c r="J18" s="21">
        <v>0.0</v>
      </c>
      <c r="K18" s="30">
        <f t="shared" si="12"/>
        <v>0</v>
      </c>
      <c r="L18" s="21">
        <f>L17+89-1</f>
        <v>119</v>
      </c>
      <c r="M18" s="30">
        <f t="shared" si="8"/>
        <v>88</v>
      </c>
      <c r="N18" s="22">
        <f>N17-15</f>
        <v>892</v>
      </c>
      <c r="O18" s="30">
        <f t="shared" si="9"/>
        <v>-15</v>
      </c>
      <c r="P18" s="21">
        <v>0.0</v>
      </c>
      <c r="Q18" s="22">
        <f t="shared" si="2"/>
        <v>892</v>
      </c>
      <c r="R18" s="30">
        <f t="shared" si="10"/>
        <v>-15</v>
      </c>
    </row>
    <row r="19">
      <c r="A19" s="50">
        <v>44893.0</v>
      </c>
      <c r="B19" s="26">
        <v>0.0</v>
      </c>
      <c r="C19" s="26">
        <f>97+2-9</f>
        <v>90</v>
      </c>
      <c r="D19" s="27">
        <f t="shared" ref="D19:F19" si="14">D18</f>
        <v>97</v>
      </c>
      <c r="E19" s="28">
        <f t="shared" si="14"/>
        <v>-23</v>
      </c>
      <c r="F19" s="26">
        <f t="shared" si="14"/>
        <v>122</v>
      </c>
      <c r="G19" s="26">
        <v>12.0</v>
      </c>
      <c r="H19" s="27">
        <f t="shared" ref="H19:I19" si="15">H18</f>
        <v>221</v>
      </c>
      <c r="I19" s="28">
        <f t="shared" si="15"/>
        <v>-24</v>
      </c>
      <c r="J19" s="26">
        <v>0.0</v>
      </c>
      <c r="K19" s="28">
        <f>K18</f>
        <v>0</v>
      </c>
      <c r="L19" s="26">
        <f>L18-1</f>
        <v>118</v>
      </c>
      <c r="M19" s="28">
        <f t="shared" si="8"/>
        <v>-1</v>
      </c>
      <c r="N19" s="27">
        <f>N18-12</f>
        <v>880</v>
      </c>
      <c r="O19" s="28">
        <f t="shared" si="9"/>
        <v>-12</v>
      </c>
      <c r="P19" s="26">
        <v>0.0</v>
      </c>
      <c r="Q19" s="27">
        <f t="shared" si="2"/>
        <v>880</v>
      </c>
      <c r="R19" s="28">
        <f t="shared" si="10"/>
        <v>-12</v>
      </c>
    </row>
    <row r="20">
      <c r="A20" s="48">
        <v>44894.0</v>
      </c>
      <c r="B20" s="21">
        <v>0.0</v>
      </c>
      <c r="C20" s="21">
        <f>C19-4-2-2</f>
        <v>82</v>
      </c>
      <c r="D20" s="22">
        <f t="shared" ref="D20:D21" si="16">SUM(B20:C20)</f>
        <v>82</v>
      </c>
      <c r="E20" s="30">
        <f t="shared" ref="E20:E21" si="17">D20-D19</f>
        <v>-15</v>
      </c>
      <c r="F20" s="21">
        <v>122.0</v>
      </c>
      <c r="G20" s="21">
        <f>G19-6</f>
        <v>6</v>
      </c>
      <c r="H20" s="22">
        <f t="shared" ref="H20:H21" si="18">SUM(D20,F20,G20)</f>
        <v>210</v>
      </c>
      <c r="I20" s="30">
        <f t="shared" ref="I20:I21" si="19">H20-H19</f>
        <v>-11</v>
      </c>
      <c r="J20" s="21">
        <v>12.0</v>
      </c>
      <c r="K20" s="30">
        <f t="shared" ref="K20:K21" si="20">J20-J19</f>
        <v>12</v>
      </c>
      <c r="L20" s="21">
        <f>L19-10-2</f>
        <v>106</v>
      </c>
      <c r="M20" s="30">
        <f t="shared" si="8"/>
        <v>-12</v>
      </c>
      <c r="N20" s="21">
        <f>N19-4-10-5-10-5-10-10-3</f>
        <v>823</v>
      </c>
      <c r="O20" s="30">
        <f t="shared" si="9"/>
        <v>-57</v>
      </c>
      <c r="P20" s="21">
        <v>0.0</v>
      </c>
      <c r="Q20" s="22">
        <f t="shared" si="2"/>
        <v>823</v>
      </c>
      <c r="R20" s="30">
        <f t="shared" si="10"/>
        <v>-57</v>
      </c>
    </row>
    <row r="21">
      <c r="A21" s="50">
        <v>44895.0</v>
      </c>
      <c r="B21" s="26">
        <v>0.0</v>
      </c>
      <c r="C21" s="26">
        <f>C20-8+6-3</f>
        <v>77</v>
      </c>
      <c r="D21" s="27">
        <f t="shared" si="16"/>
        <v>77</v>
      </c>
      <c r="E21" s="28">
        <f t="shared" si="17"/>
        <v>-5</v>
      </c>
      <c r="F21" s="26">
        <v>122.0</v>
      </c>
      <c r="G21" s="26">
        <v>17.0</v>
      </c>
      <c r="H21" s="27">
        <f t="shared" si="18"/>
        <v>216</v>
      </c>
      <c r="I21" s="28">
        <f t="shared" si="19"/>
        <v>6</v>
      </c>
      <c r="J21" s="26">
        <v>87.0</v>
      </c>
      <c r="K21" s="28">
        <f t="shared" si="20"/>
        <v>75</v>
      </c>
      <c r="L21" s="26">
        <f>L20</f>
        <v>106</v>
      </c>
      <c r="M21" s="28">
        <f t="shared" si="8"/>
        <v>0</v>
      </c>
      <c r="N21" s="27">
        <f>N20-8</f>
        <v>815</v>
      </c>
      <c r="O21" s="28">
        <f t="shared" si="9"/>
        <v>-8</v>
      </c>
      <c r="P21" s="26">
        <v>0.0</v>
      </c>
      <c r="Q21" s="27">
        <f t="shared" si="2"/>
        <v>815</v>
      </c>
      <c r="R21" s="28">
        <f t="shared" si="10"/>
        <v>-8</v>
      </c>
    </row>
    <row r="22">
      <c r="A22" s="51"/>
    </row>
    <row r="23" ht="37.5" customHeight="1"/>
    <row r="24" ht="37.5" customHeight="1"/>
    <row r="25" ht="37.5" customHeight="1"/>
    <row r="26" ht="37.5" customHeight="1"/>
    <row r="27" ht="37.5" customHeight="1"/>
    <row r="28" ht="37.5" customHeight="1"/>
    <row r="29" ht="37.5" customHeight="1"/>
    <row r="30" ht="37.5" customHeight="1"/>
  </sheetData>
  <autoFilter ref="$A$1:$R$21"/>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47</v>
      </c>
      <c r="B1" s="2"/>
      <c r="C1" s="2"/>
      <c r="D1" s="2"/>
      <c r="E1" s="2"/>
      <c r="F1" s="2"/>
      <c r="G1" s="2"/>
      <c r="H1" s="2"/>
      <c r="I1" s="2"/>
      <c r="J1" s="2"/>
      <c r="K1" s="2"/>
      <c r="L1" s="3"/>
    </row>
    <row r="2">
      <c r="A2" s="45" t="s">
        <v>28</v>
      </c>
      <c r="B2" s="17" t="s">
        <v>42</v>
      </c>
      <c r="C2" s="17" t="s">
        <v>43</v>
      </c>
      <c r="D2" s="17" t="s">
        <v>20</v>
      </c>
      <c r="E2" s="17" t="s">
        <v>5</v>
      </c>
      <c r="F2" s="17" t="s">
        <v>38</v>
      </c>
      <c r="G2" s="17" t="s">
        <v>23</v>
      </c>
      <c r="H2" s="18" t="s">
        <v>24</v>
      </c>
      <c r="I2" s="18" t="s">
        <v>40</v>
      </c>
      <c r="J2" s="19" t="s">
        <v>13</v>
      </c>
      <c r="K2" s="19" t="s">
        <v>25</v>
      </c>
      <c r="L2" s="19" t="s">
        <v>26</v>
      </c>
    </row>
    <row r="3">
      <c r="A3" s="36" t="s">
        <v>29</v>
      </c>
      <c r="B3" s="46">
        <f t="array" ref="B3">INDEX('November 2022'!B2:B21,1,1)</f>
        <v>0</v>
      </c>
      <c r="C3" s="46">
        <f t="array" ref="C3">INDEX('November 2022'!C2:C21,1,1)</f>
        <v>89</v>
      </c>
      <c r="D3" s="46">
        <f t="array" ref="D3">INDEX('November 2022'!D2:D21,1,1)</f>
        <v>89</v>
      </c>
      <c r="E3" s="37">
        <f t="array" ref="E3">INDEX('November 2022'!F2:F21,1,1)</f>
        <v>272</v>
      </c>
      <c r="F3" s="37">
        <f t="array" ref="F3">INDEX('November 2022'!G2:G21,1,1)</f>
        <v>23</v>
      </c>
      <c r="G3" s="37">
        <f t="array" ref="G3">INDEX('November 2022'!H2:H21,1,1)</f>
        <v>384</v>
      </c>
      <c r="H3" s="46">
        <f t="array" ref="H3">INDEX('November 2022'!J2:J21,1,1)</f>
        <v>0</v>
      </c>
      <c r="I3" s="37">
        <f t="array" ref="I3">INDEX('November 2022'!L2:L21,1,1)</f>
        <v>29</v>
      </c>
      <c r="J3" s="46">
        <f t="array" ref="J3">INDEX('November 2022'!N2:N21,1,1)</f>
        <v>60</v>
      </c>
      <c r="K3" s="46">
        <f t="array" ref="K3">INDEX('November 2022'!P2:P21,1,1)</f>
        <v>1000</v>
      </c>
      <c r="L3" s="46">
        <f t="array" ref="L3">INDEX('November 2022'!Q2:Q21,1,1)</f>
        <v>1060</v>
      </c>
    </row>
    <row r="4">
      <c r="A4" s="36" t="s">
        <v>30</v>
      </c>
      <c r="B4" s="46">
        <f t="array" ref="B4">INDEX('November 2022'!B2:B21,MATCH(143^143,'November 2022'!B2:B21))</f>
        <v>0</v>
      </c>
      <c r="C4" s="46">
        <f t="array" ref="C4">INDEX('November 2022'!C2:C21,MATCH(143^143,'November 2022'!C2:C21))</f>
        <v>77</v>
      </c>
      <c r="D4" s="46">
        <f t="array" ref="D4">INDEX('November 2022'!D2:D21,MATCH(143^143,'November 2022'!D2:D21))</f>
        <v>77</v>
      </c>
      <c r="E4" s="46">
        <f t="array" ref="E4">INDEX('November 2022'!F2:F21,MATCH(143^143,'November 2022'!F2:F21))</f>
        <v>122</v>
      </c>
      <c r="F4" s="46">
        <f t="array" ref="F4">INDEX('November 2022'!G2:G21,MATCH(143^143,'November 2022'!G2:G21))</f>
        <v>17</v>
      </c>
      <c r="G4" s="46">
        <f t="array" ref="G4">INDEX('November 2022'!H2:H21,MATCH(143^143,'November 2022'!H2:H21))</f>
        <v>216</v>
      </c>
      <c r="H4" s="46">
        <f t="array" ref="H4">INDEX('November 2022'!J2:J21,MATCH(143^143,'November 2022'!J2:J21))</f>
        <v>87</v>
      </c>
      <c r="I4" s="46">
        <f t="array" ref="I4">INDEX('November 2022'!L2:L21,MATCH(143^143,'November 2022'!L2:L21))</f>
        <v>106</v>
      </c>
      <c r="J4" s="46">
        <f t="array" ref="J4">INDEX('November 2022'!N2:N21,MATCH(143^143,'November 2022'!N2:N21))</f>
        <v>815</v>
      </c>
      <c r="K4" s="46">
        <f t="array" ref="K4">INDEX('November 2022'!P2:P21,MATCH(143^143,'November 2022'!P2:P21))</f>
        <v>0</v>
      </c>
      <c r="L4" s="46">
        <f t="array" ref="L4">INDEX('November 2022'!Q2:Q21,MATCH(143^143,'November 2022'!Q2:Q21))</f>
        <v>815</v>
      </c>
    </row>
    <row r="5">
      <c r="A5" s="36" t="s">
        <v>21</v>
      </c>
      <c r="B5" s="38">
        <f t="shared" ref="B5:L5" si="1">B4-B3</f>
        <v>0</v>
      </c>
      <c r="C5" s="38">
        <f t="shared" si="1"/>
        <v>-12</v>
      </c>
      <c r="D5" s="38">
        <f t="shared" si="1"/>
        <v>-12</v>
      </c>
      <c r="E5" s="38">
        <f t="shared" si="1"/>
        <v>-150</v>
      </c>
      <c r="F5" s="38">
        <f t="shared" si="1"/>
        <v>-6</v>
      </c>
      <c r="G5" s="38">
        <f t="shared" si="1"/>
        <v>-168</v>
      </c>
      <c r="H5" s="38">
        <f t="shared" si="1"/>
        <v>87</v>
      </c>
      <c r="I5" s="38">
        <f t="shared" si="1"/>
        <v>77</v>
      </c>
      <c r="J5" s="38">
        <f t="shared" si="1"/>
        <v>755</v>
      </c>
      <c r="K5" s="38">
        <f t="shared" si="1"/>
        <v>-1000</v>
      </c>
      <c r="L5" s="38">
        <f t="shared" si="1"/>
        <v>-245</v>
      </c>
    </row>
    <row r="6">
      <c r="A6" s="39" t="s">
        <v>31</v>
      </c>
      <c r="B6" s="47">
        <f>AVERAGE('November 2022'!B2:B21)</f>
        <v>0.7</v>
      </c>
      <c r="C6" s="47">
        <f>AVERAGE('November 2022'!C2:C21)</f>
        <v>144.1</v>
      </c>
      <c r="D6" s="47">
        <f>AVERAGE('November 2022'!D2:D21)</f>
        <v>145.15</v>
      </c>
      <c r="E6" s="47">
        <f>AVERAGE('November 2022'!F2:F21)</f>
        <v>146.6</v>
      </c>
      <c r="F6" s="47">
        <f>AVERAGE('November 2022'!G2:G21)</f>
        <v>6.35</v>
      </c>
      <c r="G6" s="47">
        <f>AVERAGE('November 2022'!H2:H21)</f>
        <v>297.6</v>
      </c>
      <c r="H6" s="47">
        <f>AVERAGE('November 2022'!J2:J21)</f>
        <v>4.95</v>
      </c>
      <c r="I6" s="47">
        <f>AVERAGE('November 2022'!L2:L21)</f>
        <v>52.65</v>
      </c>
      <c r="J6" s="47">
        <f>AVERAGE('November 2022'!N2:N21)</f>
        <v>496.95</v>
      </c>
      <c r="K6" s="47">
        <f>AVERAGE('November 2022'!P2:P21)</f>
        <v>460.45</v>
      </c>
      <c r="L6" s="47">
        <f>AVERAGE('November 2022'!Q2:Q21)</f>
        <v>957.4</v>
      </c>
    </row>
    <row r="7">
      <c r="A7" s="39" t="s">
        <v>32</v>
      </c>
      <c r="B7" s="47">
        <f>stdev('November 2022'!B2:B21)</f>
        <v>1.341640786</v>
      </c>
      <c r="C7" s="47">
        <f>stdev('November 2022'!C2:C21)</f>
        <v>46.65088706</v>
      </c>
      <c r="D7" s="47">
        <f>stdev('November 2022'!D2:D21)</f>
        <v>46.37861917</v>
      </c>
      <c r="E7" s="47">
        <f>stdev('November 2022'!F2:F21)</f>
        <v>45.72388527</v>
      </c>
      <c r="F7" s="47">
        <f>stdev('November 2022'!G2:G21)</f>
        <v>6.61159269</v>
      </c>
      <c r="G7" s="47">
        <f>stdev('November 2022'!H2:H21)</f>
        <v>63.99539457</v>
      </c>
      <c r="H7" s="47">
        <f>stdev('November 2022'!J2:J21)</f>
        <v>19.4975707</v>
      </c>
      <c r="I7" s="47">
        <f>stdev('November 2022'!L2:L21)</f>
        <v>30.98093641</v>
      </c>
      <c r="J7" s="47">
        <f>stdev('November 2022'!N2:Z21)</f>
        <v>445.5183434</v>
      </c>
      <c r="K7" s="47">
        <f>stdev('November 2022'!P2:P21)</f>
        <v>451.156231</v>
      </c>
      <c r="L7" s="47">
        <f>stdev('November 2022'!Q2:Q21)</f>
        <v>69.28537478</v>
      </c>
    </row>
    <row r="8">
      <c r="A8" s="39" t="s">
        <v>33</v>
      </c>
      <c r="B8" s="47">
        <f>slope('November 2022'!B2:B21,'November 2022'!$A$2:$A$21)</f>
        <v>-0.06484554506</v>
      </c>
      <c r="C8" s="47">
        <f>slope('November 2022'!C2:C21,'November 2022'!$A$2:$A$21)</f>
        <v>-2.99706408</v>
      </c>
      <c r="D8" s="47">
        <f>slope('November 2022'!D2:D21,'November 2022'!$A$2:$A$21)</f>
        <v>-3.001148838</v>
      </c>
      <c r="E8" s="47">
        <f>slope('November 2022'!F2:F21,'November 2022'!$A$2:$A$21)</f>
        <v>-3.623819249</v>
      </c>
      <c r="F8" s="47">
        <f>slope('November 2022'!G2:G21,'November 2022'!$A$2:$A$21)</f>
        <v>-0.1243298443</v>
      </c>
      <c r="G8" s="47">
        <f>slope('November 2022'!H2:H21,'November 2022'!$A$2:$A$21)</f>
        <v>-6.836099055</v>
      </c>
      <c r="H8" s="47">
        <f>slope('November 2022'!J2:J21,'November 2022'!$A$2:$A$21)</f>
        <v>0.9780444218</v>
      </c>
      <c r="I8" s="47">
        <f>slope('November 2022'!L2:L21,'November 2022'!$A$2:$A$21)</f>
        <v>2.554123053</v>
      </c>
      <c r="J8" s="47">
        <f>slope('November 2022'!N2:N21,'November 2022'!$A$2:$A$21)</f>
        <v>38.10339546</v>
      </c>
      <c r="K8" s="47">
        <f>slope('November 2022'!P2:P21,'November 2022'!$A$2:$A$21)</f>
        <v>-45.57607863</v>
      </c>
      <c r="L8" s="47">
        <f>slope('November 2022'!Q2:Q21,'November 2022'!$A$2:$A$21)</f>
        <v>-7.472683176</v>
      </c>
    </row>
  </sheetData>
  <mergeCells count="1">
    <mergeCell ref="A1:L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17.63"/>
    <col customWidth="1" min="4" max="4" width="15.75"/>
  </cols>
  <sheetData>
    <row r="1" ht="37.5" customHeight="1">
      <c r="A1" s="16" t="s">
        <v>17</v>
      </c>
      <c r="B1" s="17" t="s">
        <v>34</v>
      </c>
      <c r="C1" s="17" t="s">
        <v>35</v>
      </c>
      <c r="D1" s="17" t="s">
        <v>36</v>
      </c>
      <c r="E1" s="17" t="s">
        <v>21</v>
      </c>
      <c r="F1" s="17" t="s">
        <v>37</v>
      </c>
      <c r="G1" s="17" t="s">
        <v>38</v>
      </c>
      <c r="H1" s="17" t="s">
        <v>39</v>
      </c>
      <c r="I1" s="17" t="s">
        <v>21</v>
      </c>
      <c r="J1" s="18" t="s">
        <v>24</v>
      </c>
      <c r="K1" s="18" t="s">
        <v>21</v>
      </c>
      <c r="L1" s="18" t="s">
        <v>40</v>
      </c>
      <c r="M1" s="18" t="s">
        <v>21</v>
      </c>
      <c r="N1" s="19" t="s">
        <v>13</v>
      </c>
      <c r="O1" s="19" t="s">
        <v>21</v>
      </c>
      <c r="P1" s="19" t="s">
        <v>25</v>
      </c>
      <c r="Q1" s="19" t="s">
        <v>26</v>
      </c>
      <c r="R1" s="19" t="s">
        <v>21</v>
      </c>
    </row>
    <row r="2">
      <c r="A2" s="48">
        <v>44896.0</v>
      </c>
      <c r="B2" s="21">
        <v>0.0</v>
      </c>
      <c r="C2" s="21">
        <v>1.0</v>
      </c>
      <c r="D2" s="22">
        <f t="shared" ref="D2:D3" si="1">sum(B2:C2)</f>
        <v>1</v>
      </c>
      <c r="E2" s="30">
        <f>D2-'November 2022'!D21</f>
        <v>-76</v>
      </c>
      <c r="F2" s="21">
        <v>104.0</v>
      </c>
      <c r="G2" s="21">
        <v>0.0</v>
      </c>
      <c r="H2" s="22">
        <f t="shared" ref="H2:H18" si="2">SUM(D2,F2,G2)</f>
        <v>105</v>
      </c>
      <c r="I2" s="43">
        <f>H2-'November 2022'!H21</f>
        <v>-111</v>
      </c>
      <c r="J2" s="21">
        <v>19.0</v>
      </c>
      <c r="K2" s="43">
        <f>J2-'November 2022'!J21</f>
        <v>-68</v>
      </c>
      <c r="L2" s="49">
        <v>98.0</v>
      </c>
      <c r="M2" s="43">
        <f>L2-'November 2022'!L21</f>
        <v>-8</v>
      </c>
      <c r="N2" s="21">
        <v>790.0</v>
      </c>
      <c r="O2" s="43">
        <f>N2-'November 2022'!N21</f>
        <v>-25</v>
      </c>
      <c r="P2" s="21">
        <v>0.0</v>
      </c>
      <c r="Q2" s="22">
        <f t="shared" ref="Q2:Q18" si="3">Sum(N2,P2)</f>
        <v>790</v>
      </c>
      <c r="R2" s="43">
        <f>Q2-'November 2022'!Q21</f>
        <v>-25</v>
      </c>
    </row>
    <row r="3">
      <c r="A3" s="50">
        <f t="shared" ref="A3:A18" si="4">WORKDAY($A$2,row(A1),1)</f>
        <v>44897</v>
      </c>
      <c r="B3" s="26">
        <v>8.0</v>
      </c>
      <c r="C3" s="26">
        <f>C2+21-8</f>
        <v>14</v>
      </c>
      <c r="D3" s="27">
        <f t="shared" si="1"/>
        <v>22</v>
      </c>
      <c r="E3" s="28">
        <f t="shared" ref="E3:E18" si="5">D3-D2</f>
        <v>21</v>
      </c>
      <c r="F3" s="26">
        <f>F2-21</f>
        <v>83</v>
      </c>
      <c r="G3" s="26">
        <v>1.0</v>
      </c>
      <c r="H3" s="27">
        <f t="shared" si="2"/>
        <v>106</v>
      </c>
      <c r="I3" s="28">
        <f t="shared" ref="I3:I18" si="6">H3-H2</f>
        <v>1</v>
      </c>
      <c r="J3" s="26">
        <f t="shared" ref="J3:J4" si="7">J2</f>
        <v>19</v>
      </c>
      <c r="K3" s="28">
        <f t="shared" ref="K3:K18" si="8">J3-J2</f>
        <v>0</v>
      </c>
      <c r="L3" s="26">
        <f t="shared" ref="L3:L7" si="9">L2</f>
        <v>98</v>
      </c>
      <c r="M3" s="28">
        <f t="shared" ref="M3:M12" si="10">L3-L2</f>
        <v>0</v>
      </c>
      <c r="N3" s="26">
        <f>N2-10</f>
        <v>780</v>
      </c>
      <c r="O3" s="28">
        <f t="shared" ref="O3:O18" si="11">N3-N2</f>
        <v>-10</v>
      </c>
      <c r="P3" s="26">
        <v>0.0</v>
      </c>
      <c r="Q3" s="27">
        <f t="shared" si="3"/>
        <v>780</v>
      </c>
      <c r="R3" s="28">
        <f t="shared" ref="R3:R18" si="12">Q3-Q2</f>
        <v>-10</v>
      </c>
    </row>
    <row r="4">
      <c r="A4" s="48">
        <f t="shared" si="4"/>
        <v>44900</v>
      </c>
      <c r="B4" s="21">
        <f>B3+1</f>
        <v>9</v>
      </c>
      <c r="C4" s="21">
        <f>C3+24</f>
        <v>38</v>
      </c>
      <c r="D4" s="22">
        <f t="shared" ref="D4:D17" si="13">SUM(B4:C4)</f>
        <v>47</v>
      </c>
      <c r="E4" s="30">
        <f t="shared" si="5"/>
        <v>25</v>
      </c>
      <c r="F4" s="21">
        <f>F3-24</f>
        <v>59</v>
      </c>
      <c r="G4" s="21">
        <f>G3-1</f>
        <v>0</v>
      </c>
      <c r="H4" s="22">
        <f t="shared" si="2"/>
        <v>106</v>
      </c>
      <c r="I4" s="30">
        <f t="shared" si="6"/>
        <v>0</v>
      </c>
      <c r="J4" s="21">
        <f t="shared" si="7"/>
        <v>19</v>
      </c>
      <c r="K4" s="30">
        <f t="shared" si="8"/>
        <v>0</v>
      </c>
      <c r="L4" s="21">
        <f t="shared" si="9"/>
        <v>98</v>
      </c>
      <c r="M4" s="30">
        <f t="shared" si="10"/>
        <v>0</v>
      </c>
      <c r="N4" s="22">
        <f t="shared" ref="N4:N6" si="14">N3</f>
        <v>780</v>
      </c>
      <c r="O4" s="30">
        <f t="shared" si="11"/>
        <v>0</v>
      </c>
      <c r="P4" s="21">
        <v>0.0</v>
      </c>
      <c r="Q4" s="22">
        <f t="shared" si="3"/>
        <v>780</v>
      </c>
      <c r="R4" s="30">
        <f t="shared" si="12"/>
        <v>0</v>
      </c>
    </row>
    <row r="5">
      <c r="A5" s="50">
        <f t="shared" si="4"/>
        <v>44901</v>
      </c>
      <c r="B5" s="26">
        <f>B4-9+1</f>
        <v>1</v>
      </c>
      <c r="C5" s="26">
        <f>C4+10+9-10-1</f>
        <v>46</v>
      </c>
      <c r="D5" s="27">
        <f t="shared" si="13"/>
        <v>47</v>
      </c>
      <c r="E5" s="28">
        <f t="shared" si="5"/>
        <v>0</v>
      </c>
      <c r="F5" s="26">
        <f>F4-20</f>
        <v>39</v>
      </c>
      <c r="G5" s="26">
        <f>G4+14</f>
        <v>14</v>
      </c>
      <c r="H5" s="27">
        <f t="shared" si="2"/>
        <v>100</v>
      </c>
      <c r="I5" s="28">
        <f t="shared" si="6"/>
        <v>-6</v>
      </c>
      <c r="J5" s="26">
        <f>J4-1</f>
        <v>18</v>
      </c>
      <c r="K5" s="28">
        <f t="shared" si="8"/>
        <v>-1</v>
      </c>
      <c r="L5" s="27">
        <f t="shared" si="9"/>
        <v>98</v>
      </c>
      <c r="M5" s="28">
        <f t="shared" si="10"/>
        <v>0</v>
      </c>
      <c r="N5" s="27">
        <f t="shared" si="14"/>
        <v>780</v>
      </c>
      <c r="O5" s="28">
        <f t="shared" si="11"/>
        <v>0</v>
      </c>
      <c r="P5" s="26">
        <v>0.0</v>
      </c>
      <c r="Q5" s="27">
        <f t="shared" si="3"/>
        <v>780</v>
      </c>
      <c r="R5" s="28">
        <f t="shared" si="12"/>
        <v>0</v>
      </c>
    </row>
    <row r="6">
      <c r="A6" s="48">
        <f t="shared" si="4"/>
        <v>44902</v>
      </c>
      <c r="B6" s="21">
        <f>B5+14-10+3</f>
        <v>8</v>
      </c>
      <c r="C6" s="21">
        <f>C5+12-28-2+1</f>
        <v>29</v>
      </c>
      <c r="D6" s="22">
        <f t="shared" si="13"/>
        <v>37</v>
      </c>
      <c r="E6" s="30">
        <f t="shared" si="5"/>
        <v>-10</v>
      </c>
      <c r="F6" s="21">
        <f>F5-12</f>
        <v>27</v>
      </c>
      <c r="G6" s="21">
        <v>0.0</v>
      </c>
      <c r="H6" s="22">
        <f t="shared" si="2"/>
        <v>64</v>
      </c>
      <c r="I6" s="30">
        <f t="shared" si="6"/>
        <v>-36</v>
      </c>
      <c r="J6" s="21">
        <f>J5-6</f>
        <v>12</v>
      </c>
      <c r="K6" s="30">
        <f t="shared" si="8"/>
        <v>-6</v>
      </c>
      <c r="L6" s="21">
        <f t="shared" si="9"/>
        <v>98</v>
      </c>
      <c r="M6" s="30">
        <f t="shared" si="10"/>
        <v>0</v>
      </c>
      <c r="N6" s="21">
        <f t="shared" si="14"/>
        <v>780</v>
      </c>
      <c r="O6" s="30">
        <f t="shared" si="11"/>
        <v>0</v>
      </c>
      <c r="P6" s="21">
        <v>0.0</v>
      </c>
      <c r="Q6" s="22">
        <f t="shared" si="3"/>
        <v>780</v>
      </c>
      <c r="R6" s="30">
        <f t="shared" si="12"/>
        <v>0</v>
      </c>
    </row>
    <row r="7">
      <c r="A7" s="50">
        <f t="shared" si="4"/>
        <v>44903</v>
      </c>
      <c r="B7" s="26">
        <f>B6</f>
        <v>8</v>
      </c>
      <c r="C7" s="26">
        <f>C6+9</f>
        <v>38</v>
      </c>
      <c r="D7" s="27">
        <f t="shared" si="13"/>
        <v>46</v>
      </c>
      <c r="E7" s="28">
        <f t="shared" si="5"/>
        <v>9</v>
      </c>
      <c r="F7" s="26">
        <f>F6-9</f>
        <v>18</v>
      </c>
      <c r="G7" s="26">
        <v>7.0</v>
      </c>
      <c r="H7" s="27">
        <f t="shared" si="2"/>
        <v>71</v>
      </c>
      <c r="I7" s="28">
        <f t="shared" si="6"/>
        <v>7</v>
      </c>
      <c r="J7" s="26">
        <f t="shared" ref="J7:J9" si="15">J6</f>
        <v>12</v>
      </c>
      <c r="K7" s="28">
        <f t="shared" si="8"/>
        <v>0</v>
      </c>
      <c r="L7" s="26">
        <f t="shared" si="9"/>
        <v>98</v>
      </c>
      <c r="M7" s="28">
        <f t="shared" si="10"/>
        <v>0</v>
      </c>
      <c r="N7" s="27">
        <f>N6-6</f>
        <v>774</v>
      </c>
      <c r="O7" s="28">
        <f t="shared" si="11"/>
        <v>-6</v>
      </c>
      <c r="P7" s="26">
        <v>0.0</v>
      </c>
      <c r="Q7" s="27">
        <f t="shared" si="3"/>
        <v>774</v>
      </c>
      <c r="R7" s="28">
        <f t="shared" si="12"/>
        <v>-6</v>
      </c>
    </row>
    <row r="8">
      <c r="A8" s="48">
        <f t="shared" si="4"/>
        <v>44904</v>
      </c>
      <c r="B8" s="21">
        <f>B7+7</f>
        <v>15</v>
      </c>
      <c r="C8" s="21">
        <f t="shared" ref="C8:C11" si="16">C7</f>
        <v>38</v>
      </c>
      <c r="D8" s="22">
        <f t="shared" si="13"/>
        <v>53</v>
      </c>
      <c r="E8" s="30">
        <f t="shared" si="5"/>
        <v>7</v>
      </c>
      <c r="F8" s="21">
        <f t="shared" ref="F8:F14" si="17">F7</f>
        <v>18</v>
      </c>
      <c r="G8" s="21">
        <f>G7-7+1</f>
        <v>1</v>
      </c>
      <c r="H8" s="22">
        <f t="shared" si="2"/>
        <v>72</v>
      </c>
      <c r="I8" s="30">
        <f t="shared" si="6"/>
        <v>1</v>
      </c>
      <c r="J8" s="21">
        <f t="shared" si="15"/>
        <v>12</v>
      </c>
      <c r="K8" s="30">
        <f t="shared" si="8"/>
        <v>0</v>
      </c>
      <c r="L8" s="21">
        <f>L7+4</f>
        <v>102</v>
      </c>
      <c r="M8" s="30">
        <f t="shared" si="10"/>
        <v>4</v>
      </c>
      <c r="N8" s="21">
        <f>N7-5</f>
        <v>769</v>
      </c>
      <c r="O8" s="30">
        <f t="shared" si="11"/>
        <v>-5</v>
      </c>
      <c r="P8" s="21">
        <v>0.0</v>
      </c>
      <c r="Q8" s="22">
        <f t="shared" si="3"/>
        <v>769</v>
      </c>
      <c r="R8" s="30">
        <f t="shared" si="12"/>
        <v>-5</v>
      </c>
    </row>
    <row r="9">
      <c r="A9" s="50">
        <f t="shared" si="4"/>
        <v>44907</v>
      </c>
      <c r="B9" s="26">
        <f>B8-10-1</f>
        <v>4</v>
      </c>
      <c r="C9" s="26">
        <f t="shared" si="16"/>
        <v>38</v>
      </c>
      <c r="D9" s="27">
        <f t="shared" si="13"/>
        <v>42</v>
      </c>
      <c r="E9" s="28">
        <f t="shared" si="5"/>
        <v>-11</v>
      </c>
      <c r="F9" s="26">
        <f t="shared" si="17"/>
        <v>18</v>
      </c>
      <c r="G9" s="26">
        <f>G8+8</f>
        <v>9</v>
      </c>
      <c r="H9" s="27">
        <f t="shared" si="2"/>
        <v>69</v>
      </c>
      <c r="I9" s="28">
        <f t="shared" si="6"/>
        <v>-3</v>
      </c>
      <c r="J9" s="26">
        <f t="shared" si="15"/>
        <v>12</v>
      </c>
      <c r="K9" s="28">
        <f t="shared" si="8"/>
        <v>0</v>
      </c>
      <c r="L9" s="26">
        <f>L8-1</f>
        <v>101</v>
      </c>
      <c r="M9" s="28">
        <f t="shared" si="10"/>
        <v>-1</v>
      </c>
      <c r="N9" s="27">
        <f>N8</f>
        <v>769</v>
      </c>
      <c r="O9" s="28">
        <f t="shared" si="11"/>
        <v>0</v>
      </c>
      <c r="P9" s="26">
        <v>0.0</v>
      </c>
      <c r="Q9" s="27">
        <f t="shared" si="3"/>
        <v>769</v>
      </c>
      <c r="R9" s="28">
        <f t="shared" si="12"/>
        <v>0</v>
      </c>
    </row>
    <row r="10">
      <c r="A10" s="48">
        <f t="shared" si="4"/>
        <v>44908</v>
      </c>
      <c r="B10" s="21">
        <f>B9+9-5+1</f>
        <v>9</v>
      </c>
      <c r="C10" s="21">
        <f t="shared" si="16"/>
        <v>38</v>
      </c>
      <c r="D10" s="22">
        <f t="shared" si="13"/>
        <v>47</v>
      </c>
      <c r="E10" s="30">
        <f t="shared" si="5"/>
        <v>5</v>
      </c>
      <c r="F10" s="21">
        <f t="shared" si="17"/>
        <v>18</v>
      </c>
      <c r="G10" s="21">
        <f>G9-9</f>
        <v>0</v>
      </c>
      <c r="H10" s="22">
        <f t="shared" si="2"/>
        <v>65</v>
      </c>
      <c r="I10" s="30">
        <f t="shared" si="6"/>
        <v>-4</v>
      </c>
      <c r="J10" s="21">
        <f>J9-4</f>
        <v>8</v>
      </c>
      <c r="K10" s="30">
        <f t="shared" si="8"/>
        <v>-4</v>
      </c>
      <c r="L10" s="21">
        <f>L9-10</f>
        <v>91</v>
      </c>
      <c r="M10" s="30">
        <f t="shared" si="10"/>
        <v>-10</v>
      </c>
      <c r="N10" s="22">
        <f>N9-10</f>
        <v>759</v>
      </c>
      <c r="O10" s="30">
        <f t="shared" si="11"/>
        <v>-10</v>
      </c>
      <c r="P10" s="21">
        <v>0.0</v>
      </c>
      <c r="Q10" s="22">
        <f t="shared" si="3"/>
        <v>759</v>
      </c>
      <c r="R10" s="30">
        <f t="shared" si="12"/>
        <v>-10</v>
      </c>
    </row>
    <row r="11">
      <c r="A11" s="50">
        <f t="shared" si="4"/>
        <v>44909</v>
      </c>
      <c r="B11" s="26">
        <f>B10-3</f>
        <v>6</v>
      </c>
      <c r="C11" s="26">
        <f t="shared" si="16"/>
        <v>38</v>
      </c>
      <c r="D11" s="27">
        <f t="shared" si="13"/>
        <v>44</v>
      </c>
      <c r="E11" s="28">
        <f t="shared" si="5"/>
        <v>-3</v>
      </c>
      <c r="F11" s="26">
        <f t="shared" si="17"/>
        <v>18</v>
      </c>
      <c r="G11" s="26">
        <f>G10</f>
        <v>0</v>
      </c>
      <c r="H11" s="27">
        <f t="shared" si="2"/>
        <v>62</v>
      </c>
      <c r="I11" s="28">
        <f t="shared" si="6"/>
        <v>-3</v>
      </c>
      <c r="J11" s="26">
        <v>7.0</v>
      </c>
      <c r="K11" s="28">
        <f t="shared" si="8"/>
        <v>-1</v>
      </c>
      <c r="L11" s="26">
        <f t="shared" ref="L11:L15" si="18">L10</f>
        <v>91</v>
      </c>
      <c r="M11" s="28">
        <f t="shared" si="10"/>
        <v>0</v>
      </c>
      <c r="N11" s="27">
        <f>N10-28</f>
        <v>731</v>
      </c>
      <c r="O11" s="28">
        <f t="shared" si="11"/>
        <v>-28</v>
      </c>
      <c r="P11" s="26">
        <v>0.0</v>
      </c>
      <c r="Q11" s="27">
        <f t="shared" si="3"/>
        <v>731</v>
      </c>
      <c r="R11" s="28">
        <f t="shared" si="12"/>
        <v>-28</v>
      </c>
    </row>
    <row r="12">
      <c r="A12" s="48">
        <f t="shared" si="4"/>
        <v>44910</v>
      </c>
      <c r="B12" s="21">
        <f>B11-6</f>
        <v>0</v>
      </c>
      <c r="C12" s="21">
        <f>C11-2</f>
        <v>36</v>
      </c>
      <c r="D12" s="22">
        <f t="shared" si="13"/>
        <v>36</v>
      </c>
      <c r="E12" s="43">
        <f t="shared" si="5"/>
        <v>-8</v>
      </c>
      <c r="F12" s="21">
        <f t="shared" si="17"/>
        <v>18</v>
      </c>
      <c r="G12" s="21">
        <v>0.0</v>
      </c>
      <c r="H12" s="22">
        <f t="shared" si="2"/>
        <v>54</v>
      </c>
      <c r="I12" s="30">
        <f t="shared" si="6"/>
        <v>-8</v>
      </c>
      <c r="J12" s="21">
        <f>J11-2</f>
        <v>5</v>
      </c>
      <c r="K12" s="30">
        <f t="shared" si="8"/>
        <v>-2</v>
      </c>
      <c r="L12" s="21">
        <f t="shared" si="18"/>
        <v>91</v>
      </c>
      <c r="M12" s="30">
        <f t="shared" si="10"/>
        <v>0</v>
      </c>
      <c r="N12" s="21">
        <f>N11-5</f>
        <v>726</v>
      </c>
      <c r="O12" s="30">
        <f t="shared" si="11"/>
        <v>-5</v>
      </c>
      <c r="P12" s="21">
        <v>0.0</v>
      </c>
      <c r="Q12" s="22">
        <f t="shared" si="3"/>
        <v>726</v>
      </c>
      <c r="R12" s="30">
        <f t="shared" si="12"/>
        <v>-5</v>
      </c>
    </row>
    <row r="13">
      <c r="A13" s="50">
        <f t="shared" si="4"/>
        <v>44911</v>
      </c>
      <c r="B13" s="26">
        <f t="shared" ref="B13:C13" si="19">B12</f>
        <v>0</v>
      </c>
      <c r="C13" s="26">
        <f t="shared" si="19"/>
        <v>36</v>
      </c>
      <c r="D13" s="27">
        <f t="shared" si="13"/>
        <v>36</v>
      </c>
      <c r="E13" s="52">
        <f t="shared" si="5"/>
        <v>0</v>
      </c>
      <c r="F13" s="26">
        <f t="shared" si="17"/>
        <v>18</v>
      </c>
      <c r="G13" s="26">
        <v>1.0</v>
      </c>
      <c r="H13" s="27">
        <f t="shared" si="2"/>
        <v>55</v>
      </c>
      <c r="I13" s="28">
        <f t="shared" si="6"/>
        <v>1</v>
      </c>
      <c r="J13" s="26">
        <f t="shared" ref="J13:J18" si="21">J12</f>
        <v>5</v>
      </c>
      <c r="K13" s="28">
        <f t="shared" si="8"/>
        <v>0</v>
      </c>
      <c r="L13" s="26">
        <f t="shared" si="18"/>
        <v>91</v>
      </c>
      <c r="M13" s="28">
        <f t="shared" ref="M13:N13" si="20">M12</f>
        <v>0</v>
      </c>
      <c r="N13" s="27">
        <f t="shared" si="20"/>
        <v>726</v>
      </c>
      <c r="O13" s="28">
        <f t="shared" si="11"/>
        <v>0</v>
      </c>
      <c r="P13" s="26">
        <v>0.0</v>
      </c>
      <c r="Q13" s="27">
        <f t="shared" si="3"/>
        <v>726</v>
      </c>
      <c r="R13" s="28">
        <f t="shared" si="12"/>
        <v>0</v>
      </c>
    </row>
    <row r="14">
      <c r="A14" s="48">
        <f t="shared" si="4"/>
        <v>44914</v>
      </c>
      <c r="B14" s="21">
        <v>0.0</v>
      </c>
      <c r="C14" s="21">
        <f>C13-5</f>
        <v>31</v>
      </c>
      <c r="D14" s="22">
        <f t="shared" si="13"/>
        <v>31</v>
      </c>
      <c r="E14" s="30">
        <f t="shared" si="5"/>
        <v>-5</v>
      </c>
      <c r="F14" s="21">
        <f t="shared" si="17"/>
        <v>18</v>
      </c>
      <c r="G14" s="21">
        <f>G13+11+2-2</f>
        <v>12</v>
      </c>
      <c r="H14" s="22">
        <f t="shared" si="2"/>
        <v>61</v>
      </c>
      <c r="I14" s="30">
        <f t="shared" si="6"/>
        <v>6</v>
      </c>
      <c r="J14" s="21">
        <f t="shared" si="21"/>
        <v>5</v>
      </c>
      <c r="K14" s="30">
        <f t="shared" si="8"/>
        <v>0</v>
      </c>
      <c r="L14" s="21">
        <f t="shared" si="18"/>
        <v>91</v>
      </c>
      <c r="M14" s="30">
        <f t="shared" ref="M14:M18" si="22">L14-L13</f>
        <v>0</v>
      </c>
      <c r="N14" s="22">
        <f>N13-5</f>
        <v>721</v>
      </c>
      <c r="O14" s="30">
        <f t="shared" si="11"/>
        <v>-5</v>
      </c>
      <c r="P14" s="21">
        <v>0.0</v>
      </c>
      <c r="Q14" s="22">
        <f t="shared" si="3"/>
        <v>721</v>
      </c>
      <c r="R14" s="30">
        <f t="shared" si="12"/>
        <v>-5</v>
      </c>
    </row>
    <row r="15">
      <c r="A15" s="50">
        <f t="shared" si="4"/>
        <v>44915</v>
      </c>
      <c r="B15" s="26">
        <v>0.0</v>
      </c>
      <c r="C15" s="26">
        <f>C14</f>
        <v>31</v>
      </c>
      <c r="D15" s="27">
        <f t="shared" si="13"/>
        <v>31</v>
      </c>
      <c r="E15" s="28">
        <f t="shared" si="5"/>
        <v>0</v>
      </c>
      <c r="F15" s="26">
        <f>F14+120</f>
        <v>138</v>
      </c>
      <c r="G15" s="26">
        <f>G14+4</f>
        <v>16</v>
      </c>
      <c r="H15" s="27">
        <f t="shared" si="2"/>
        <v>185</v>
      </c>
      <c r="I15" s="28">
        <f t="shared" si="6"/>
        <v>124</v>
      </c>
      <c r="J15" s="26">
        <f t="shared" si="21"/>
        <v>5</v>
      </c>
      <c r="K15" s="28">
        <f t="shared" si="8"/>
        <v>0</v>
      </c>
      <c r="L15" s="26">
        <f t="shared" si="18"/>
        <v>91</v>
      </c>
      <c r="M15" s="28">
        <f t="shared" si="22"/>
        <v>0</v>
      </c>
      <c r="N15" s="27">
        <f>N14-10</f>
        <v>711</v>
      </c>
      <c r="O15" s="28">
        <f t="shared" si="11"/>
        <v>-10</v>
      </c>
      <c r="P15" s="26">
        <v>0.0</v>
      </c>
      <c r="Q15" s="27">
        <f t="shared" si="3"/>
        <v>711</v>
      </c>
      <c r="R15" s="28">
        <f t="shared" si="12"/>
        <v>-10</v>
      </c>
    </row>
    <row r="16">
      <c r="A16" s="48">
        <f t="shared" si="4"/>
        <v>44916</v>
      </c>
      <c r="B16" s="21">
        <v>0.0</v>
      </c>
      <c r="C16" s="21">
        <f>C15-6</f>
        <v>25</v>
      </c>
      <c r="D16" s="22">
        <f t="shared" si="13"/>
        <v>25</v>
      </c>
      <c r="E16" s="30">
        <f t="shared" si="5"/>
        <v>-6</v>
      </c>
      <c r="F16" s="21">
        <f>F15</f>
        <v>138</v>
      </c>
      <c r="G16" s="21">
        <f>G15-4</f>
        <v>12</v>
      </c>
      <c r="H16" s="22">
        <f t="shared" si="2"/>
        <v>175</v>
      </c>
      <c r="I16" s="30">
        <f t="shared" si="6"/>
        <v>-10</v>
      </c>
      <c r="J16" s="21">
        <f t="shared" si="21"/>
        <v>5</v>
      </c>
      <c r="K16" s="30">
        <f t="shared" si="8"/>
        <v>0</v>
      </c>
      <c r="L16" s="21">
        <f>L15-6</f>
        <v>85</v>
      </c>
      <c r="M16" s="30">
        <f t="shared" si="22"/>
        <v>-6</v>
      </c>
      <c r="N16" s="22">
        <f>N15</f>
        <v>711</v>
      </c>
      <c r="O16" s="30">
        <f t="shared" si="11"/>
        <v>0</v>
      </c>
      <c r="P16" s="21">
        <v>0.0</v>
      </c>
      <c r="Q16" s="22">
        <f t="shared" si="3"/>
        <v>711</v>
      </c>
      <c r="R16" s="30">
        <f t="shared" si="12"/>
        <v>0</v>
      </c>
    </row>
    <row r="17">
      <c r="A17" s="50">
        <f t="shared" si="4"/>
        <v>44917</v>
      </c>
      <c r="B17" s="26">
        <f>B16+12-6-2</f>
        <v>4</v>
      </c>
      <c r="C17" s="27">
        <f>C16-3+14</f>
        <v>36</v>
      </c>
      <c r="D17" s="27">
        <f t="shared" si="13"/>
        <v>40</v>
      </c>
      <c r="E17" s="28">
        <f t="shared" si="5"/>
        <v>15</v>
      </c>
      <c r="F17" s="26">
        <f>F16-14</f>
        <v>124</v>
      </c>
      <c r="G17" s="26">
        <f>G16-12</f>
        <v>0</v>
      </c>
      <c r="H17" s="27">
        <f t="shared" si="2"/>
        <v>164</v>
      </c>
      <c r="I17" s="28">
        <f t="shared" si="6"/>
        <v>-11</v>
      </c>
      <c r="J17" s="26">
        <f t="shared" si="21"/>
        <v>5</v>
      </c>
      <c r="K17" s="28">
        <f t="shared" si="8"/>
        <v>0</v>
      </c>
      <c r="L17" s="26">
        <f t="shared" ref="L17:L18" si="23">L16</f>
        <v>85</v>
      </c>
      <c r="M17" s="28">
        <f t="shared" si="22"/>
        <v>0</v>
      </c>
      <c r="N17" s="27">
        <f>N16-22</f>
        <v>689</v>
      </c>
      <c r="O17" s="28">
        <f t="shared" si="11"/>
        <v>-22</v>
      </c>
      <c r="P17" s="26">
        <v>0.0</v>
      </c>
      <c r="Q17" s="27">
        <f t="shared" si="3"/>
        <v>689</v>
      </c>
      <c r="R17" s="28">
        <f t="shared" si="12"/>
        <v>-22</v>
      </c>
    </row>
    <row r="18">
      <c r="A18" s="48">
        <f t="shared" si="4"/>
        <v>44918</v>
      </c>
      <c r="B18" s="21">
        <f>B17</f>
        <v>4</v>
      </c>
      <c r="C18" s="21">
        <f>C17+12</f>
        <v>48</v>
      </c>
      <c r="D18" s="22">
        <f>D17</f>
        <v>40</v>
      </c>
      <c r="E18" s="30">
        <f t="shared" si="5"/>
        <v>0</v>
      </c>
      <c r="F18" s="21">
        <f>F17-12</f>
        <v>112</v>
      </c>
      <c r="G18" s="21">
        <f>G17+4</f>
        <v>4</v>
      </c>
      <c r="H18" s="22">
        <f t="shared" si="2"/>
        <v>156</v>
      </c>
      <c r="I18" s="30">
        <f t="shared" si="6"/>
        <v>-8</v>
      </c>
      <c r="J18" s="21">
        <f t="shared" si="21"/>
        <v>5</v>
      </c>
      <c r="K18" s="30">
        <f t="shared" si="8"/>
        <v>0</v>
      </c>
      <c r="L18" s="21">
        <f t="shared" si="23"/>
        <v>85</v>
      </c>
      <c r="M18" s="30">
        <f t="shared" si="22"/>
        <v>0</v>
      </c>
      <c r="N18" s="22">
        <f>N17</f>
        <v>689</v>
      </c>
      <c r="O18" s="30">
        <f t="shared" si="11"/>
        <v>0</v>
      </c>
      <c r="P18" s="21">
        <f>P17</f>
        <v>0</v>
      </c>
      <c r="Q18" s="22">
        <f t="shared" si="3"/>
        <v>689</v>
      </c>
      <c r="R18" s="30">
        <f t="shared" si="12"/>
        <v>0</v>
      </c>
    </row>
    <row r="19">
      <c r="A19" s="53"/>
    </row>
    <row r="20" ht="37.5" customHeight="1"/>
    <row r="21" ht="37.5" customHeight="1"/>
    <row r="22" ht="37.5" customHeight="1"/>
    <row r="23" ht="37.5" customHeight="1"/>
    <row r="24" ht="37.5" customHeight="1"/>
    <row r="25" ht="37.5" customHeight="1"/>
    <row r="26" ht="37.5" customHeight="1"/>
    <row r="27" ht="37.5" customHeight="1"/>
  </sheetData>
  <autoFilter ref="$A$1:$R$18"/>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t="s">
        <v>48</v>
      </c>
      <c r="B1" s="2"/>
      <c r="C1" s="2"/>
      <c r="D1" s="2"/>
      <c r="E1" s="2"/>
      <c r="F1" s="2"/>
      <c r="G1" s="2"/>
      <c r="H1" s="2"/>
      <c r="I1" s="2"/>
      <c r="J1" s="2"/>
      <c r="K1" s="2"/>
      <c r="L1" s="3"/>
    </row>
    <row r="2">
      <c r="A2" s="45" t="s">
        <v>28</v>
      </c>
      <c r="B2" s="17" t="s">
        <v>42</v>
      </c>
      <c r="C2" s="17" t="s">
        <v>43</v>
      </c>
      <c r="D2" s="17" t="s">
        <v>20</v>
      </c>
      <c r="E2" s="17" t="s">
        <v>5</v>
      </c>
      <c r="F2" s="17" t="s">
        <v>38</v>
      </c>
      <c r="G2" s="17" t="s">
        <v>23</v>
      </c>
      <c r="H2" s="18" t="s">
        <v>24</v>
      </c>
      <c r="I2" s="18" t="s">
        <v>40</v>
      </c>
      <c r="J2" s="19" t="s">
        <v>13</v>
      </c>
      <c r="K2" s="19" t="s">
        <v>25</v>
      </c>
      <c r="L2" s="19" t="s">
        <v>26</v>
      </c>
    </row>
    <row r="3">
      <c r="A3" s="36" t="s">
        <v>29</v>
      </c>
      <c r="B3" s="46">
        <f t="array" ref="B3">INDEX('December 2022'!B2:B18,1,1)</f>
        <v>0</v>
      </c>
      <c r="C3" s="46">
        <f t="array" ref="C3">INDEX('December 2022'!C2:C18,1,1)</f>
        <v>1</v>
      </c>
      <c r="D3" s="46">
        <f t="array" ref="D3">INDEX('December 2022'!D2:D18,1,1)</f>
        <v>1</v>
      </c>
      <c r="E3" s="37">
        <f t="array" ref="E3">INDEX('December 2022'!F2:F18,1,1)</f>
        <v>104</v>
      </c>
      <c r="F3" s="37">
        <f t="array" ref="F3">INDEX('December 2022'!G2:G18,1,1)</f>
        <v>0</v>
      </c>
      <c r="G3" s="37">
        <f t="array" ref="G3">INDEX('December 2022'!H2:H18,1,1)</f>
        <v>105</v>
      </c>
      <c r="H3" s="46">
        <f t="array" ref="H3">INDEX('December 2022'!J2:J18,1,1)</f>
        <v>19</v>
      </c>
      <c r="I3" s="37">
        <f t="array" ref="I3">INDEX('December 2022'!L2:L18,1,1)</f>
        <v>98</v>
      </c>
      <c r="J3" s="46">
        <f t="array" ref="J3">INDEX('December 2022'!N2:N18,1,1)</f>
        <v>790</v>
      </c>
      <c r="K3" s="46">
        <f t="array" ref="K3">INDEX('December 2022'!P2:P18,1,1)</f>
        <v>0</v>
      </c>
      <c r="L3" s="46">
        <f t="array" ref="L3">INDEX('December 2022'!Q2:Q18,1,1)</f>
        <v>790</v>
      </c>
    </row>
    <row r="4">
      <c r="A4" s="36" t="s">
        <v>30</v>
      </c>
      <c r="B4" s="46">
        <f t="array" ref="B4">INDEX('December 2022'!B2:B18,MATCH(143^143,'December 2022'!B2:B18))</f>
        <v>4</v>
      </c>
      <c r="C4" s="46">
        <f t="array" ref="C4">INDEX('December 2022'!C2:C18,MATCH(143^143,'December 2022'!C2:C18))</f>
        <v>48</v>
      </c>
      <c r="D4" s="46">
        <f t="array" ref="D4">INDEX('December 2022'!D2:D18,MATCH(143^143,'December 2022'!D2:D18))</f>
        <v>40</v>
      </c>
      <c r="E4" s="46">
        <f t="array" ref="E4">INDEX('December 2022'!F2:F18,MATCH(143^143,'December 2022'!F2:F18))</f>
        <v>112</v>
      </c>
      <c r="F4" s="46">
        <f t="array" ref="F4">INDEX('December 2022'!G2:G18,MATCH(143^143,'December 2022'!G2:G18))</f>
        <v>4</v>
      </c>
      <c r="G4" s="46">
        <f t="array" ref="G4">INDEX('December 2022'!H2:H18,MATCH(143^143,'December 2022'!H2:H18))</f>
        <v>156</v>
      </c>
      <c r="H4" s="46">
        <f t="array" ref="H4">INDEX('December 2022'!J2:J18,MATCH(143^143,'December 2022'!J2:J18))</f>
        <v>5</v>
      </c>
      <c r="I4" s="46">
        <f t="array" ref="I4">INDEX('December 2022'!L2:L18,MATCH(143^143,'December 2022'!L2:L18))</f>
        <v>85</v>
      </c>
      <c r="J4" s="46">
        <f t="array" ref="J4">INDEX('December 2022'!N2:N18,MATCH(143^143,'December 2022'!N2:N18))</f>
        <v>689</v>
      </c>
      <c r="K4" s="46">
        <f t="array" ref="K4">INDEX('December 2022'!P2:P18,MATCH(143^143,'December 2022'!P2:P18))</f>
        <v>0</v>
      </c>
      <c r="L4" s="46">
        <f t="array" ref="L4">INDEX('December 2022'!Q2:Q18,MATCH(143^143,'December 2022'!Q2:Q18))</f>
        <v>689</v>
      </c>
    </row>
    <row r="5">
      <c r="A5" s="36" t="s">
        <v>21</v>
      </c>
      <c r="B5" s="38">
        <f t="shared" ref="B5:L5" si="1">B4-B3</f>
        <v>4</v>
      </c>
      <c r="C5" s="38">
        <f t="shared" si="1"/>
        <v>47</v>
      </c>
      <c r="D5" s="38">
        <f t="shared" si="1"/>
        <v>39</v>
      </c>
      <c r="E5" s="38">
        <f t="shared" si="1"/>
        <v>8</v>
      </c>
      <c r="F5" s="38">
        <f t="shared" si="1"/>
        <v>4</v>
      </c>
      <c r="G5" s="38">
        <f t="shared" si="1"/>
        <v>51</v>
      </c>
      <c r="H5" s="38">
        <f t="shared" si="1"/>
        <v>-14</v>
      </c>
      <c r="I5" s="38">
        <f t="shared" si="1"/>
        <v>-13</v>
      </c>
      <c r="J5" s="38">
        <f t="shared" si="1"/>
        <v>-101</v>
      </c>
      <c r="K5" s="38">
        <f t="shared" si="1"/>
        <v>0</v>
      </c>
      <c r="L5" s="38">
        <f t="shared" si="1"/>
        <v>-101</v>
      </c>
    </row>
    <row r="6">
      <c r="A6" s="39" t="s">
        <v>31</v>
      </c>
      <c r="B6" s="47">
        <f>AVERAGE('December 2022'!B2:B18)</f>
        <v>4.470588235</v>
      </c>
      <c r="C6" s="47">
        <f>AVERAGE('December 2022'!C2:C18)</f>
        <v>33</v>
      </c>
      <c r="D6" s="47">
        <f>AVERAGE('December 2022'!D2:D18)</f>
        <v>36.76470588</v>
      </c>
      <c r="E6" s="47">
        <f>AVERAGE('December 2022'!F2:F18)</f>
        <v>56.94117647</v>
      </c>
      <c r="F6" s="47">
        <f>AVERAGE('December 2022'!G2:G18)</f>
        <v>4.529411765</v>
      </c>
      <c r="G6" s="47">
        <f>AVERAGE('December 2022'!H2:H18)</f>
        <v>98.23529412</v>
      </c>
      <c r="H6" s="47">
        <f>AVERAGE('December 2022'!J2:J18)</f>
        <v>10.17647059</v>
      </c>
      <c r="I6" s="47">
        <f>AVERAGE('December 2022'!L2:L18)</f>
        <v>93.64705882</v>
      </c>
      <c r="J6" s="47">
        <f>AVERAGE('December 2022'!N2:N18)</f>
        <v>746.1764706</v>
      </c>
      <c r="K6" s="47">
        <f>AVERAGE('December 2022'!P2:P18)</f>
        <v>0</v>
      </c>
      <c r="L6" s="47">
        <f>AVERAGE('December 2022'!Q2:Q18)</f>
        <v>746.1764706</v>
      </c>
    </row>
    <row r="7">
      <c r="A7" s="39" t="s">
        <v>32</v>
      </c>
      <c r="B7" s="47">
        <f>stdev('December 2022'!B2:B18)</f>
        <v>4.50163369</v>
      </c>
      <c r="C7" s="47">
        <f>stdev('December 2022'!C2:C18)</f>
        <v>11.30265456</v>
      </c>
      <c r="D7" s="47">
        <f>stdev('December 2022'!D2:D18)</f>
        <v>12.41737398</v>
      </c>
      <c r="E7" s="47">
        <f>stdev('December 2022'!F2:F18)</f>
        <v>48.03445455</v>
      </c>
      <c r="F7" s="47">
        <f>stdev('December 2022'!G2:G18)</f>
        <v>5.810740562</v>
      </c>
      <c r="G7" s="47">
        <f>stdev('December 2022'!H2:H18)</f>
        <v>44.95765982</v>
      </c>
      <c r="H7" s="47">
        <f>stdev('December 2022'!J2:J18)</f>
        <v>5.648399044</v>
      </c>
      <c r="I7" s="47">
        <f>stdev('December 2022'!L2:L18)</f>
        <v>5.61183099</v>
      </c>
      <c r="J7" s="47">
        <f>stdev('December 2022'!N2:N18)</f>
        <v>34.61256147</v>
      </c>
      <c r="K7" s="47">
        <f>stdev('December 2022'!P2:P18)</f>
        <v>0</v>
      </c>
      <c r="L7" s="47">
        <f>stdev('December 2022'!Q2:Q18)</f>
        <v>34.61256147</v>
      </c>
    </row>
    <row r="8">
      <c r="A8" s="39" t="s">
        <v>33</v>
      </c>
      <c r="B8" s="47">
        <f>slope('December 2022'!B2:B18,'December 2022'!$A$2:$A$18)</f>
        <v>-0.2527334515</v>
      </c>
      <c r="C8" s="47">
        <f>slope('December 2022'!C2:C18,'December 2022'!$A$2:$A$18)</f>
        <v>0.6819592199</v>
      </c>
      <c r="D8" s="47">
        <f>slope('December 2022'!D2:D18,'December 2022'!$A$2:$A$18)</f>
        <v>0.2714243499</v>
      </c>
      <c r="E8" s="47">
        <f>slope('December 2022'!F2:F18,'December 2022'!$A$2:$A$18)</f>
        <v>2.17213357</v>
      </c>
      <c r="F8" s="47">
        <f>slope('December 2022'!G2:G18,'December 2022'!$A$2:$A$18)</f>
        <v>0.2539893617</v>
      </c>
      <c r="G8" s="47">
        <f>slope('December 2022'!H2:H18,'December 2022'!$A$2:$A$18)</f>
        <v>2.697547281</v>
      </c>
      <c r="H8" s="47">
        <f>slope('December 2022'!J2:J18,'December 2022'!$A$2:$A$18)</f>
        <v>-0.7454934988</v>
      </c>
      <c r="I8" s="47">
        <f>slope('December 2022'!L2:L18,'December 2022'!$A$2:$A$18)</f>
        <v>-0.6754580378</v>
      </c>
      <c r="J8" s="47">
        <f>slope('December 2022'!N2:N18,'December 2022'!$A$2:$A$18)</f>
        <v>-4.70035461</v>
      </c>
      <c r="K8" s="47">
        <f>slope('December 2022'!P2:P18,'December 2022'!$A$2:$A$18)</f>
        <v>0</v>
      </c>
      <c r="L8" s="47">
        <f>slope('December 2022'!Q2:Q18,'December 2022'!$A$2:$A$18)</f>
        <v>-4.70035461</v>
      </c>
    </row>
  </sheetData>
  <mergeCells count="1">
    <mergeCell ref="A1:L1"/>
  </mergeCells>
  <drawing r:id="rId1"/>
</worksheet>
</file>