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4.xml" ContentType="application/vnd.openxmlformats-officedocument.drawing+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harts/chart62.xml" ContentType="application/vnd.openxmlformats-officedocument.drawingml.chart+xml"/>
  <Override PartName="/xl/charts/style62.xml" ContentType="application/vnd.ms-office.chartstyle+xml"/>
  <Override PartName="/xl/charts/colors62.xml" ContentType="application/vnd.ms-office.chartcolorstyle+xml"/>
  <Override PartName="/xl/charts/chart63.xml" ContentType="application/vnd.openxmlformats-officedocument.drawingml.chart+xml"/>
  <Override PartName="/xl/charts/style63.xml" ContentType="application/vnd.ms-office.chartstyle+xml"/>
  <Override PartName="/xl/charts/colors63.xml" ContentType="application/vnd.ms-office.chartcolorstyle+xml"/>
  <Override PartName="/xl/charts/chart64.xml" ContentType="application/vnd.openxmlformats-officedocument.drawingml.chart+xml"/>
  <Override PartName="/xl/charts/style64.xml" ContentType="application/vnd.ms-office.chartstyle+xml"/>
  <Override PartName="/xl/charts/colors64.xml" ContentType="application/vnd.ms-office.chartcolorstyle+xml"/>
  <Override PartName="/xl/charts/chart65.xml" ContentType="application/vnd.openxmlformats-officedocument.drawingml.chart+xml"/>
  <Override PartName="/xl/charts/style65.xml" ContentType="application/vnd.ms-office.chartstyle+xml"/>
  <Override PartName="/xl/charts/colors65.xml" ContentType="application/vnd.ms-office.chartcolorstyle+xml"/>
  <Override PartName="/xl/charts/chart66.xml" ContentType="application/vnd.openxmlformats-officedocument.drawingml.chart+xml"/>
  <Override PartName="/xl/charts/style66.xml" ContentType="application/vnd.ms-office.chartstyle+xml"/>
  <Override PartName="/xl/charts/colors66.xml" ContentType="application/vnd.ms-office.chartcolorstyle+xml"/>
  <Override PartName="/xl/charts/chart67.xml" ContentType="application/vnd.openxmlformats-officedocument.drawingml.chart+xml"/>
  <Override PartName="/xl/charts/style67.xml" ContentType="application/vnd.ms-office.chartstyle+xml"/>
  <Override PartName="/xl/charts/colors67.xml" ContentType="application/vnd.ms-office.chartcolorstyle+xml"/>
  <Override PartName="/xl/charts/chart68.xml" ContentType="application/vnd.openxmlformats-officedocument.drawingml.chart+xml"/>
  <Override PartName="/xl/charts/style68.xml" ContentType="application/vnd.ms-office.chartstyle+xml"/>
  <Override PartName="/xl/charts/colors68.xml" ContentType="application/vnd.ms-office.chartcolorstyle+xml"/>
  <Override PartName="/xl/charts/chart69.xml" ContentType="application/vnd.openxmlformats-officedocument.drawingml.chart+xml"/>
  <Override PartName="/xl/charts/style69.xml" ContentType="application/vnd.ms-office.chartstyle+xml"/>
  <Override PartName="/xl/charts/colors69.xml" ContentType="application/vnd.ms-office.chartcolorstyle+xml"/>
  <Override PartName="/xl/charts/chart70.xml" ContentType="application/vnd.openxmlformats-officedocument.drawingml.chart+xml"/>
  <Override PartName="/xl/charts/style70.xml" ContentType="application/vnd.ms-office.chartstyle+xml"/>
  <Override PartName="/xl/charts/colors70.xml" ContentType="application/vnd.ms-office.chartcolorstyle+xml"/>
  <Override PartName="/xl/charts/chart71.xml" ContentType="application/vnd.openxmlformats-officedocument.drawingml.chart+xml"/>
  <Override PartName="/xl/charts/style71.xml" ContentType="application/vnd.ms-office.chartstyle+xml"/>
  <Override PartName="/xl/charts/colors71.xml" ContentType="application/vnd.ms-office.chartcolorstyle+xml"/>
  <Override PartName="/xl/drawings/drawing5.xml" ContentType="application/vnd.openxmlformats-officedocument.drawing+xml"/>
  <Override PartName="/xl/charts/chart72.xml" ContentType="application/vnd.openxmlformats-officedocument.drawingml.chart+xml"/>
  <Override PartName="/xl/charts/style72.xml" ContentType="application/vnd.ms-office.chartstyle+xml"/>
  <Override PartName="/xl/charts/colors72.xml" ContentType="application/vnd.ms-office.chartcolorstyle+xml"/>
  <Override PartName="/xl/charts/chart73.xml" ContentType="application/vnd.openxmlformats-officedocument.drawingml.chart+xml"/>
  <Override PartName="/xl/charts/style73.xml" ContentType="application/vnd.ms-office.chartstyle+xml"/>
  <Override PartName="/xl/charts/colors73.xml" ContentType="application/vnd.ms-office.chartcolorstyle+xml"/>
  <Override PartName="/xl/charts/chart74.xml" ContentType="application/vnd.openxmlformats-officedocument.drawingml.chart+xml"/>
  <Override PartName="/xl/charts/style74.xml" ContentType="application/vnd.ms-office.chartstyle+xml"/>
  <Override PartName="/xl/charts/colors74.xml" ContentType="application/vnd.ms-office.chartcolorstyle+xml"/>
  <Override PartName="/xl/charts/chart75.xml" ContentType="application/vnd.openxmlformats-officedocument.drawingml.chart+xml"/>
  <Override PartName="/xl/charts/style75.xml" ContentType="application/vnd.ms-office.chartstyle+xml"/>
  <Override PartName="/xl/charts/colors75.xml" ContentType="application/vnd.ms-office.chartcolorstyle+xml"/>
  <Override PartName="/xl/charts/chart76.xml" ContentType="application/vnd.openxmlformats-officedocument.drawingml.chart+xml"/>
  <Override PartName="/xl/charts/style76.xml" ContentType="application/vnd.ms-office.chartstyle+xml"/>
  <Override PartName="/xl/charts/colors76.xml" ContentType="application/vnd.ms-office.chartcolorstyle+xml"/>
  <Override PartName="/xl/charts/chart77.xml" ContentType="application/vnd.openxmlformats-officedocument.drawingml.chart+xml"/>
  <Override PartName="/xl/charts/style77.xml" ContentType="application/vnd.ms-office.chartstyle+xml"/>
  <Override PartName="/xl/charts/colors77.xml" ContentType="application/vnd.ms-office.chartcolorstyle+xml"/>
  <Override PartName="/xl/charts/chart78.xml" ContentType="application/vnd.openxmlformats-officedocument.drawingml.chart+xml"/>
  <Override PartName="/xl/charts/style78.xml" ContentType="application/vnd.ms-office.chartstyle+xml"/>
  <Override PartName="/xl/charts/colors78.xml" ContentType="application/vnd.ms-office.chartcolorstyle+xml"/>
  <Override PartName="/xl/charts/chart79.xml" ContentType="application/vnd.openxmlformats-officedocument.drawingml.chart+xml"/>
  <Override PartName="/xl/charts/style79.xml" ContentType="application/vnd.ms-office.chartstyle+xml"/>
  <Override PartName="/xl/charts/colors79.xml" ContentType="application/vnd.ms-office.chartcolorstyle+xml"/>
  <Override PartName="/xl/charts/chart80.xml" ContentType="application/vnd.openxmlformats-officedocument.drawingml.chart+xml"/>
  <Override PartName="/xl/charts/style80.xml" ContentType="application/vnd.ms-office.chartstyle+xml"/>
  <Override PartName="/xl/charts/colors80.xml" ContentType="application/vnd.ms-office.chartcolorstyle+xml"/>
  <Override PartName="/xl/charts/chart81.xml" ContentType="application/vnd.openxmlformats-officedocument.drawingml.chart+xml"/>
  <Override PartName="/xl/charts/style81.xml" ContentType="application/vnd.ms-office.chartstyle+xml"/>
  <Override PartName="/xl/charts/colors81.xml" ContentType="application/vnd.ms-office.chartcolorstyle+xml"/>
  <Override PartName="/xl/charts/chart82.xml" ContentType="application/vnd.openxmlformats-officedocument.drawingml.chart+xml"/>
  <Override PartName="/xl/charts/style82.xml" ContentType="application/vnd.ms-office.chartstyle+xml"/>
  <Override PartName="/xl/charts/colors82.xml" ContentType="application/vnd.ms-office.chartcolorstyle+xml"/>
  <Override PartName="/xl/charts/chart83.xml" ContentType="application/vnd.openxmlformats-officedocument.drawingml.chart+xml"/>
  <Override PartName="/xl/charts/style83.xml" ContentType="application/vnd.ms-office.chartstyle+xml"/>
  <Override PartName="/xl/charts/colors83.xml" ContentType="application/vnd.ms-office.chartcolorstyle+xml"/>
  <Override PartName="/xl/charts/chart84.xml" ContentType="application/vnd.openxmlformats-officedocument.drawingml.chart+xml"/>
  <Override PartName="/xl/charts/style84.xml" ContentType="application/vnd.ms-office.chartstyle+xml"/>
  <Override PartName="/xl/charts/colors84.xml" ContentType="application/vnd.ms-office.chartcolorstyle+xml"/>
  <Override PartName="/xl/charts/chart85.xml" ContentType="application/vnd.openxmlformats-officedocument.drawingml.chart+xml"/>
  <Override PartName="/xl/charts/style85.xml" ContentType="application/vnd.ms-office.chartstyle+xml"/>
  <Override PartName="/xl/charts/colors85.xml" ContentType="application/vnd.ms-office.chartcolorstyle+xml"/>
  <Override PartName="/xl/charts/chart86.xml" ContentType="application/vnd.openxmlformats-officedocument.drawingml.chart+xml"/>
  <Override PartName="/xl/charts/style86.xml" ContentType="application/vnd.ms-office.chartstyle+xml"/>
  <Override PartName="/xl/charts/colors86.xml" ContentType="application/vnd.ms-office.chartcolorstyle+xml"/>
  <Override PartName="/xl/charts/chart87.xml" ContentType="application/vnd.openxmlformats-officedocument.drawingml.chart+xml"/>
  <Override PartName="/xl/charts/style87.xml" ContentType="application/vnd.ms-office.chartstyle+xml"/>
  <Override PartName="/xl/charts/colors87.xml" ContentType="application/vnd.ms-office.chartcolorstyle+xml"/>
  <Override PartName="/xl/charts/chart88.xml" ContentType="application/vnd.openxmlformats-officedocument.drawingml.chart+xml"/>
  <Override PartName="/xl/charts/style88.xml" ContentType="application/vnd.ms-office.chartstyle+xml"/>
  <Override PartName="/xl/charts/colors88.xml" ContentType="application/vnd.ms-office.chartcolorstyle+xml"/>
  <Override PartName="/xl/charts/chart89.xml" ContentType="application/vnd.openxmlformats-officedocument.drawingml.chart+xml"/>
  <Override PartName="/xl/charts/style89.xml" ContentType="application/vnd.ms-office.chartstyle+xml"/>
  <Override PartName="/xl/charts/colors89.xml" ContentType="application/vnd.ms-office.chartcolorstyle+xml"/>
  <Override PartName="/xl/charts/chart90.xml" ContentType="application/vnd.openxmlformats-officedocument.drawingml.chart+xml"/>
  <Override PartName="/xl/charts/style90.xml" ContentType="application/vnd.ms-office.chartstyle+xml"/>
  <Override PartName="/xl/charts/colors90.xml" ContentType="application/vnd.ms-office.chartcolorstyle+xml"/>
  <Override PartName="/xl/charts/chart91.xml" ContentType="application/vnd.openxmlformats-officedocument.drawingml.chart+xml"/>
  <Override PartName="/xl/charts/style91.xml" ContentType="application/vnd.ms-office.chartstyle+xml"/>
  <Override PartName="/xl/charts/colors91.xml" ContentType="application/vnd.ms-office.chartcolorstyle+xml"/>
  <Override PartName="/xl/charts/chart92.xml" ContentType="application/vnd.openxmlformats-officedocument.drawingml.chart+xml"/>
  <Override PartName="/xl/charts/style92.xml" ContentType="application/vnd.ms-office.chartstyle+xml"/>
  <Override PartName="/xl/charts/colors92.xml" ContentType="application/vnd.ms-office.chartcolorstyle+xml"/>
  <Override PartName="/xl/charts/chart93.xml" ContentType="application/vnd.openxmlformats-officedocument.drawingml.chart+xml"/>
  <Override PartName="/xl/charts/style93.xml" ContentType="application/vnd.ms-office.chartstyle+xml"/>
  <Override PartName="/xl/charts/colors93.xml" ContentType="application/vnd.ms-office.chartcolorstyle+xml"/>
  <Override PartName="/xl/charts/chart94.xml" ContentType="application/vnd.openxmlformats-officedocument.drawingml.chart+xml"/>
  <Override PartName="/xl/charts/style94.xml" ContentType="application/vnd.ms-office.chartstyle+xml"/>
  <Override PartName="/xl/charts/colors94.xml" ContentType="application/vnd.ms-office.chartcolorstyle+xml"/>
  <Override PartName="/xl/charts/chart95.xml" ContentType="application/vnd.openxmlformats-officedocument.drawingml.chart+xml"/>
  <Override PartName="/xl/charts/style95.xml" ContentType="application/vnd.ms-office.chartstyle+xml"/>
  <Override PartName="/xl/charts/colors95.xml" ContentType="application/vnd.ms-office.chartcolorstyle+xml"/>
  <Override PartName="/xl/charts/chart96.xml" ContentType="application/vnd.openxmlformats-officedocument.drawingml.chart+xml"/>
  <Override PartName="/xl/charts/style96.xml" ContentType="application/vnd.ms-office.chartstyle+xml"/>
  <Override PartName="/xl/charts/colors96.xml" ContentType="application/vnd.ms-office.chartcolorstyle+xml"/>
  <Override PartName="/xl/charts/chart97.xml" ContentType="application/vnd.openxmlformats-officedocument.drawingml.chart+xml"/>
  <Override PartName="/xl/charts/style97.xml" ContentType="application/vnd.ms-office.chartstyle+xml"/>
  <Override PartName="/xl/charts/colors97.xml" ContentType="application/vnd.ms-office.chartcolorstyle+xml"/>
  <Override PartName="/xl/charts/chart98.xml" ContentType="application/vnd.openxmlformats-officedocument.drawingml.chart+xml"/>
  <Override PartName="/xl/charts/style98.xml" ContentType="application/vnd.ms-office.chartstyle+xml"/>
  <Override PartName="/xl/charts/colors98.xml" ContentType="application/vnd.ms-office.chartcolorstyle+xml"/>
  <Override PartName="/xl/charts/chart99.xml" ContentType="application/vnd.openxmlformats-officedocument.drawingml.chart+xml"/>
  <Override PartName="/xl/charts/style99.xml" ContentType="application/vnd.ms-office.chartstyle+xml"/>
  <Override PartName="/xl/charts/colors99.xml" ContentType="application/vnd.ms-office.chartcolorstyle+xml"/>
  <Override PartName="/xl/charts/chart100.xml" ContentType="application/vnd.openxmlformats-officedocument.drawingml.chart+xml"/>
  <Override PartName="/xl/charts/style100.xml" ContentType="application/vnd.ms-office.chartstyle+xml"/>
  <Override PartName="/xl/charts/colors100.xml" ContentType="application/vnd.ms-office.chartcolorstyle+xml"/>
  <Override PartName="/xl/charts/chart101.xml" ContentType="application/vnd.openxmlformats-officedocument.drawingml.chart+xml"/>
  <Override PartName="/xl/charts/style101.xml" ContentType="application/vnd.ms-office.chartstyle+xml"/>
  <Override PartName="/xl/charts/colors101.xml" ContentType="application/vnd.ms-office.chartcolorstyle+xml"/>
  <Override PartName="/xl/charts/chart102.xml" ContentType="application/vnd.openxmlformats-officedocument.drawingml.chart+xml"/>
  <Override PartName="/xl/charts/style102.xml" ContentType="application/vnd.ms-office.chartstyle+xml"/>
  <Override PartName="/xl/charts/colors102.xml" ContentType="application/vnd.ms-office.chartcolorstyle+xml"/>
  <Override PartName="/xl/charts/chart103.xml" ContentType="application/vnd.openxmlformats-officedocument.drawingml.chart+xml"/>
  <Override PartName="/xl/charts/style103.xml" ContentType="application/vnd.ms-office.chartstyle+xml"/>
  <Override PartName="/xl/charts/colors103.xml" ContentType="application/vnd.ms-office.chartcolorstyle+xml"/>
  <Override PartName="/xl/charts/chart104.xml" ContentType="application/vnd.openxmlformats-officedocument.drawingml.chart+xml"/>
  <Override PartName="/xl/charts/style104.xml" ContentType="application/vnd.ms-office.chartstyle+xml"/>
  <Override PartName="/xl/charts/colors104.xml" ContentType="application/vnd.ms-office.chartcolorstyle+xml"/>
  <Override PartName="/xl/charts/chart105.xml" ContentType="application/vnd.openxmlformats-officedocument.drawingml.chart+xml"/>
  <Override PartName="/xl/charts/style105.xml" ContentType="application/vnd.ms-office.chartstyle+xml"/>
  <Override PartName="/xl/charts/colors105.xml" ContentType="application/vnd.ms-office.chartcolorstyle+xml"/>
  <Override PartName="/xl/charts/chart106.xml" ContentType="application/vnd.openxmlformats-officedocument.drawingml.chart+xml"/>
  <Override PartName="/xl/charts/style106.xml" ContentType="application/vnd.ms-office.chartstyle+xml"/>
  <Override PartName="/xl/charts/colors106.xml" ContentType="application/vnd.ms-office.chartcolorstyle+xml"/>
  <Override PartName="/xl/charts/chart107.xml" ContentType="application/vnd.openxmlformats-officedocument.drawingml.chart+xml"/>
  <Override PartName="/xl/charts/style107.xml" ContentType="application/vnd.ms-office.chartstyle+xml"/>
  <Override PartName="/xl/charts/colors107.xml" ContentType="application/vnd.ms-office.chartcolorstyle+xml"/>
  <Override PartName="/xl/charts/chart108.xml" ContentType="application/vnd.openxmlformats-officedocument.drawingml.chart+xml"/>
  <Override PartName="/xl/charts/style108.xml" ContentType="application/vnd.ms-office.chartstyle+xml"/>
  <Override PartName="/xl/charts/colors108.xml" ContentType="application/vnd.ms-office.chartcolorstyle+xml"/>
  <Override PartName="/xl/charts/chart109.xml" ContentType="application/vnd.openxmlformats-officedocument.drawingml.chart+xml"/>
  <Override PartName="/xl/charts/style109.xml" ContentType="application/vnd.ms-office.chartstyle+xml"/>
  <Override PartName="/xl/charts/colors109.xml" ContentType="application/vnd.ms-office.chartcolorstyle+xml"/>
  <Override PartName="/xl/charts/chart110.xml" ContentType="application/vnd.openxmlformats-officedocument.drawingml.chart+xml"/>
  <Override PartName="/xl/charts/style110.xml" ContentType="application/vnd.ms-office.chartstyle+xml"/>
  <Override PartName="/xl/charts/colors110.xml" ContentType="application/vnd.ms-office.chartcolorstyle+xml"/>
  <Override PartName="/xl/charts/chart111.xml" ContentType="application/vnd.openxmlformats-officedocument.drawingml.chart+xml"/>
  <Override PartName="/xl/charts/style111.xml" ContentType="application/vnd.ms-office.chartstyle+xml"/>
  <Override PartName="/xl/charts/colors111.xml" ContentType="application/vnd.ms-office.chartcolorstyle+xml"/>
  <Override PartName="/xl/charts/chart112.xml" ContentType="application/vnd.openxmlformats-officedocument.drawingml.chart+xml"/>
  <Override PartName="/xl/charts/style112.xml" ContentType="application/vnd.ms-office.chartstyle+xml"/>
  <Override PartName="/xl/charts/colors112.xml" ContentType="application/vnd.ms-office.chartcolorstyle+xml"/>
  <Override PartName="/xl/charts/chart113.xml" ContentType="application/vnd.openxmlformats-officedocument.drawingml.chart+xml"/>
  <Override PartName="/xl/charts/style113.xml" ContentType="application/vnd.ms-office.chartstyle+xml"/>
  <Override PartName="/xl/charts/colors113.xml" ContentType="application/vnd.ms-office.chartcolorstyle+xml"/>
  <Override PartName="/xl/charts/chart114.xml" ContentType="application/vnd.openxmlformats-officedocument.drawingml.chart+xml"/>
  <Override PartName="/xl/charts/style114.xml" ContentType="application/vnd.ms-office.chartstyle+xml"/>
  <Override PartName="/xl/charts/colors114.xml" ContentType="application/vnd.ms-office.chartcolorstyle+xml"/>
  <Override PartName="/xl/charts/chart115.xml" ContentType="application/vnd.openxmlformats-officedocument.drawingml.chart+xml"/>
  <Override PartName="/xl/charts/style115.xml" ContentType="application/vnd.ms-office.chartstyle+xml"/>
  <Override PartName="/xl/charts/colors115.xml" ContentType="application/vnd.ms-office.chartcolorstyle+xml"/>
  <Override PartName="/xl/charts/chart116.xml" ContentType="application/vnd.openxmlformats-officedocument.drawingml.chart+xml"/>
  <Override PartName="/xl/charts/style116.xml" ContentType="application/vnd.ms-office.chartstyle+xml"/>
  <Override PartName="/xl/charts/colors116.xml" ContentType="application/vnd.ms-office.chartcolorstyle+xml"/>
  <Override PartName="/xl/charts/chart117.xml" ContentType="application/vnd.openxmlformats-officedocument.drawingml.chart+xml"/>
  <Override PartName="/xl/charts/style117.xml" ContentType="application/vnd.ms-office.chartstyle+xml"/>
  <Override PartName="/xl/charts/colors117.xml" ContentType="application/vnd.ms-office.chartcolorstyle+xml"/>
  <Override PartName="/xl/charts/chart118.xml" ContentType="application/vnd.openxmlformats-officedocument.drawingml.chart+xml"/>
  <Override PartName="/xl/charts/style118.xml" ContentType="application/vnd.ms-office.chartstyle+xml"/>
  <Override PartName="/xl/charts/colors118.xml" ContentType="application/vnd.ms-office.chartcolorstyle+xml"/>
  <Override PartName="/xl/charts/chart119.xml" ContentType="application/vnd.openxmlformats-officedocument.drawingml.chart+xml"/>
  <Override PartName="/xl/charts/style119.xml" ContentType="application/vnd.ms-office.chartstyle+xml"/>
  <Override PartName="/xl/charts/colors119.xml" ContentType="application/vnd.ms-office.chartcolorstyle+xml"/>
  <Override PartName="/xl/charts/chart120.xml" ContentType="application/vnd.openxmlformats-officedocument.drawingml.chart+xml"/>
  <Override PartName="/xl/charts/style120.xml" ContentType="application/vnd.ms-office.chartstyle+xml"/>
  <Override PartName="/xl/charts/colors120.xml" ContentType="application/vnd.ms-office.chartcolorstyle+xml"/>
  <Override PartName="/xl/charts/chart121.xml" ContentType="application/vnd.openxmlformats-officedocument.drawingml.chart+xml"/>
  <Override PartName="/xl/charts/style121.xml" ContentType="application/vnd.ms-office.chartstyle+xml"/>
  <Override PartName="/xl/charts/colors121.xml" ContentType="application/vnd.ms-office.chartcolorstyle+xml"/>
  <Override PartName="/xl/charts/chart122.xml" ContentType="application/vnd.openxmlformats-officedocument.drawingml.chart+xml"/>
  <Override PartName="/xl/charts/style122.xml" ContentType="application/vnd.ms-office.chartstyle+xml"/>
  <Override PartName="/xl/charts/colors122.xml" ContentType="application/vnd.ms-office.chartcolorstyle+xml"/>
  <Override PartName="/xl/charts/chart123.xml" ContentType="application/vnd.openxmlformats-officedocument.drawingml.chart+xml"/>
  <Override PartName="/xl/charts/style123.xml" ContentType="application/vnd.ms-office.chartstyle+xml"/>
  <Override PartName="/xl/charts/colors123.xml" ContentType="application/vnd.ms-office.chartcolorstyle+xml"/>
  <Override PartName="/xl/charts/chart124.xml" ContentType="application/vnd.openxmlformats-officedocument.drawingml.chart+xml"/>
  <Override PartName="/xl/charts/style124.xml" ContentType="application/vnd.ms-office.chartstyle+xml"/>
  <Override PartName="/xl/charts/colors124.xml" ContentType="application/vnd.ms-office.chartcolorstyle+xml"/>
  <Override PartName="/xl/charts/chart125.xml" ContentType="application/vnd.openxmlformats-officedocument.drawingml.chart+xml"/>
  <Override PartName="/xl/charts/style125.xml" ContentType="application/vnd.ms-office.chartstyle+xml"/>
  <Override PartName="/xl/charts/colors125.xml" ContentType="application/vnd.ms-office.chartcolorstyle+xml"/>
  <Override PartName="/xl/charts/chart126.xml" ContentType="application/vnd.openxmlformats-officedocument.drawingml.chart+xml"/>
  <Override PartName="/xl/charts/style126.xml" ContentType="application/vnd.ms-office.chartstyle+xml"/>
  <Override PartName="/xl/charts/colors126.xml" ContentType="application/vnd.ms-office.chartcolorstyle+xml"/>
  <Override PartName="/xl/charts/chart127.xml" ContentType="application/vnd.openxmlformats-officedocument.drawingml.chart+xml"/>
  <Override PartName="/xl/charts/style127.xml" ContentType="application/vnd.ms-office.chartstyle+xml"/>
  <Override PartName="/xl/charts/colors127.xml" ContentType="application/vnd.ms-office.chartcolorstyle+xml"/>
  <Override PartName="/xl/charts/chart128.xml" ContentType="application/vnd.openxmlformats-officedocument.drawingml.chart+xml"/>
  <Override PartName="/xl/charts/style128.xml" ContentType="application/vnd.ms-office.chartstyle+xml"/>
  <Override PartName="/xl/charts/colors128.xml" ContentType="application/vnd.ms-office.chartcolorstyle+xml"/>
  <Override PartName="/xl/charts/chart129.xml" ContentType="application/vnd.openxmlformats-officedocument.drawingml.chart+xml"/>
  <Override PartName="/xl/charts/style129.xml" ContentType="application/vnd.ms-office.chartstyle+xml"/>
  <Override PartName="/xl/charts/colors129.xml" ContentType="application/vnd.ms-office.chartcolorstyle+xml"/>
  <Override PartName="/xl/charts/chart130.xml" ContentType="application/vnd.openxmlformats-officedocument.drawingml.chart+xml"/>
  <Override PartName="/xl/charts/style130.xml" ContentType="application/vnd.ms-office.chartstyle+xml"/>
  <Override PartName="/xl/charts/colors130.xml" ContentType="application/vnd.ms-office.chartcolorstyle+xml"/>
  <Override PartName="/xl/charts/chart131.xml" ContentType="application/vnd.openxmlformats-officedocument.drawingml.chart+xml"/>
  <Override PartName="/xl/charts/style131.xml" ContentType="application/vnd.ms-office.chartstyle+xml"/>
  <Override PartName="/xl/charts/colors131.xml" ContentType="application/vnd.ms-office.chartcolorstyle+xml"/>
  <Override PartName="/xl/charts/chart132.xml" ContentType="application/vnd.openxmlformats-officedocument.drawingml.chart+xml"/>
  <Override PartName="/xl/charts/style132.xml" ContentType="application/vnd.ms-office.chartstyle+xml"/>
  <Override PartName="/xl/charts/colors132.xml" ContentType="application/vnd.ms-office.chartcolorstyle+xml"/>
  <Override PartName="/xl/charts/chart133.xml" ContentType="application/vnd.openxmlformats-officedocument.drawingml.chart+xml"/>
  <Override PartName="/xl/charts/style133.xml" ContentType="application/vnd.ms-office.chartstyle+xml"/>
  <Override PartName="/xl/charts/colors133.xml" ContentType="application/vnd.ms-office.chartcolorstyle+xml"/>
  <Override PartName="/xl/charts/chart134.xml" ContentType="application/vnd.openxmlformats-officedocument.drawingml.chart+xml"/>
  <Override PartName="/xl/charts/style134.xml" ContentType="application/vnd.ms-office.chartstyle+xml"/>
  <Override PartName="/xl/charts/colors134.xml" ContentType="application/vnd.ms-office.chartcolorstyle+xml"/>
  <Override PartName="/xl/charts/chart135.xml" ContentType="application/vnd.openxmlformats-officedocument.drawingml.chart+xml"/>
  <Override PartName="/xl/charts/style135.xml" ContentType="application/vnd.ms-office.chartstyle+xml"/>
  <Override PartName="/xl/charts/colors135.xml" ContentType="application/vnd.ms-office.chartcolorstyle+xml"/>
  <Override PartName="/xl/charts/chart136.xml" ContentType="application/vnd.openxmlformats-officedocument.drawingml.chart+xml"/>
  <Override PartName="/xl/charts/style136.xml" ContentType="application/vnd.ms-office.chartstyle+xml"/>
  <Override PartName="/xl/charts/colors136.xml" ContentType="application/vnd.ms-office.chartcolorstyle+xml"/>
  <Override PartName="/xl/charts/chart137.xml" ContentType="application/vnd.openxmlformats-officedocument.drawingml.chart+xml"/>
  <Override PartName="/xl/charts/style137.xml" ContentType="application/vnd.ms-office.chartstyle+xml"/>
  <Override PartName="/xl/charts/colors137.xml" ContentType="application/vnd.ms-office.chartcolorstyle+xml"/>
  <Override PartName="/xl/charts/chart138.xml" ContentType="application/vnd.openxmlformats-officedocument.drawingml.chart+xml"/>
  <Override PartName="/xl/charts/style138.xml" ContentType="application/vnd.ms-office.chartstyle+xml"/>
  <Override PartName="/xl/charts/colors138.xml" ContentType="application/vnd.ms-office.chartcolorstyle+xml"/>
  <Override PartName="/xl/charts/chart139.xml" ContentType="application/vnd.openxmlformats-officedocument.drawingml.chart+xml"/>
  <Override PartName="/xl/charts/style139.xml" ContentType="application/vnd.ms-office.chartstyle+xml"/>
  <Override PartName="/xl/charts/colors139.xml" ContentType="application/vnd.ms-office.chartcolorstyle+xml"/>
  <Override PartName="/xl/charts/chart140.xml" ContentType="application/vnd.openxmlformats-officedocument.drawingml.chart+xml"/>
  <Override PartName="/xl/charts/style140.xml" ContentType="application/vnd.ms-office.chartstyle+xml"/>
  <Override PartName="/xl/charts/colors140.xml" ContentType="application/vnd.ms-office.chartcolorstyle+xml"/>
  <Override PartName="/xl/charts/chart141.xml" ContentType="application/vnd.openxmlformats-officedocument.drawingml.chart+xml"/>
  <Override PartName="/xl/charts/style141.xml" ContentType="application/vnd.ms-office.chartstyle+xml"/>
  <Override PartName="/xl/charts/colors141.xml" ContentType="application/vnd.ms-office.chartcolorstyle+xml"/>
  <Override PartName="/xl/charts/chart142.xml" ContentType="application/vnd.openxmlformats-officedocument.drawingml.chart+xml"/>
  <Override PartName="/xl/charts/style142.xml" ContentType="application/vnd.ms-office.chartstyle+xml"/>
  <Override PartName="/xl/charts/colors142.xml" ContentType="application/vnd.ms-office.chartcolorstyle+xml"/>
  <Override PartName="/xl/charts/chart143.xml" ContentType="application/vnd.openxmlformats-officedocument.drawingml.chart+xml"/>
  <Override PartName="/xl/charts/style143.xml" ContentType="application/vnd.ms-office.chartstyle+xml"/>
  <Override PartName="/xl/charts/colors143.xml" ContentType="application/vnd.ms-office.chartcolorstyle+xml"/>
  <Override PartName="/xl/charts/chart144.xml" ContentType="application/vnd.openxmlformats-officedocument.drawingml.chart+xml"/>
  <Override PartName="/xl/charts/style144.xml" ContentType="application/vnd.ms-office.chartstyle+xml"/>
  <Override PartName="/xl/charts/colors144.xml" ContentType="application/vnd.ms-office.chartcolorstyle+xml"/>
  <Override PartName="/xl/charts/chart145.xml" ContentType="application/vnd.openxmlformats-officedocument.drawingml.chart+xml"/>
  <Override PartName="/xl/charts/style145.xml" ContentType="application/vnd.ms-office.chartstyle+xml"/>
  <Override PartName="/xl/charts/colors145.xml" ContentType="application/vnd.ms-office.chartcolorstyle+xml"/>
  <Override PartName="/xl/charts/chart146.xml" ContentType="application/vnd.openxmlformats-officedocument.drawingml.chart+xml"/>
  <Override PartName="/xl/charts/style146.xml" ContentType="application/vnd.ms-office.chartstyle+xml"/>
  <Override PartName="/xl/charts/colors14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NGEL\Documents\Fundamentos\"/>
    </mc:Choice>
  </mc:AlternateContent>
  <xr:revisionPtr revIDLastSave="0" documentId="13_ncr:1_{D5BBF5B8-CEEF-4051-A839-8DB275214879}" xr6:coauthVersionLast="45" xr6:coauthVersionMax="45" xr10:uidLastSave="{00000000-0000-0000-0000-000000000000}"/>
  <bookViews>
    <workbookView xWindow="-120" yWindow="-120" windowWidth="20730" windowHeight="11310" firstSheet="3" activeTab="5" xr2:uid="{D981B6FC-7059-4534-899D-D6159089EF04}"/>
  </bookViews>
  <sheets>
    <sheet name="Hoja2" sheetId="3" r:id="rId1"/>
    <sheet name="Ejercicio 2.83" sheetId="1" r:id="rId2"/>
    <sheet name="Ejercicios 3.1-3.11" sheetId="2" r:id="rId3"/>
    <sheet name="Ejercicios 3.12-3.47" sheetId="4" r:id="rId4"/>
    <sheet name="Ejercicios 4.19-4.52" sheetId="5" r:id="rId5"/>
    <sheet name="Ejercicios 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11" i="6" l="1"/>
  <c r="A1210" i="6"/>
  <c r="A1209" i="6"/>
  <c r="C1211" i="6"/>
  <c r="C1210" i="6"/>
  <c r="C1209" i="6"/>
  <c r="E1210" i="6"/>
  <c r="E1211" i="6"/>
  <c r="E1209" i="6"/>
  <c r="B1228" i="6" l="1"/>
  <c r="C1227" i="6"/>
  <c r="C1228" i="6" s="1"/>
  <c r="B1229" i="6" s="1"/>
  <c r="B1231" i="6" s="1"/>
  <c r="C1226" i="6"/>
  <c r="B1230" i="6" s="1"/>
  <c r="A1192" i="6" l="1"/>
  <c r="D1192" i="6"/>
  <c r="C1192" i="6" s="1"/>
  <c r="B1194" i="6"/>
  <c r="D1194" i="6" s="1"/>
  <c r="C1194" i="6" s="1"/>
  <c r="B1193" i="6"/>
  <c r="D1193" i="6" s="1"/>
  <c r="C1193" i="6" s="1"/>
  <c r="A1174" i="6"/>
  <c r="D1174" i="6"/>
  <c r="C1174" i="6" s="1"/>
  <c r="B1176" i="6"/>
  <c r="A1176" i="6" s="1"/>
  <c r="A1158" i="6"/>
  <c r="C1156" i="6"/>
  <c r="B1160" i="6" s="1"/>
  <c r="A1160" i="6" s="1"/>
  <c r="D1158" i="6"/>
  <c r="C1141" i="6"/>
  <c r="A1141" i="6"/>
  <c r="B1143" i="6"/>
  <c r="D1143" i="6" s="1"/>
  <c r="C1143" i="6" s="1"/>
  <c r="B1142" i="6"/>
  <c r="D1142" i="6" s="1"/>
  <c r="C1142" i="6" s="1"/>
  <c r="D1141" i="6"/>
  <c r="A1125" i="6"/>
  <c r="C1125" i="6"/>
  <c r="B1127" i="6"/>
  <c r="D1127" i="6" s="1"/>
  <c r="C1127" i="6" s="1"/>
  <c r="B1126" i="6"/>
  <c r="D1126" i="6" s="1"/>
  <c r="C1126" i="6" s="1"/>
  <c r="D1125" i="6"/>
  <c r="A1108" i="6"/>
  <c r="A1109" i="6"/>
  <c r="A1107" i="6"/>
  <c r="C1109" i="6"/>
  <c r="C1107" i="6"/>
  <c r="B1109" i="6"/>
  <c r="D1109" i="6" s="1"/>
  <c r="B1108" i="6"/>
  <c r="D1108" i="6" s="1"/>
  <c r="C1108" i="6" s="1"/>
  <c r="D1107" i="6"/>
  <c r="B1092" i="6"/>
  <c r="A1092" i="6" s="1"/>
  <c r="A1093" i="6"/>
  <c r="A1091" i="6"/>
  <c r="B1093" i="6"/>
  <c r="D1093" i="6" s="1"/>
  <c r="C1093" i="6" s="1"/>
  <c r="D1092" i="6"/>
  <c r="C1092" i="6" s="1"/>
  <c r="D1091" i="6"/>
  <c r="C1091" i="6" s="1"/>
  <c r="A1074" i="6"/>
  <c r="C1074" i="6"/>
  <c r="B1076" i="6"/>
  <c r="D1076" i="6" s="1"/>
  <c r="C1076" i="6" s="1"/>
  <c r="B1075" i="6"/>
  <c r="D1075" i="6" s="1"/>
  <c r="C1075" i="6" s="1"/>
  <c r="D1074" i="6"/>
  <c r="A1058" i="6"/>
  <c r="A1056" i="6"/>
  <c r="C1056" i="6"/>
  <c r="D1056" i="6"/>
  <c r="B1058" i="6"/>
  <c r="A1039" i="6"/>
  <c r="C1037" i="6"/>
  <c r="C1040" i="6" s="1"/>
  <c r="B1040" i="6"/>
  <c r="D1040" i="6" s="1"/>
  <c r="D1039" i="6"/>
  <c r="C1039" i="6" s="1"/>
  <c r="B1023" i="6"/>
  <c r="A1023" i="6" s="1"/>
  <c r="C1022" i="6"/>
  <c r="B1024" i="6"/>
  <c r="D1024" i="6" s="1"/>
  <c r="C1024" i="6" s="1"/>
  <c r="D1022" i="6"/>
  <c r="A1022" i="6"/>
  <c r="B1006" i="6"/>
  <c r="C1006" i="6" s="1"/>
  <c r="A1005" i="6"/>
  <c r="A1004" i="6"/>
  <c r="C1005" i="6"/>
  <c r="C1004" i="6"/>
  <c r="A1076" i="6" l="1"/>
  <c r="A1127" i="6"/>
  <c r="B1041" i="6"/>
  <c r="A1075" i="6"/>
  <c r="A1126" i="6"/>
  <c r="A1142" i="6"/>
  <c r="A1040" i="6"/>
  <c r="C1158" i="6"/>
  <c r="A1143" i="6"/>
  <c r="A1193" i="6"/>
  <c r="A1194" i="6"/>
  <c r="D1176" i="6"/>
  <c r="C1176" i="6" s="1"/>
  <c r="B1175" i="6"/>
  <c r="A1175" i="6" s="1"/>
  <c r="D1160" i="6"/>
  <c r="C1160" i="6" s="1"/>
  <c r="B1159" i="6"/>
  <c r="A1159" i="6" s="1"/>
  <c r="D1058" i="6"/>
  <c r="C1058" i="6" s="1"/>
  <c r="B1057" i="6"/>
  <c r="A1057" i="6" s="1"/>
  <c r="D1023" i="6"/>
  <c r="C1023" i="6" s="1"/>
  <c r="A1024" i="6"/>
  <c r="A1006" i="6"/>
  <c r="C989" i="6"/>
  <c r="A990" i="6"/>
  <c r="A991" i="6"/>
  <c r="A992" i="6"/>
  <c r="A989" i="6"/>
  <c r="C987" i="6"/>
  <c r="C986" i="6"/>
  <c r="D992" i="6"/>
  <c r="D991" i="6"/>
  <c r="C991" i="6" s="1"/>
  <c r="D989" i="6"/>
  <c r="B990" i="6"/>
  <c r="C968" i="6"/>
  <c r="A969" i="6"/>
  <c r="A971" i="6" s="1"/>
  <c r="D974" i="6"/>
  <c r="D973" i="6"/>
  <c r="D971" i="6"/>
  <c r="A954" i="6"/>
  <c r="A955" i="6"/>
  <c r="A956" i="6"/>
  <c r="A953" i="6"/>
  <c r="C951" i="6"/>
  <c r="C950" i="6"/>
  <c r="D953" i="6"/>
  <c r="B954" i="6"/>
  <c r="D955" i="6"/>
  <c r="D956" i="6"/>
  <c r="C956" i="6" s="1"/>
  <c r="A937" i="6"/>
  <c r="D937" i="6"/>
  <c r="A939" i="6"/>
  <c r="A940" i="6"/>
  <c r="C935" i="6"/>
  <c r="C934" i="6"/>
  <c r="C940" i="6" s="1"/>
  <c r="D940" i="6"/>
  <c r="D939" i="6"/>
  <c r="B938" i="6"/>
  <c r="A938" i="6" s="1"/>
  <c r="A919" i="6"/>
  <c r="D919" i="6"/>
  <c r="D921" i="6"/>
  <c r="D922" i="6"/>
  <c r="A922" i="6"/>
  <c r="C917" i="6"/>
  <c r="C921" i="6" s="1"/>
  <c r="C916" i="6"/>
  <c r="D920" i="6" s="1"/>
  <c r="C920" i="6" s="1"/>
  <c r="A917" i="6"/>
  <c r="B920" i="6" s="1"/>
  <c r="A920" i="6" s="1"/>
  <c r="C905" i="6"/>
  <c r="C904" i="6"/>
  <c r="C903" i="6"/>
  <c r="C902" i="6"/>
  <c r="A904" i="6"/>
  <c r="D903" i="6"/>
  <c r="B903" i="6"/>
  <c r="A899" i="6"/>
  <c r="A905" i="6" s="1"/>
  <c r="A886" i="6"/>
  <c r="A887" i="6"/>
  <c r="A884" i="6"/>
  <c r="B885" i="6"/>
  <c r="A885" i="6" s="1"/>
  <c r="A869" i="6"/>
  <c r="A870" i="6"/>
  <c r="A864" i="6"/>
  <c r="B868" i="6" s="1"/>
  <c r="A851" i="6"/>
  <c r="A852" i="6"/>
  <c r="A853" i="6"/>
  <c r="A850" i="6"/>
  <c r="C848" i="6"/>
  <c r="C852" i="6" s="1"/>
  <c r="B851" i="6"/>
  <c r="A835" i="6"/>
  <c r="A836" i="6"/>
  <c r="A831" i="6"/>
  <c r="B834" i="6" s="1"/>
  <c r="A818" i="6"/>
  <c r="A819" i="6"/>
  <c r="A816" i="6"/>
  <c r="B817" i="6"/>
  <c r="A817" i="6" s="1"/>
  <c r="C800" i="6"/>
  <c r="A800" i="6"/>
  <c r="C798" i="6"/>
  <c r="D801" i="6" s="1"/>
  <c r="A798" i="6"/>
  <c r="A802" i="6" s="1"/>
  <c r="A780" i="6"/>
  <c r="A784" i="6" s="1"/>
  <c r="A767" i="6"/>
  <c r="A768" i="6"/>
  <c r="A765" i="6"/>
  <c r="A763" i="6"/>
  <c r="B766" i="6" s="1"/>
  <c r="C751" i="6"/>
  <c r="C750" i="6"/>
  <c r="C749" i="6"/>
  <c r="C748" i="6"/>
  <c r="A750" i="6"/>
  <c r="A751" i="6"/>
  <c r="A748" i="6"/>
  <c r="D749" i="6"/>
  <c r="B749" i="6"/>
  <c r="A749" i="6" s="1"/>
  <c r="A731" i="6"/>
  <c r="A732" i="6"/>
  <c r="A729" i="6"/>
  <c r="B730" i="6"/>
  <c r="A730" i="6" s="1"/>
  <c r="A714" i="6"/>
  <c r="A715" i="6"/>
  <c r="A712" i="6"/>
  <c r="B713" i="6"/>
  <c r="A713" i="6" s="1"/>
  <c r="C698" i="6"/>
  <c r="C697" i="6"/>
  <c r="C696" i="6"/>
  <c r="C695" i="6"/>
  <c r="A697" i="6"/>
  <c r="A698" i="6"/>
  <c r="A695" i="6"/>
  <c r="D696" i="6"/>
  <c r="B696" i="6"/>
  <c r="A696" i="6" s="1"/>
  <c r="A680" i="6"/>
  <c r="A681" i="6"/>
  <c r="A678" i="6"/>
  <c r="B679" i="6"/>
  <c r="A679" i="6" s="1"/>
  <c r="B661" i="6"/>
  <c r="A661" i="6"/>
  <c r="A662" i="6"/>
  <c r="A663" i="6"/>
  <c r="A660" i="6"/>
  <c r="A643" i="6"/>
  <c r="A644" i="6"/>
  <c r="A645" i="6"/>
  <c r="B642" i="6"/>
  <c r="A642" i="6" s="1"/>
  <c r="D627" i="6"/>
  <c r="C627" i="6" s="1"/>
  <c r="B627" i="6"/>
  <c r="A627" i="6" s="1"/>
  <c r="C629" i="6"/>
  <c r="C628" i="6"/>
  <c r="C626" i="6"/>
  <c r="A626" i="6"/>
  <c r="A629" i="6"/>
  <c r="A630" i="6"/>
  <c r="A628" i="6"/>
  <c r="C624" i="6"/>
  <c r="C630" i="6" s="1"/>
  <c r="A608" i="6"/>
  <c r="A612" i="6" s="1"/>
  <c r="C574" i="6"/>
  <c r="A574" i="6"/>
  <c r="C578" i="6"/>
  <c r="C577" i="6"/>
  <c r="C576" i="6"/>
  <c r="A575" i="6"/>
  <c r="A576" i="6"/>
  <c r="A577" i="6"/>
  <c r="A578" i="6"/>
  <c r="D575" i="6"/>
  <c r="C575" i="6" s="1"/>
  <c r="A594" i="6"/>
  <c r="A595" i="6"/>
  <c r="A596" i="6"/>
  <c r="B593" i="6"/>
  <c r="A593" i="6" s="1"/>
  <c r="B558" i="6"/>
  <c r="A558" i="6" s="1"/>
  <c r="A559" i="6"/>
  <c r="A560" i="6"/>
  <c r="A561" i="6"/>
  <c r="A546" i="6"/>
  <c r="A543" i="6"/>
  <c r="A544" i="6"/>
  <c r="A545" i="6"/>
  <c r="A542" i="6"/>
  <c r="C974" i="6" l="1"/>
  <c r="C853" i="6"/>
  <c r="C919" i="6"/>
  <c r="A974" i="6"/>
  <c r="B610" i="6"/>
  <c r="A610" i="6" s="1"/>
  <c r="A782" i="6"/>
  <c r="A803" i="6"/>
  <c r="C801" i="6"/>
  <c r="A834" i="6"/>
  <c r="C850" i="6"/>
  <c r="A868" i="6"/>
  <c r="A903" i="6"/>
  <c r="C922" i="6"/>
  <c r="C939" i="6"/>
  <c r="C955" i="6"/>
  <c r="B972" i="6"/>
  <c r="A973" i="6"/>
  <c r="C992" i="6"/>
  <c r="D1041" i="6"/>
  <c r="C1041" i="6" s="1"/>
  <c r="A1041" i="6"/>
  <c r="A613" i="6"/>
  <c r="A766" i="6"/>
  <c r="A785" i="6"/>
  <c r="B801" i="6"/>
  <c r="A801" i="6" s="1"/>
  <c r="C802" i="6"/>
  <c r="A833" i="6"/>
  <c r="A867" i="6"/>
  <c r="A902" i="6"/>
  <c r="A921" i="6"/>
  <c r="C937" i="6"/>
  <c r="C953" i="6"/>
  <c r="C969" i="6"/>
  <c r="A972" i="6"/>
  <c r="A611" i="6"/>
  <c r="B783" i="6"/>
  <c r="A783" i="6" s="1"/>
  <c r="C803" i="6"/>
  <c r="D851" i="6"/>
  <c r="C851" i="6" s="1"/>
  <c r="D1175" i="6"/>
  <c r="C1175" i="6" s="1"/>
  <c r="D1159" i="6"/>
  <c r="C1159" i="6" s="1"/>
  <c r="D1057" i="6"/>
  <c r="C1057" i="6" s="1"/>
  <c r="D990" i="6"/>
  <c r="C990" i="6" s="1"/>
  <c r="D954" i="6"/>
  <c r="C954" i="6" s="1"/>
  <c r="D938" i="6"/>
  <c r="C938" i="6" s="1"/>
  <c r="A527" i="6"/>
  <c r="A526" i="6"/>
  <c r="A524" i="6"/>
  <c r="A528" i="6" s="1"/>
  <c r="A508" i="6"/>
  <c r="B514" i="6" s="1"/>
  <c r="A514" i="6" s="1"/>
  <c r="C971" i="6" l="1"/>
  <c r="C973" i="6"/>
  <c r="A513" i="6"/>
  <c r="A529" i="6"/>
  <c r="B530" i="6"/>
  <c r="A530" i="6" s="1"/>
  <c r="D972" i="6"/>
  <c r="C972" i="6" s="1"/>
  <c r="A512" i="6"/>
  <c r="A510" i="6"/>
  <c r="A511" i="6"/>
  <c r="A496" i="6"/>
  <c r="A497" i="6"/>
  <c r="A498" i="6"/>
  <c r="A495" i="6"/>
  <c r="C493" i="6"/>
  <c r="C495" i="6" s="1"/>
  <c r="C492" i="6"/>
  <c r="D497" i="6"/>
  <c r="D496" i="6"/>
  <c r="D495" i="6"/>
  <c r="C477" i="6"/>
  <c r="A478" i="6"/>
  <c r="B482" i="6" s="1"/>
  <c r="D482" i="6" s="1"/>
  <c r="D480" i="6"/>
  <c r="A466" i="6"/>
  <c r="A467" i="6"/>
  <c r="A468" i="6"/>
  <c r="A465" i="6"/>
  <c r="C463" i="6"/>
  <c r="C465" i="6" s="1"/>
  <c r="C462" i="6"/>
  <c r="C467" i="6" s="1"/>
  <c r="D468" i="6"/>
  <c r="D467" i="6"/>
  <c r="D466" i="6"/>
  <c r="C466" i="6" s="1"/>
  <c r="D465" i="6"/>
  <c r="A451" i="6"/>
  <c r="A450" i="6"/>
  <c r="C448" i="6"/>
  <c r="C450" i="6" s="1"/>
  <c r="C447" i="6"/>
  <c r="C453" i="6" s="1"/>
  <c r="A448" i="6"/>
  <c r="A452" i="6" s="1"/>
  <c r="D453" i="6"/>
  <c r="D452" i="6"/>
  <c r="C452" i="6" s="1"/>
  <c r="D451" i="6"/>
  <c r="D450" i="6"/>
  <c r="D435" i="6"/>
  <c r="C435" i="6" s="1"/>
  <c r="D436" i="6"/>
  <c r="D437" i="6"/>
  <c r="D434" i="6"/>
  <c r="C437" i="6"/>
  <c r="C436" i="6"/>
  <c r="A435" i="6"/>
  <c r="A436" i="6"/>
  <c r="A437" i="6"/>
  <c r="A434" i="6"/>
  <c r="C432" i="6"/>
  <c r="C431" i="6"/>
  <c r="C422" i="6"/>
  <c r="C421" i="6"/>
  <c r="C420" i="6"/>
  <c r="C419" i="6"/>
  <c r="A420" i="6"/>
  <c r="A421" i="6"/>
  <c r="A422" i="6"/>
  <c r="A419" i="6"/>
  <c r="C406" i="6"/>
  <c r="C405" i="6"/>
  <c r="C404" i="6"/>
  <c r="C403" i="6"/>
  <c r="A404" i="6"/>
  <c r="A405" i="6"/>
  <c r="A406" i="6"/>
  <c r="A403" i="6"/>
  <c r="C391" i="6"/>
  <c r="C390" i="6"/>
  <c r="C389" i="6"/>
  <c r="C388" i="6"/>
  <c r="A389" i="6"/>
  <c r="A390" i="6"/>
  <c r="A391" i="6"/>
  <c r="A388" i="6"/>
  <c r="C376" i="6"/>
  <c r="A375" i="6"/>
  <c r="A376" i="6"/>
  <c r="A377" i="6"/>
  <c r="A374" i="6"/>
  <c r="C371" i="6"/>
  <c r="C375" i="6" s="1"/>
  <c r="C355" i="6"/>
  <c r="C360" i="6" s="1"/>
  <c r="A359" i="6"/>
  <c r="A360" i="6"/>
  <c r="A361" i="6"/>
  <c r="A358" i="6"/>
  <c r="E346" i="6"/>
  <c r="E345" i="6"/>
  <c r="E344" i="6"/>
  <c r="E343" i="6"/>
  <c r="C346" i="6"/>
  <c r="C345" i="6"/>
  <c r="C344" i="6"/>
  <c r="C343" i="6"/>
  <c r="A344" i="6"/>
  <c r="A345" i="6"/>
  <c r="A346" i="6"/>
  <c r="A343" i="6"/>
  <c r="A329" i="6"/>
  <c r="A330" i="6"/>
  <c r="A331" i="6"/>
  <c r="A328" i="6"/>
  <c r="A314" i="6"/>
  <c r="A315" i="6"/>
  <c r="A316" i="6"/>
  <c r="A313" i="6"/>
  <c r="A299" i="6"/>
  <c r="A300" i="6"/>
  <c r="A301" i="6"/>
  <c r="A298" i="6"/>
  <c r="E286" i="6"/>
  <c r="E285" i="6"/>
  <c r="E284" i="6"/>
  <c r="E283" i="6"/>
  <c r="C286" i="6"/>
  <c r="C285" i="6"/>
  <c r="C284" i="6"/>
  <c r="C283" i="6"/>
  <c r="A284" i="6"/>
  <c r="A285" i="6"/>
  <c r="A286" i="6"/>
  <c r="A283" i="6"/>
  <c r="A268" i="6"/>
  <c r="A269" i="6"/>
  <c r="A270" i="6"/>
  <c r="A267" i="6"/>
  <c r="A253" i="6"/>
  <c r="A254" i="6"/>
  <c r="A255" i="6"/>
  <c r="A252" i="6"/>
  <c r="A237" i="6"/>
  <c r="A238" i="6"/>
  <c r="A239" i="6"/>
  <c r="A236" i="6"/>
  <c r="E221" i="6"/>
  <c r="E220" i="6"/>
  <c r="C221" i="6"/>
  <c r="C220" i="6"/>
  <c r="A220" i="6"/>
  <c r="E218" i="6"/>
  <c r="E223" i="6" s="1"/>
  <c r="C218" i="6"/>
  <c r="C223" i="6" s="1"/>
  <c r="A218" i="6"/>
  <c r="A221" i="6" s="1"/>
  <c r="A203" i="6"/>
  <c r="A207" i="6" s="1"/>
  <c r="A193" i="6"/>
  <c r="A190" i="6"/>
  <c r="A188" i="6"/>
  <c r="A191" i="6" s="1"/>
  <c r="A177" i="6"/>
  <c r="A178" i="6"/>
  <c r="A173" i="6"/>
  <c r="A175" i="6" s="1"/>
  <c r="A163" i="6"/>
  <c r="E163" i="6"/>
  <c r="E162" i="6"/>
  <c r="E161" i="6"/>
  <c r="E160" i="6"/>
  <c r="C163" i="6"/>
  <c r="C162" i="6"/>
  <c r="C161" i="6"/>
  <c r="C160" i="6"/>
  <c r="A161" i="6"/>
  <c r="A162" i="6"/>
  <c r="A160" i="6"/>
  <c r="A146" i="6"/>
  <c r="A147" i="6"/>
  <c r="A148" i="6"/>
  <c r="A145" i="6"/>
  <c r="A130" i="6"/>
  <c r="A131" i="6"/>
  <c r="A132" i="6"/>
  <c r="A129" i="6"/>
  <c r="A206" i="6" l="1"/>
  <c r="C361" i="6"/>
  <c r="A205" i="6"/>
  <c r="B483" i="6"/>
  <c r="D483" i="6" s="1"/>
  <c r="A176" i="6"/>
  <c r="A192" i="6"/>
  <c r="A208" i="6"/>
  <c r="A222" i="6"/>
  <c r="C222" i="6"/>
  <c r="E222" i="6"/>
  <c r="C359" i="6"/>
  <c r="C374" i="6"/>
  <c r="C434" i="6"/>
  <c r="A453" i="6"/>
  <c r="C468" i="6"/>
  <c r="C478" i="6"/>
  <c r="C480" i="6" s="1"/>
  <c r="B481" i="6"/>
  <c r="D481" i="6" s="1"/>
  <c r="C481" i="6" s="1"/>
  <c r="C497" i="6"/>
  <c r="A223" i="6"/>
  <c r="C358" i="6"/>
  <c r="C377" i="6"/>
  <c r="C496" i="6"/>
  <c r="C451" i="6"/>
  <c r="A480" i="6"/>
  <c r="D498" i="6"/>
  <c r="C498" i="6" s="1"/>
  <c r="A482" i="6"/>
  <c r="A481" i="6"/>
  <c r="A483" i="6"/>
  <c r="E116" i="6"/>
  <c r="E115" i="6"/>
  <c r="E114" i="6"/>
  <c r="E113" i="6"/>
  <c r="C115" i="6"/>
  <c r="C114" i="6"/>
  <c r="A116" i="6"/>
  <c r="C111" i="6"/>
  <c r="C113" i="6" s="1"/>
  <c r="A111" i="6"/>
  <c r="A113" i="6" s="1"/>
  <c r="A98" i="6"/>
  <c r="A99" i="6"/>
  <c r="A100" i="6"/>
  <c r="A97" i="6"/>
  <c r="B85" i="6"/>
  <c r="A80" i="6"/>
  <c r="A83" i="6" s="1"/>
  <c r="A68" i="6"/>
  <c r="A69" i="6"/>
  <c r="A66" i="6"/>
  <c r="A64" i="6"/>
  <c r="A67" i="6" s="1"/>
  <c r="A115" i="6" l="1"/>
  <c r="A84" i="6"/>
  <c r="C116" i="6"/>
  <c r="A85" i="6"/>
  <c r="A82" i="6"/>
  <c r="A114" i="6"/>
  <c r="C483" i="6"/>
  <c r="C482" i="6"/>
  <c r="C54" i="6"/>
  <c r="E54" i="6"/>
  <c r="E53" i="6"/>
  <c r="E52" i="6"/>
  <c r="E51" i="6"/>
  <c r="C53" i="6"/>
  <c r="C52" i="6"/>
  <c r="C51" i="6"/>
  <c r="A52" i="6"/>
  <c r="A53" i="6"/>
  <c r="A54" i="6"/>
  <c r="A51" i="6"/>
  <c r="A34" i="6"/>
  <c r="A35" i="6"/>
  <c r="A36" i="6"/>
  <c r="A33" i="6"/>
  <c r="A19" i="6"/>
  <c r="A20" i="6"/>
  <c r="A21" i="6"/>
  <c r="A18" i="6"/>
  <c r="A4" i="6"/>
  <c r="A5" i="6"/>
  <c r="A6" i="6"/>
  <c r="A3" i="6"/>
  <c r="B578" i="5" l="1"/>
  <c r="C579" i="5"/>
  <c r="C578" i="5"/>
  <c r="C571" i="5"/>
  <c r="C569" i="5"/>
  <c r="C570" i="5"/>
  <c r="C575" i="5"/>
  <c r="C577" i="5"/>
  <c r="C573" i="5"/>
  <c r="C572" i="5"/>
  <c r="C576" i="5"/>
  <c r="C574" i="5"/>
  <c r="B579" i="5"/>
  <c r="B573" i="5"/>
  <c r="B572" i="5"/>
  <c r="B570" i="5"/>
  <c r="B576" i="5"/>
  <c r="B575" i="5"/>
  <c r="B574" i="5"/>
  <c r="B569" i="5"/>
  <c r="B568" i="5"/>
  <c r="B571" i="5"/>
  <c r="B577" i="5" l="1"/>
  <c r="B548" i="5"/>
  <c r="B537" i="5"/>
  <c r="B549" i="5" s="1"/>
  <c r="B544" i="5" l="1"/>
  <c r="B545" i="5"/>
  <c r="B546" i="5" l="1"/>
  <c r="C524" i="5"/>
  <c r="C525" i="5"/>
  <c r="C517" i="5"/>
  <c r="C516" i="5" s="1"/>
  <c r="C513" i="5"/>
  <c r="C531" i="5" s="1"/>
  <c r="C511" i="5"/>
  <c r="C510" i="5"/>
  <c r="B511" i="5"/>
  <c r="B510" i="5"/>
  <c r="B524" i="5"/>
  <c r="B525" i="5" s="1"/>
  <c r="B517" i="5"/>
  <c r="B516" i="5" s="1"/>
  <c r="B513" i="5"/>
  <c r="C500" i="5"/>
  <c r="C493" i="5"/>
  <c r="C495" i="5" s="1"/>
  <c r="C491" i="5"/>
  <c r="B501" i="5"/>
  <c r="B493" i="5"/>
  <c r="B495" i="5" s="1"/>
  <c r="B490" i="5"/>
  <c r="B491" i="5" s="1"/>
  <c r="B503" i="5" s="1"/>
  <c r="D477" i="5"/>
  <c r="D470" i="5"/>
  <c r="D471" i="5" s="1"/>
  <c r="D466" i="5"/>
  <c r="C477" i="5"/>
  <c r="C470" i="5"/>
  <c r="C471" i="5" s="1"/>
  <c r="C474" i="5" s="1"/>
  <c r="C466" i="5"/>
  <c r="B477" i="5"/>
  <c r="B466" i="5"/>
  <c r="B470" i="5"/>
  <c r="B471" i="5" s="1"/>
  <c r="B474" i="5" s="1"/>
  <c r="C475" i="5" l="1"/>
  <c r="C503" i="5"/>
  <c r="B531" i="5"/>
  <c r="B533" i="5" s="1"/>
  <c r="C504" i="5"/>
  <c r="B497" i="5"/>
  <c r="B496" i="5"/>
  <c r="B521" i="5"/>
  <c r="B519" i="5"/>
  <c r="B505" i="5"/>
  <c r="B482" i="5"/>
  <c r="B504" i="5"/>
  <c r="B520" i="5"/>
  <c r="B532" i="5"/>
  <c r="B527" i="5"/>
  <c r="B528" i="5"/>
  <c r="B529" i="5"/>
  <c r="B475" i="5"/>
  <c r="C521" i="5"/>
  <c r="C528" i="5"/>
  <c r="C519" i="5"/>
  <c r="C529" i="5"/>
  <c r="C520" i="5"/>
  <c r="C527" i="5"/>
  <c r="C496" i="5"/>
  <c r="C501" i="5"/>
  <c r="D472" i="5"/>
  <c r="D473" i="5" s="1"/>
  <c r="D482" i="5"/>
  <c r="D475" i="5"/>
  <c r="D474" i="5"/>
  <c r="C472" i="5"/>
  <c r="C473" i="5" s="1"/>
  <c r="C482" i="5"/>
  <c r="C478" i="5" s="1"/>
  <c r="B472" i="5"/>
  <c r="B473" i="5" s="1"/>
  <c r="C451" i="5"/>
  <c r="B450" i="5"/>
  <c r="A450" i="5" s="1"/>
  <c r="A451" i="5"/>
  <c r="A449" i="5"/>
  <c r="C449" i="5"/>
  <c r="B448" i="5"/>
  <c r="C448" i="5" s="1"/>
  <c r="C437" i="5"/>
  <c r="C435" i="5"/>
  <c r="A437" i="5"/>
  <c r="B436" i="5"/>
  <c r="A436" i="5" s="1"/>
  <c r="A435" i="5"/>
  <c r="B434" i="5"/>
  <c r="C434" i="5" s="1"/>
  <c r="C420" i="5"/>
  <c r="C418" i="5"/>
  <c r="A420" i="5"/>
  <c r="A418" i="5"/>
  <c r="B417" i="5"/>
  <c r="C417" i="5" s="1"/>
  <c r="B419" i="5" s="1"/>
  <c r="E405" i="5"/>
  <c r="E403" i="5"/>
  <c r="C405" i="5"/>
  <c r="C403" i="5"/>
  <c r="D401" i="5"/>
  <c r="D404" i="5" s="1"/>
  <c r="C389" i="5"/>
  <c r="C390" i="5"/>
  <c r="C388" i="5"/>
  <c r="D386" i="5"/>
  <c r="D388" i="5" s="1"/>
  <c r="B478" i="5" l="1"/>
  <c r="B483" i="5"/>
  <c r="B479" i="5" s="1"/>
  <c r="C505" i="5"/>
  <c r="C497" i="5"/>
  <c r="D483" i="5"/>
  <c r="D479" i="5" s="1"/>
  <c r="D478" i="5"/>
  <c r="C483" i="5"/>
  <c r="C479" i="5" s="1"/>
  <c r="A419" i="5"/>
  <c r="C419" i="5"/>
  <c r="D419" i="5" s="1"/>
  <c r="C436" i="5"/>
  <c r="D435" i="5" s="1"/>
  <c r="C450" i="5"/>
  <c r="D449" i="5" s="1"/>
  <c r="D390" i="5"/>
  <c r="A405" i="5"/>
  <c r="A388" i="5"/>
  <c r="D389" i="5"/>
  <c r="B404" i="5"/>
  <c r="D403" i="5"/>
  <c r="A390" i="5"/>
  <c r="D405" i="5"/>
  <c r="A389" i="5"/>
  <c r="A403" i="5"/>
  <c r="E375" i="5"/>
  <c r="C375" i="5"/>
  <c r="C373" i="5"/>
  <c r="D371" i="5"/>
  <c r="B374" i="5" s="1"/>
  <c r="C374" i="5" s="1"/>
  <c r="D357" i="5"/>
  <c r="D358" i="5"/>
  <c r="D359" i="5"/>
  <c r="D360" i="5"/>
  <c r="D361" i="5"/>
  <c r="D356" i="5"/>
  <c r="D342" i="5"/>
  <c r="D343" i="5"/>
  <c r="D344" i="5"/>
  <c r="D345" i="5"/>
  <c r="D346" i="5"/>
  <c r="D341" i="5"/>
  <c r="E374" i="5" l="1"/>
  <c r="A404" i="5"/>
  <c r="E404" i="5"/>
  <c r="C404" i="5"/>
  <c r="A373" i="5"/>
  <c r="A375" i="5"/>
  <c r="A374" i="5"/>
  <c r="C332" i="5"/>
  <c r="D332" i="5" s="1"/>
  <c r="D331" i="5"/>
  <c r="D333" i="5"/>
  <c r="D330" i="5"/>
  <c r="B331" i="5"/>
  <c r="B332" i="5"/>
  <c r="B333" i="5"/>
  <c r="B330" i="5"/>
  <c r="B312" i="5" l="1"/>
  <c r="B311" i="5"/>
  <c r="B310" i="5"/>
  <c r="B308" i="5"/>
  <c r="B307" i="5"/>
  <c r="B306" i="5"/>
  <c r="B304" i="5"/>
  <c r="B303" i="5"/>
  <c r="B302" i="5"/>
  <c r="D293" i="5" l="1"/>
  <c r="D294" i="5" s="1"/>
  <c r="B280" i="5"/>
  <c r="B285" i="5"/>
  <c r="B266" i="5"/>
  <c r="B289" i="5"/>
  <c r="B290" i="5"/>
  <c r="B288" i="5"/>
  <c r="B286" i="5"/>
  <c r="B284" i="5"/>
  <c r="B281" i="5"/>
  <c r="B282" i="5"/>
  <c r="B267" i="5" l="1"/>
  <c r="B265" i="5"/>
  <c r="B251" i="5"/>
  <c r="B250" i="5"/>
  <c r="B249" i="5"/>
  <c r="B247" i="5"/>
  <c r="B246" i="5"/>
  <c r="B245" i="5"/>
  <c r="B235" i="5"/>
  <c r="B236" i="5"/>
  <c r="B234" i="5"/>
  <c r="B231" i="5"/>
  <c r="B232" i="5"/>
  <c r="B230" i="5"/>
  <c r="B224" i="5"/>
  <c r="B223" i="5"/>
  <c r="B222" i="5"/>
  <c r="B219" i="5"/>
  <c r="B220" i="5"/>
  <c r="B218" i="5"/>
  <c r="B215" i="5"/>
  <c r="B216" i="5"/>
  <c r="B214" i="5"/>
  <c r="B206" i="5"/>
  <c r="B207" i="5"/>
  <c r="B205" i="5"/>
  <c r="B202" i="5"/>
  <c r="B203" i="5"/>
  <c r="B201" i="5"/>
  <c r="B198" i="5"/>
  <c r="B199" i="5"/>
  <c r="B197" i="5"/>
  <c r="B191" i="5" l="1"/>
  <c r="B192" i="5"/>
  <c r="B190" i="5"/>
  <c r="B187" i="5"/>
  <c r="B188" i="5"/>
  <c r="B186" i="5"/>
  <c r="B183" i="5"/>
  <c r="B184" i="5"/>
  <c r="B182" i="5"/>
  <c r="B171" i="5"/>
  <c r="B172" i="5"/>
  <c r="B170" i="5"/>
  <c r="B167" i="5"/>
  <c r="B168" i="5"/>
  <c r="B166" i="5"/>
  <c r="B160" i="5"/>
  <c r="B161" i="5"/>
  <c r="B159" i="5"/>
  <c r="B156" i="5"/>
  <c r="B157" i="5"/>
  <c r="B155" i="5"/>
  <c r="B152" i="5"/>
  <c r="B153" i="5"/>
  <c r="B151" i="5"/>
  <c r="B145" i="5" l="1"/>
  <c r="B146" i="5"/>
  <c r="B144" i="5"/>
  <c r="B141" i="5"/>
  <c r="B142" i="5"/>
  <c r="B140" i="5"/>
  <c r="B137" i="5"/>
  <c r="B138" i="5"/>
  <c r="B136" i="5"/>
  <c r="B129" i="5"/>
  <c r="B130" i="5"/>
  <c r="B128" i="5"/>
  <c r="B125" i="5"/>
  <c r="B126" i="5"/>
  <c r="B124" i="5"/>
  <c r="B121" i="5"/>
  <c r="B122" i="5"/>
  <c r="B120" i="5"/>
  <c r="B113" i="5"/>
  <c r="B114" i="5"/>
  <c r="B112" i="5"/>
  <c r="B109" i="5"/>
  <c r="B110" i="5"/>
  <c r="B108" i="5"/>
  <c r="B105" i="5"/>
  <c r="B106" i="5"/>
  <c r="B104" i="5"/>
  <c r="B99" i="5"/>
  <c r="B100" i="5"/>
  <c r="B98" i="5"/>
  <c r="B95" i="5"/>
  <c r="B96" i="5"/>
  <c r="B94" i="5"/>
  <c r="B91" i="5"/>
  <c r="B92" i="5"/>
  <c r="B90" i="5"/>
  <c r="B87" i="5"/>
  <c r="B88" i="5"/>
  <c r="B86" i="5"/>
  <c r="B83" i="5"/>
  <c r="B84" i="5"/>
  <c r="B82" i="5"/>
  <c r="B77" i="5"/>
  <c r="B78" i="5"/>
  <c r="B76" i="5"/>
  <c r="B73" i="5"/>
  <c r="B74" i="5"/>
  <c r="B72" i="5"/>
  <c r="B69" i="5"/>
  <c r="B70" i="5"/>
  <c r="B68" i="5"/>
  <c r="B65" i="5"/>
  <c r="B66" i="5"/>
  <c r="B64" i="5"/>
  <c r="B61" i="5"/>
  <c r="B62" i="5"/>
  <c r="B60" i="5"/>
  <c r="B55" i="5"/>
  <c r="B56" i="5"/>
  <c r="B54" i="5"/>
  <c r="B51" i="5"/>
  <c r="B52" i="5"/>
  <c r="B50" i="5"/>
  <c r="B47" i="5"/>
  <c r="B48" i="5"/>
  <c r="B46" i="5"/>
  <c r="B43" i="5"/>
  <c r="B44" i="5"/>
  <c r="B42" i="5"/>
  <c r="B40" i="5"/>
  <c r="B39" i="5"/>
  <c r="B38" i="5"/>
  <c r="B31" i="5"/>
  <c r="B32" i="5"/>
  <c r="B30" i="5"/>
  <c r="B27" i="5"/>
  <c r="B28" i="5"/>
  <c r="B26" i="5"/>
  <c r="B24" i="5"/>
  <c r="B23" i="5"/>
  <c r="B22" i="5"/>
  <c r="B12" i="5"/>
  <c r="B13" i="5"/>
  <c r="B11" i="5"/>
  <c r="B8" i="5"/>
  <c r="B9" i="5"/>
  <c r="B7" i="5"/>
  <c r="B4" i="5"/>
  <c r="B5" i="5"/>
  <c r="B3" i="5"/>
  <c r="A431" i="4" l="1"/>
  <c r="A432" i="4"/>
  <c r="A430" i="4"/>
  <c r="A412" i="4"/>
  <c r="A413" i="4"/>
  <c r="A411" i="4"/>
  <c r="A394" i="4" l="1"/>
  <c r="A395" i="4"/>
  <c r="A393" i="4"/>
  <c r="A374" i="4"/>
  <c r="A375" i="4"/>
  <c r="A373" i="4"/>
  <c r="B350" i="4"/>
  <c r="A353" i="4" s="1"/>
  <c r="A335" i="4"/>
  <c r="A336" i="4"/>
  <c r="A337" i="4"/>
  <c r="A334" i="4"/>
  <c r="A315" i="4"/>
  <c r="A316" i="4"/>
  <c r="A317" i="4"/>
  <c r="A314" i="4"/>
  <c r="A356" i="4" l="1"/>
  <c r="A355" i="4"/>
  <c r="A354" i="4"/>
  <c r="A298" i="4"/>
  <c r="A299" i="4"/>
  <c r="A300" i="4"/>
  <c r="A297" i="4"/>
  <c r="A281" i="4"/>
  <c r="A282" i="4"/>
  <c r="A279" i="4"/>
  <c r="A280" i="4"/>
  <c r="B260" i="4" l="1"/>
  <c r="A263" i="4" s="1"/>
  <c r="A262" i="4" l="1"/>
  <c r="D242" i="4"/>
  <c r="C245" i="4" s="1"/>
  <c r="B242" i="4"/>
  <c r="A244" i="4" s="1"/>
  <c r="C226" i="4"/>
  <c r="A226" i="4"/>
  <c r="C225" i="4"/>
  <c r="A225" i="4"/>
  <c r="C207" i="4"/>
  <c r="C208" i="4"/>
  <c r="C209" i="4"/>
  <c r="C206" i="4"/>
  <c r="B204" i="4"/>
  <c r="A209" i="4" s="1"/>
  <c r="C244" i="4" l="1"/>
  <c r="A208" i="4"/>
  <c r="A206" i="4"/>
  <c r="A207" i="4"/>
  <c r="A245" i="4"/>
  <c r="A189" i="4"/>
  <c r="A193" i="4"/>
  <c r="A192" i="4"/>
  <c r="A191" i="4"/>
  <c r="A190" i="4"/>
  <c r="A188" i="4"/>
  <c r="D186" i="4"/>
  <c r="C190" i="4" s="1"/>
  <c r="C193" i="4" l="1"/>
  <c r="C189" i="4"/>
  <c r="C192" i="4"/>
  <c r="C191" i="4"/>
  <c r="C188" i="4"/>
  <c r="B140" i="4"/>
  <c r="B137" i="4"/>
  <c r="B138" i="4"/>
  <c r="B139" i="4"/>
  <c r="B136" i="4"/>
  <c r="C134" i="4"/>
  <c r="C140" i="4" s="1"/>
  <c r="B117" i="4"/>
  <c r="C120" i="4" s="1"/>
  <c r="C136" i="4" l="1"/>
  <c r="C137" i="4"/>
  <c r="C139" i="4"/>
  <c r="B120" i="4"/>
  <c r="C121" i="4"/>
  <c r="B122" i="4"/>
  <c r="B119" i="4"/>
  <c r="C119" i="4"/>
  <c r="B121" i="4"/>
  <c r="C138" i="4"/>
  <c r="C122" i="4"/>
  <c r="B105" i="4"/>
  <c r="C105" i="4"/>
  <c r="C107" i="4"/>
  <c r="C108" i="4"/>
  <c r="B107" i="4"/>
  <c r="B108" i="4"/>
  <c r="B88" i="4" l="1"/>
  <c r="B89" i="4"/>
  <c r="B90" i="4"/>
  <c r="B91" i="4"/>
  <c r="B92" i="4"/>
  <c r="B87" i="4"/>
  <c r="B71" i="4"/>
  <c r="B76" i="4"/>
  <c r="B72" i="4"/>
  <c r="B73" i="4"/>
  <c r="B74" i="4"/>
  <c r="B75" i="4"/>
  <c r="B37" i="4" l="1"/>
  <c r="B54" i="4"/>
  <c r="B55" i="4"/>
  <c r="B56" i="4"/>
  <c r="B57" i="4"/>
  <c r="B58" i="4"/>
  <c r="B53" i="4"/>
  <c r="B38" i="4"/>
  <c r="B39" i="4"/>
  <c r="B40" i="4"/>
  <c r="B41" i="4"/>
  <c r="B42" i="4"/>
  <c r="B22" i="4"/>
  <c r="B23" i="4"/>
  <c r="B24" i="4"/>
  <c r="B25" i="4"/>
  <c r="B26" i="4"/>
  <c r="B21" i="4"/>
  <c r="B8" i="4"/>
  <c r="B7" i="4"/>
  <c r="B6" i="4"/>
  <c r="B5" i="4"/>
  <c r="B4" i="4"/>
  <c r="B3" i="4"/>
  <c r="C3" i="3"/>
  <c r="D3" i="3"/>
  <c r="E3" i="3" s="1"/>
  <c r="F3" i="3" s="1"/>
  <c r="C4" i="3"/>
  <c r="E4" i="3" s="1"/>
  <c r="F4" i="3" s="1"/>
  <c r="D4" i="3"/>
  <c r="D20" i="3"/>
  <c r="D21" i="3"/>
  <c r="D25" i="3"/>
  <c r="B4" i="3" l="1"/>
  <c r="D10" i="3"/>
  <c r="D11" i="3" s="1"/>
  <c r="D12" i="3" s="1"/>
  <c r="D13" i="3" s="1"/>
  <c r="D14" i="3" s="1"/>
  <c r="D15" i="3" s="1"/>
  <c r="D16" i="3" s="1"/>
  <c r="B10" i="3"/>
  <c r="B11" i="3" s="1"/>
  <c r="B12" i="3" s="1"/>
  <c r="B13" i="3" s="1"/>
  <c r="B14" i="3" s="1"/>
  <c r="B15" i="3" s="1"/>
  <c r="B16" i="3" s="1"/>
  <c r="B3" i="3"/>
  <c r="D182" i="2"/>
  <c r="E182" i="2" s="1"/>
  <c r="F182" i="2" s="1"/>
  <c r="D181" i="2"/>
  <c r="E181" i="2" s="1"/>
  <c r="F181" i="2" s="1"/>
  <c r="D180" i="2"/>
  <c r="E180" i="2" s="1"/>
  <c r="F180" i="2" s="1"/>
  <c r="D179" i="2"/>
  <c r="E179" i="2" s="1"/>
  <c r="F179" i="2" s="1"/>
  <c r="D178" i="2"/>
  <c r="E178" i="2" s="1"/>
  <c r="F178" i="2" s="1"/>
  <c r="E161" i="2"/>
  <c r="C162" i="2"/>
  <c r="C163" i="2"/>
  <c r="C164" i="2"/>
  <c r="D164" i="2" s="1"/>
  <c r="C165" i="2"/>
  <c r="D165" i="2" s="1"/>
  <c r="E165" i="2" s="1"/>
  <c r="C161" i="2"/>
  <c r="D161" i="2" s="1"/>
  <c r="D163" i="2"/>
  <c r="D162" i="2"/>
  <c r="D149" i="2"/>
  <c r="E149" i="2" s="1"/>
  <c r="F149" i="2" s="1"/>
  <c r="D148" i="2"/>
  <c r="E148" i="2" s="1"/>
  <c r="F148" i="2" s="1"/>
  <c r="D147" i="2"/>
  <c r="E147" i="2" s="1"/>
  <c r="F147" i="2" s="1"/>
  <c r="D146" i="2"/>
  <c r="E146" i="2" s="1"/>
  <c r="F146" i="2" s="1"/>
  <c r="D145" i="2"/>
  <c r="E145" i="2" s="1"/>
  <c r="F145" i="2" s="1"/>
  <c r="E164" i="2" l="1"/>
  <c r="F164" i="2" s="1"/>
  <c r="E162" i="2"/>
  <c r="F162" i="2" s="1"/>
  <c r="F163" i="2"/>
  <c r="F161" i="2"/>
  <c r="E163" i="2"/>
  <c r="F165" i="2"/>
  <c r="D133" i="2"/>
  <c r="E133" i="2" s="1"/>
  <c r="F133" i="2" s="1"/>
  <c r="D132" i="2"/>
  <c r="E132" i="2" s="1"/>
  <c r="F132" i="2" s="1"/>
  <c r="D131" i="2"/>
  <c r="E131" i="2" s="1"/>
  <c r="F131" i="2" s="1"/>
  <c r="D130" i="2"/>
  <c r="E130" i="2" s="1"/>
  <c r="F130" i="2" s="1"/>
  <c r="D129" i="2"/>
  <c r="E129" i="2" s="1"/>
  <c r="F129" i="2" s="1"/>
  <c r="D112" i="2"/>
  <c r="C113" i="2"/>
  <c r="C114" i="2"/>
  <c r="D114" i="2" s="1"/>
  <c r="C115" i="2"/>
  <c r="D115" i="2" s="1"/>
  <c r="E115" i="2" s="1"/>
  <c r="F115" i="2" s="1"/>
  <c r="C116" i="2"/>
  <c r="D116" i="2" s="1"/>
  <c r="E116" i="2" s="1"/>
  <c r="F116" i="2" s="1"/>
  <c r="C112" i="2"/>
  <c r="D113" i="2"/>
  <c r="E113" i="2" s="1"/>
  <c r="F113" i="2" s="1"/>
  <c r="D95" i="2"/>
  <c r="E95" i="2" s="1"/>
  <c r="F95" i="2" s="1"/>
  <c r="D96" i="2"/>
  <c r="E96" i="2" s="1"/>
  <c r="F96" i="2" s="1"/>
  <c r="D97" i="2"/>
  <c r="E97" i="2" s="1"/>
  <c r="F97" i="2" s="1"/>
  <c r="D98" i="2"/>
  <c r="E98" i="2" s="1"/>
  <c r="F98" i="2" s="1"/>
  <c r="D94" i="2"/>
  <c r="E94" i="2" s="1"/>
  <c r="F94" i="2" s="1"/>
  <c r="E69" i="2"/>
  <c r="E70" i="2"/>
  <c r="E73" i="2"/>
  <c r="E74" i="2"/>
  <c r="E75" i="2"/>
  <c r="E76" i="2"/>
  <c r="E77" i="2"/>
  <c r="E72" i="2"/>
  <c r="E71" i="2"/>
  <c r="E114" i="2" l="1"/>
  <c r="F114" i="2" s="1"/>
  <c r="E112" i="2"/>
  <c r="F112" i="2" s="1"/>
  <c r="K35" i="1"/>
  <c r="G25" i="1"/>
  <c r="K26" i="1" s="1"/>
  <c r="G26" i="1"/>
  <c r="G27" i="1"/>
  <c r="G28" i="1"/>
  <c r="G29" i="1"/>
  <c r="G30" i="1"/>
  <c r="G31" i="1"/>
  <c r="G32" i="1"/>
  <c r="G33" i="1"/>
  <c r="K34" i="1" s="1"/>
  <c r="G34" i="1"/>
  <c r="G35" i="1"/>
  <c r="G36" i="1"/>
  <c r="G37" i="1"/>
  <c r="K38" i="1" s="1"/>
  <c r="G38" i="1"/>
  <c r="G39" i="1"/>
  <c r="G40" i="1"/>
  <c r="G24" i="1"/>
  <c r="K25" i="1" s="1"/>
  <c r="K27" i="1"/>
  <c r="K28" i="1"/>
  <c r="K30" i="1"/>
  <c r="K31" i="1"/>
  <c r="K36" i="1"/>
  <c r="K39" i="1"/>
  <c r="K40" i="1"/>
  <c r="J25" i="1"/>
  <c r="J26" i="1"/>
  <c r="J27" i="1"/>
  <c r="J28" i="1"/>
  <c r="J29" i="1"/>
  <c r="J30" i="1"/>
  <c r="J31" i="1"/>
  <c r="J32" i="1"/>
  <c r="J33" i="1"/>
  <c r="J34" i="1"/>
  <c r="J35" i="1"/>
  <c r="J36" i="1"/>
  <c r="J37" i="1"/>
  <c r="J38" i="1"/>
  <c r="J39" i="1"/>
  <c r="J40" i="1"/>
  <c r="I25" i="1"/>
  <c r="I26" i="1"/>
  <c r="I27" i="1"/>
  <c r="I28" i="1"/>
  <c r="I29" i="1"/>
  <c r="I30" i="1"/>
  <c r="I31" i="1"/>
  <c r="I32" i="1"/>
  <c r="I33" i="1"/>
  <c r="I34" i="1"/>
  <c r="I35" i="1"/>
  <c r="I36" i="1"/>
  <c r="I37" i="1"/>
  <c r="I38" i="1"/>
  <c r="I39" i="1"/>
  <c r="I40" i="1"/>
  <c r="H27" i="1"/>
  <c r="H26" i="1"/>
  <c r="H28" i="1"/>
  <c r="H29" i="1"/>
  <c r="H30" i="1"/>
  <c r="H31" i="1"/>
  <c r="H32" i="1"/>
  <c r="H33" i="1"/>
  <c r="H34" i="1"/>
  <c r="H35" i="1"/>
  <c r="H36" i="1"/>
  <c r="H37" i="1"/>
  <c r="H38" i="1"/>
  <c r="H39" i="1"/>
  <c r="H40" i="1"/>
  <c r="H25" i="1"/>
  <c r="B3" i="1"/>
  <c r="C3" i="1"/>
  <c r="A3" i="1"/>
  <c r="K33" i="1" l="1"/>
  <c r="K32" i="1"/>
  <c r="K37" i="1"/>
  <c r="K29" i="1"/>
</calcChain>
</file>

<file path=xl/sharedStrings.xml><?xml version="1.0" encoding="utf-8"?>
<sst xmlns="http://schemas.openxmlformats.org/spreadsheetml/2006/main" count="946" uniqueCount="373">
  <si>
    <t>Deflactor implícito del PIB</t>
  </si>
  <si>
    <t>Banco de México</t>
  </si>
  <si>
    <t>Fecha de consulta: 08/10/2019 12:12:53</t>
  </si>
  <si>
    <t>Título</t>
  </si>
  <si>
    <t>Variación de Existencias, A precios constantes, Cálculo Anual</t>
  </si>
  <si>
    <t>Periodo disponible</t>
  </si>
  <si>
    <t>1988 - 2004</t>
  </si>
  <si>
    <t>Periodicidad</t>
  </si>
  <si>
    <t>Anual</t>
  </si>
  <si>
    <t>Cifra</t>
  </si>
  <si>
    <t>Flujos Constantes</t>
  </si>
  <si>
    <t>Unidad</t>
  </si>
  <si>
    <t>Millones de Pesos</t>
  </si>
  <si>
    <t>Base</t>
  </si>
  <si>
    <t>1993</t>
  </si>
  <si>
    <t>Aviso</t>
  </si>
  <si>
    <t>Tipo de información</t>
  </si>
  <si>
    <t>Fecha</t>
  </si>
  <si>
    <t>SR928</t>
  </si>
  <si>
    <t>Fecha de consulta: 08/10/2019 12:14:05</t>
  </si>
  <si>
    <t>Formación Bruta de Capital Fijo, A precios constantes, Cálculo Anual</t>
  </si>
  <si>
    <t>SR927</t>
  </si>
  <si>
    <t>Fecha de consulta: 08/10/2019 12:15:22</t>
  </si>
  <si>
    <t>Producto Interno Bruto Total, A precios constantes, Cálculo Anual</t>
  </si>
  <si>
    <t>SR9</t>
  </si>
  <si>
    <t xml:space="preserve">https://www.banxico.org.mx/SieInternet/consultarDirectorioInternetAction.do?sector=2&amp;accion=consultarCuadro&amp;idCuadro=CR72&amp;locale=es </t>
  </si>
  <si>
    <t>Precio($)</t>
  </si>
  <si>
    <t>Cantidad de playeras</t>
  </si>
  <si>
    <t>P</t>
  </si>
  <si>
    <t>a</t>
  </si>
  <si>
    <t>b</t>
  </si>
  <si>
    <t>bP</t>
  </si>
  <si>
    <t>a-bP</t>
  </si>
  <si>
    <t>Q</t>
  </si>
  <si>
    <t>Demanda de un bien X</t>
  </si>
  <si>
    <t>3.9</t>
  </si>
  <si>
    <t>3.10</t>
  </si>
  <si>
    <t>c</t>
  </si>
  <si>
    <t>d</t>
  </si>
  <si>
    <t>dP</t>
  </si>
  <si>
    <t>c+dP</t>
  </si>
  <si>
    <t>3.11</t>
  </si>
  <si>
    <t>93+0=93=93+0</t>
  </si>
  <si>
    <t>La identidad del ingreso-producto está dada por la asociación del valor de los bienes de consumo en relación con el ahorro por parte de las familias y con la inversión por parte de las unidades productoras, dado el supuesto de la ausencia de ahorro e inversión,  ya que las familias gastan todo su ingreso y las empresas el total de sus propios fondos dinerarios, a la vez que los bienes intermedios y de capital sólo duran un periodo y deben reponerse al inicio del siguiente periodo.</t>
  </si>
  <si>
    <t>C+S=Y=P=C+I</t>
  </si>
  <si>
    <t>d)</t>
  </si>
  <si>
    <t>El valor de los bienes de consumo es equivalente al ingreso social, dados los supuestos de que las familias gastan todo su ingreso, el ingreso social es equivalente al costo de los servicios de los factores productivos y éste se convierte en el ingreso de las unidades productoras posterior al consumo de bienes y servicios.</t>
  </si>
  <si>
    <t>C=Y=93</t>
  </si>
  <si>
    <t>c)</t>
  </si>
  <si>
    <t xml:space="preserve">dada la identidad del ingreso-producto y la equivalencia entre el valor de los bienes de consumo y el total de la producción, el valor monetario del flujo nominal es igual al resultado de la identidad ingreso-producto </t>
  </si>
  <si>
    <t>Y=C+S</t>
  </si>
  <si>
    <t>b)</t>
  </si>
  <si>
    <t>el valor de los insumos (12 u.m.) se toma como equivalente de los bienes intermedios y el valor del costo de los servicios de los factores productivos (93 u.m.) se toma como el valor de los bienes finales producidos en la economía.</t>
  </si>
  <si>
    <t>El valor monetario del total de la producción, incluyendo Bienes finales e intermedios es igual al valor bruto de la producción</t>
  </si>
  <si>
    <t>VBP=BI+BF</t>
  </si>
  <si>
    <t>a)</t>
  </si>
  <si>
    <t>167+0=167=167+0</t>
  </si>
  <si>
    <t>La identidad del ingreso-producto está dada por la asociación del valor de los bienes de consumo en relación con el ahorro por parte de las familias y con la inversión por parte de las unidades productoras, dado el supuesto de la ausencia de ahorro e inversión, ya que las familias gastan todo su ingreso y las empresas el total de sus propios fondos dinerarios, a la vez que los bienes intermedios y de capital sólo duran un periodo y deben reponerse al inicio del siguiente periodo.</t>
  </si>
  <si>
    <t>En este caso, dados los supuestos, el consumo de las familias es igual a su ingreso, es decir el valor de los bienes de consumo es igual al ingreso de las familias dados los supuestos de que las familias gastan todo su ingreso y no ahorran</t>
  </si>
  <si>
    <t>C=Y=167</t>
  </si>
  <si>
    <t>En este caso el ingreso social está dado por el valor del costo de los servicios de los factores productivos, lo que a su vez equivale al valor de los bienes intermedios, dados los supuestos las familias no ahorran y gastan todo su ingreso</t>
  </si>
  <si>
    <t xml:space="preserve">El ingreso social está dado por la suma del gasto de consumo y el ahorro </t>
  </si>
  <si>
    <t>dónde el valor de los bienes finales es igual al costo de los servicios de los factores productivos</t>
  </si>
  <si>
    <t>el valor bruto de la producción es igual a la suma de bienes intermedios y bienes finales</t>
  </si>
  <si>
    <t>Cambio de 297 a 240</t>
  </si>
  <si>
    <t xml:space="preserve">Cambio de 240 a 297, </t>
  </si>
  <si>
    <t>PIB</t>
  </si>
  <si>
    <t>t</t>
  </si>
  <si>
    <t>r</t>
  </si>
  <si>
    <t>Cantidad</t>
  </si>
  <si>
    <t>Q=10+3P</t>
  </si>
  <si>
    <t>Q=-10+3P</t>
  </si>
  <si>
    <t>Q=-5+1/2P</t>
  </si>
  <si>
    <t>Q=5+1/2P</t>
  </si>
  <si>
    <t>Q=300-P</t>
  </si>
  <si>
    <t>Q=300-1/2P</t>
  </si>
  <si>
    <t>3.20</t>
  </si>
  <si>
    <t>Ingreso (Y)</t>
  </si>
  <si>
    <t>Consumo (C)</t>
  </si>
  <si>
    <t>C</t>
  </si>
  <si>
    <t>Y</t>
  </si>
  <si>
    <t>C'</t>
  </si>
  <si>
    <t>C autónomo</t>
  </si>
  <si>
    <t>pMC</t>
  </si>
  <si>
    <t>C=Co+4/5Y</t>
  </si>
  <si>
    <t>C=Co+0.75Y</t>
  </si>
  <si>
    <t>C=Co+0.34Y</t>
  </si>
  <si>
    <t>C=Co+1/4Y</t>
  </si>
  <si>
    <t>C=10+0.45Y</t>
  </si>
  <si>
    <t>C’=20+0.45Y</t>
  </si>
  <si>
    <t>C_1=400+6/10 Y</t>
  </si>
  <si>
    <t>C_2=800+15/100 Y</t>
  </si>
  <si>
    <t>C=1000+0.6(Y)</t>
  </si>
  <si>
    <t>QD=145-0.5(P)</t>
  </si>
  <si>
    <t>Precio (P)</t>
  </si>
  <si>
    <t>QD=280-5(P)</t>
  </si>
  <si>
    <t>QD=87-7.5(P)</t>
  </si>
  <si>
    <t>QD=416-0.8(P)</t>
  </si>
  <si>
    <t>QD=342-(5/4)P</t>
  </si>
  <si>
    <t>3,40</t>
  </si>
  <si>
    <t>Y1</t>
  </si>
  <si>
    <t>C1</t>
  </si>
  <si>
    <t>PMgC</t>
  </si>
  <si>
    <t>C=34+0.4(Y)</t>
  </si>
  <si>
    <t>C=52.5+0.7(Y)</t>
  </si>
  <si>
    <t>C=98+0.8(Y)</t>
  </si>
  <si>
    <t>C=15+0.9(Y)</t>
  </si>
  <si>
    <t>y</t>
  </si>
  <si>
    <t>x</t>
  </si>
  <si>
    <t>4,20</t>
  </si>
  <si>
    <t>4,21</t>
  </si>
  <si>
    <t>e</t>
  </si>
  <si>
    <t>4,22</t>
  </si>
  <si>
    <t>4,23</t>
  </si>
  <si>
    <t>DA</t>
  </si>
  <si>
    <t>A</t>
  </si>
  <si>
    <t>Distancia</t>
  </si>
  <si>
    <t>4,50</t>
  </si>
  <si>
    <t>G</t>
  </si>
  <si>
    <r>
      <t>I</t>
    </r>
    <r>
      <rPr>
        <sz val="8"/>
        <color theme="1"/>
        <rFont val="Calibri"/>
        <family val="2"/>
        <scheme val="minor"/>
      </rPr>
      <t>0</t>
    </r>
    <r>
      <rPr>
        <sz val="11"/>
        <color theme="1"/>
        <rFont val="Calibri"/>
        <family val="2"/>
        <scheme val="minor"/>
      </rPr>
      <t>+C</t>
    </r>
    <r>
      <rPr>
        <sz val="8"/>
        <color theme="1"/>
        <rFont val="Calibri"/>
        <family val="2"/>
        <scheme val="minor"/>
      </rPr>
      <t>0</t>
    </r>
  </si>
  <si>
    <t>Equilibrio</t>
  </si>
  <si>
    <t>450=150+200+0,5*450</t>
  </si>
  <si>
    <t>4,51</t>
  </si>
  <si>
    <t>Situación 1</t>
  </si>
  <si>
    <t>Situación 2</t>
  </si>
  <si>
    <t>4,52</t>
  </si>
  <si>
    <t>4,62</t>
  </si>
  <si>
    <t>X</t>
  </si>
  <si>
    <t>M</t>
  </si>
  <si>
    <t>X-M</t>
  </si>
  <si>
    <t>4,63</t>
  </si>
  <si>
    <t>Io</t>
  </si>
  <si>
    <t>Co</t>
  </si>
  <si>
    <t>4,64</t>
  </si>
  <si>
    <t>4,65</t>
  </si>
  <si>
    <t>4,66</t>
  </si>
  <si>
    <t>4,69</t>
  </si>
  <si>
    <t>4,70</t>
  </si>
  <si>
    <t>4,71</t>
  </si>
  <si>
    <t>m</t>
  </si>
  <si>
    <t>Mo</t>
  </si>
  <si>
    <t>Xo</t>
  </si>
  <si>
    <t>Go</t>
  </si>
  <si>
    <t>4,77</t>
  </si>
  <si>
    <t>Multiplicador de la inversión</t>
  </si>
  <si>
    <t>C Equilibrio</t>
  </si>
  <si>
    <t>YND</t>
  </si>
  <si>
    <t>M Equilibrio</t>
  </si>
  <si>
    <t>G Equilibrio</t>
  </si>
  <si>
    <t>4,78</t>
  </si>
  <si>
    <t>4,79</t>
  </si>
  <si>
    <t>Proporción</t>
  </si>
  <si>
    <t>Y Equilibrio</t>
  </si>
  <si>
    <t>4,81</t>
  </si>
  <si>
    <t>4,82</t>
  </si>
  <si>
    <t>4,83</t>
  </si>
  <si>
    <t>c*Y</t>
  </si>
  <si>
    <t>Go+Io</t>
  </si>
  <si>
    <t>4,84</t>
  </si>
  <si>
    <t>1200=0.65(1-t)1200-0.25(1200)+A</t>
  </si>
  <si>
    <t>m*Y</t>
  </si>
  <si>
    <t>=(DA-cY-mY)</t>
  </si>
  <si>
    <t>1500=0.65(1-t)1200+A</t>
  </si>
  <si>
    <t>1500=780(1-t)+A</t>
  </si>
  <si>
    <t>1500=780-780t+A</t>
  </si>
  <si>
    <t>720=-780t+A</t>
  </si>
  <si>
    <t>720+780t=A</t>
  </si>
  <si>
    <t>1200-780+300=-780t+A</t>
  </si>
  <si>
    <t>1200-cy+my=-cyt+A</t>
  </si>
  <si>
    <t>Se puede asignar cualquier valor a t y, por su relación con A dentro de la fórmula el resultado se mantiene en la estimación de equilibrio.</t>
  </si>
  <si>
    <t>1200=1/(1-[c(1-t)-m])+A</t>
  </si>
  <si>
    <t>1200=1/(1-[0.65(1-t)-0.25])+A</t>
  </si>
  <si>
    <t>1200=1/(1-[0.65-0.65t-0.25])+A</t>
  </si>
  <si>
    <t>1200=1/(1-[0.4-0.65t])+A</t>
  </si>
  <si>
    <t>A=1200/1/1/(0.6+0.65t)</t>
  </si>
  <si>
    <t>1200=1/(0.6+0.65t)+A</t>
  </si>
  <si>
    <t>A=1200(0.6+0.65t)</t>
  </si>
  <si>
    <t>A=720+780t</t>
  </si>
  <si>
    <t>4,85      4,86</t>
  </si>
  <si>
    <t>4,87</t>
  </si>
  <si>
    <t>I</t>
  </si>
  <si>
    <t>c(1-t)Y-(Mo-mY)+Xo+I+Go+Co</t>
  </si>
  <si>
    <t>c(1-t)Y</t>
  </si>
  <si>
    <t>Go+Co</t>
  </si>
  <si>
    <t>Go+Co+I+Xo-Mo</t>
  </si>
  <si>
    <t>MultInv*A</t>
  </si>
  <si>
    <t>MultInv</t>
  </si>
  <si>
    <t>(Mo+mY)</t>
  </si>
  <si>
    <t>Xo+I-Mo</t>
  </si>
  <si>
    <t>Y/MultInv</t>
  </si>
  <si>
    <t>4,88</t>
  </si>
  <si>
    <t>5,1</t>
  </si>
  <si>
    <t>Qd=12-Px</t>
  </si>
  <si>
    <t>Qd</t>
  </si>
  <si>
    <t>Px</t>
  </si>
  <si>
    <t>5,2</t>
  </si>
  <si>
    <t>Qd=12-2Px</t>
  </si>
  <si>
    <t>5,3</t>
  </si>
  <si>
    <t>Qd=12-0.5Px</t>
  </si>
  <si>
    <t>5,4</t>
  </si>
  <si>
    <t>5,5</t>
  </si>
  <si>
    <t>Qd=150-(1/3)Px</t>
  </si>
  <si>
    <t>5,6</t>
  </si>
  <si>
    <t>Qd=150-8Px</t>
  </si>
  <si>
    <t>5,7</t>
  </si>
  <si>
    <t>Qd=150-Px</t>
  </si>
  <si>
    <t>5,8</t>
  </si>
  <si>
    <t>Qd=65-0.25Px</t>
  </si>
  <si>
    <t>5,9</t>
  </si>
  <si>
    <t>5,10</t>
  </si>
  <si>
    <t>Qd=65-Px</t>
  </si>
  <si>
    <t>5,11</t>
  </si>
  <si>
    <t>Qd=65-6.5Px</t>
  </si>
  <si>
    <t>5,12</t>
  </si>
  <si>
    <t>Qd=24-(1/4)Px</t>
  </si>
  <si>
    <t>5,13</t>
  </si>
  <si>
    <t>Qd=32-(1/4)Px</t>
  </si>
  <si>
    <t>5,14</t>
  </si>
  <si>
    <t>Qd=44-(1/4)Px</t>
  </si>
  <si>
    <t>5,15</t>
  </si>
  <si>
    <t>5,16</t>
  </si>
  <si>
    <t>Qd=50-0.5Px</t>
  </si>
  <si>
    <t>5,17</t>
  </si>
  <si>
    <t>Qd=75-0.5Px</t>
  </si>
  <si>
    <t>5,18</t>
  </si>
  <si>
    <t>Qd=30-0.5Px</t>
  </si>
  <si>
    <t>5,19</t>
  </si>
  <si>
    <t>5,20</t>
  </si>
  <si>
    <t>Qd=80-2Px</t>
  </si>
  <si>
    <t>5,21</t>
  </si>
  <si>
    <t>Qd=120-2Px</t>
  </si>
  <si>
    <t>5,22</t>
  </si>
  <si>
    <t>Qd=160-2Px</t>
  </si>
  <si>
    <t>5,23</t>
  </si>
  <si>
    <t>5,24</t>
  </si>
  <si>
    <t>Qd=4-2Px</t>
  </si>
  <si>
    <t>QD=120-60Px</t>
  </si>
  <si>
    <t>QD=100-20Px</t>
  </si>
  <si>
    <t>Qd=20-4Px</t>
  </si>
  <si>
    <t>5,25</t>
  </si>
  <si>
    <t>Qd=12-3Px</t>
  </si>
  <si>
    <t>QD=300-75Px</t>
  </si>
  <si>
    <t>5,26</t>
  </si>
  <si>
    <t>5,27</t>
  </si>
  <si>
    <t>Qd=45-0.5Px</t>
  </si>
  <si>
    <t>QD=180-2Px</t>
  </si>
  <si>
    <t>5,28</t>
  </si>
  <si>
    <t>Qd=70-0.1Px</t>
  </si>
  <si>
    <t>QD=700-Px</t>
  </si>
  <si>
    <t>5,29</t>
  </si>
  <si>
    <t>Qd=22-0.2Px</t>
  </si>
  <si>
    <t>QD=2640-24Px</t>
  </si>
  <si>
    <t>5,30</t>
  </si>
  <si>
    <t>Qd=14-(1/4)Px</t>
  </si>
  <si>
    <t>QD=1190-21.25Px</t>
  </si>
  <si>
    <t>5,31</t>
  </si>
  <si>
    <t>Qd=30-3Px</t>
  </si>
  <si>
    <t>QD=6300-630Px</t>
  </si>
  <si>
    <t>5,32</t>
  </si>
  <si>
    <t>Qd=10-(4/5)Px</t>
  </si>
  <si>
    <t>QD=520-41.6Px</t>
  </si>
  <si>
    <t>5,33</t>
  </si>
  <si>
    <t>QD=4000-800Px</t>
  </si>
  <si>
    <r>
      <t xml:space="preserve">5,33 </t>
    </r>
    <r>
      <rPr>
        <b/>
        <i/>
        <sz val="11"/>
        <color theme="1"/>
        <rFont val="Calibri"/>
        <family val="2"/>
        <scheme val="minor"/>
      </rPr>
      <t>bis</t>
    </r>
  </si>
  <si>
    <t>Qd=265-(3/2)Px</t>
  </si>
  <si>
    <r>
      <t xml:space="preserve">5,33 </t>
    </r>
    <r>
      <rPr>
        <b/>
        <i/>
        <sz val="11"/>
        <color theme="1"/>
        <rFont val="Calibri"/>
        <family val="2"/>
        <scheme val="minor"/>
      </rPr>
      <t>tris</t>
    </r>
  </si>
  <si>
    <t>Qd=397.5-(3/2)Px</t>
  </si>
  <si>
    <t>5,34</t>
  </si>
  <si>
    <t>Qs=-4+2Px</t>
  </si>
  <si>
    <t>Qs</t>
  </si>
  <si>
    <t>5,35</t>
  </si>
  <si>
    <t>Qs=-4+0.5Px</t>
  </si>
  <si>
    <t>5,36</t>
  </si>
  <si>
    <t>5,37</t>
  </si>
  <si>
    <t>Qs=-16+8Px</t>
  </si>
  <si>
    <t>5,38</t>
  </si>
  <si>
    <t>Qs=-16+(17/2)Px</t>
  </si>
  <si>
    <t>5,39</t>
  </si>
  <si>
    <t>5,40</t>
  </si>
  <si>
    <t>Qs=-65+6.5Px</t>
  </si>
  <si>
    <t>5,41</t>
  </si>
  <si>
    <t>Qs=-125+40Px</t>
  </si>
  <si>
    <t>5,42</t>
  </si>
  <si>
    <t>Qs=-125+20Px</t>
  </si>
  <si>
    <t>5,43</t>
  </si>
  <si>
    <t>5,44</t>
  </si>
  <si>
    <t>Qs=-7+0.5Px</t>
  </si>
  <si>
    <t>5,45</t>
  </si>
  <si>
    <t>Qs=-12+0.5Px</t>
  </si>
  <si>
    <t>5,46</t>
  </si>
  <si>
    <t>5,47</t>
  </si>
  <si>
    <t>Qs=-9+(3/2)Px</t>
  </si>
  <si>
    <t>5,48</t>
  </si>
  <si>
    <t>Qs=-9+(3/8)Px</t>
  </si>
  <si>
    <t>5,49</t>
  </si>
  <si>
    <t>5,50</t>
  </si>
  <si>
    <t>Qs=-20+4Px</t>
  </si>
  <si>
    <t>5,51</t>
  </si>
  <si>
    <t>Qs=-30+(7/8)Px</t>
  </si>
  <si>
    <t>5,52</t>
  </si>
  <si>
    <t>5,53</t>
  </si>
  <si>
    <t>Qs=-(30/25)+12Px</t>
  </si>
  <si>
    <t>5,54</t>
  </si>
  <si>
    <t>Qs=-30+12Px</t>
  </si>
  <si>
    <t>5,55</t>
  </si>
  <si>
    <t>QS=25*(Qs=-8+3/2 Px )=-200+37.5Px</t>
  </si>
  <si>
    <t>QS=-200+37.5Px</t>
  </si>
  <si>
    <t>Qs=-8+3/2 Px</t>
  </si>
  <si>
    <t>5,56</t>
  </si>
  <si>
    <t>5,57</t>
  </si>
  <si>
    <t>Qs=-6+0.5Px</t>
  </si>
  <si>
    <t>QS=15*(Qs=-6+0.5Px)=-90+7.5Px</t>
  </si>
  <si>
    <t>QS=-90+7.5Px</t>
  </si>
  <si>
    <t>5,58</t>
  </si>
  <si>
    <t>QS=60*(Qs=-2+Px )=-120+60Px</t>
  </si>
  <si>
    <t>Qs=-2+Px</t>
  </si>
  <si>
    <t>QS=-120+60Px</t>
  </si>
  <si>
    <t>5,59</t>
  </si>
  <si>
    <t>QS=10*(Qs=-32+(8/10)Px )=-320+8Px</t>
  </si>
  <si>
    <t>Qs=-32+(8/10)Px</t>
  </si>
  <si>
    <t>QS=-320+8Px</t>
  </si>
  <si>
    <t>5,60</t>
  </si>
  <si>
    <t>QS=45*(Qs=-5+1.5Px )=-225+67.5Px</t>
  </si>
  <si>
    <t>Qs=-5+1.5Px</t>
  </si>
  <si>
    <t>QS=-225+67.5Px</t>
  </si>
  <si>
    <t>5,61</t>
  </si>
  <si>
    <t>QD</t>
  </si>
  <si>
    <t>QS</t>
  </si>
  <si>
    <t>QS=-1+Px</t>
  </si>
  <si>
    <t>QD=6-Px</t>
  </si>
  <si>
    <t>5,62</t>
  </si>
  <si>
    <t xml:space="preserve">QS=-5+5Px </t>
  </si>
  <si>
    <t>QD=15-4Px</t>
  </si>
  <si>
    <t>5,63</t>
  </si>
  <si>
    <t xml:space="preserve">QS=-5+0.3Px </t>
  </si>
  <si>
    <t>QD=20-(1/2)Px</t>
  </si>
  <si>
    <t>5,64</t>
  </si>
  <si>
    <t xml:space="preserve">QS=-15+Px </t>
  </si>
  <si>
    <t>QD=135-1.5Px</t>
  </si>
  <si>
    <t>5,65</t>
  </si>
  <si>
    <t xml:space="preserve">QS=-10+5Px </t>
  </si>
  <si>
    <t>QD=100-8Px</t>
  </si>
  <si>
    <t>5,66</t>
  </si>
  <si>
    <t xml:space="preserve">QS=-8+14Px </t>
  </si>
  <si>
    <t>QD=68-15Px</t>
  </si>
  <si>
    <t>5,67</t>
  </si>
  <si>
    <t>QS=-15+30Px</t>
  </si>
  <si>
    <t>QD=200-12.5Px</t>
  </si>
  <si>
    <t>5,68</t>
  </si>
  <si>
    <t>QS=-80+20Px</t>
  </si>
  <si>
    <t>QD=340-25Px</t>
  </si>
  <si>
    <t>5,69</t>
  </si>
  <si>
    <t>QD=215-12Px</t>
  </si>
  <si>
    <t>QS=-40+4Px</t>
  </si>
  <si>
    <t>5,70</t>
  </si>
  <si>
    <t>QD=85-(15/4)Px</t>
  </si>
  <si>
    <t>QS=-16+8Px</t>
  </si>
  <si>
    <t>5,71</t>
  </si>
  <si>
    <t>QD=12-(1/10)Px</t>
  </si>
  <si>
    <t>QS=-8+0.25Px</t>
  </si>
  <si>
    <t>5,72</t>
  </si>
  <si>
    <t>QD=35-2Px</t>
  </si>
  <si>
    <t>QS=-10+0.5Px</t>
  </si>
  <si>
    <t>5,n</t>
  </si>
  <si>
    <t>pendiente</t>
  </si>
  <si>
    <t>ordenada</t>
  </si>
  <si>
    <t>Dif  I-Io</t>
  </si>
  <si>
    <t>Po/Qo</t>
  </si>
  <si>
    <t>ΔQ/ΔP</t>
  </si>
  <si>
    <t>elasticidad</t>
  </si>
  <si>
    <t>5,81</t>
  </si>
  <si>
    <t>QD=12-2Px</t>
  </si>
  <si>
    <t>Elasticidad Perfecta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</si>
</sst>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numFmt numFmtId="165" formatCode="#,##0.0"/>
    <numFmt numFmtId="166" formatCode="0.0%"/>
    <numFmt numFmtId="167" formatCode="0.0"/>
    <numFmt numFmtId="168" formatCode="0.00000000000000"/>
    <numFmt numFmtId="169" formatCode="0.000000"/>
    <numFmt numFmtId="170" formatCode="0.000%"/>
    <numFmt numFmtId="171" formatCode="0.000"/>
  </numFmts>
  <fonts count="13">
    <font>
      <sz val="11"/>
      <color theme="1"/>
      <name val="Calibri"/>
      <family val="2"/>
      <scheme val="minor"/>
    </font>
    <font>
      <sz val="11"/>
      <color theme="1"/>
      <name val="Calibri"/>
      <family val="2"/>
      <scheme val="minor"/>
    </font>
    <font>
      <sz val="11"/>
      <color indexed="8"/>
      <name val="Calibri"/>
      <family val="2"/>
      <scheme val="minor"/>
    </font>
    <font>
      <b/>
      <sz val="14"/>
      <name val="Calibri"/>
    </font>
    <font>
      <sz val="11"/>
      <name val="Calibri"/>
    </font>
    <font>
      <b/>
      <sz val="11"/>
      <name val="Calibri"/>
    </font>
    <font>
      <b/>
      <sz val="11"/>
      <color rgb="FFC00000"/>
      <name val="Calibri"/>
    </font>
    <font>
      <u/>
      <sz val="11"/>
      <color theme="10"/>
      <name val="Calibri"/>
      <family val="2"/>
      <scheme val="minor"/>
    </font>
    <font>
      <b/>
      <sz val="11"/>
      <color theme="1"/>
      <name val="Calibri"/>
      <family val="2"/>
      <scheme val="minor"/>
    </font>
    <font>
      <sz val="8"/>
      <name val="Calibri"/>
      <family val="2"/>
      <scheme val="minor"/>
    </font>
    <font>
      <sz val="8"/>
      <color theme="1"/>
      <name val="Calibri"/>
      <family val="2"/>
      <scheme val="minor"/>
    </font>
    <font>
      <b/>
      <i/>
      <sz val="11"/>
      <color theme="1"/>
      <name val="Calibri"/>
      <family val="2"/>
      <scheme val="minor"/>
    </font>
    <font>
      <sz val="11"/>
      <color theme="1"/>
      <name val="Calibri"/>
      <family val="2"/>
    </font>
  </fonts>
  <fills count="6">
    <fill>
      <patternFill patternType="none"/>
    </fill>
    <fill>
      <patternFill patternType="gray125"/>
    </fill>
    <fill>
      <patternFill patternType="solid">
        <fgColor rgb="FFE6E7E7"/>
      </patternFill>
    </fill>
    <fill>
      <patternFill patternType="solid">
        <fgColor rgb="FFE7E7E7" tint="-9.9978637043366805E-2"/>
        <bgColor indexed="65"/>
      </patternFill>
    </fill>
    <fill>
      <patternFill patternType="solid">
        <fgColor rgb="FFE3EBED"/>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2" fillId="0" borderId="0"/>
    <xf numFmtId="0" fontId="7" fillId="0" borderId="0" applyNumberFormat="0" applyFill="0" applyBorder="0" applyAlignment="0" applyProtection="0"/>
  </cellStyleXfs>
  <cellXfs count="61">
    <xf numFmtId="0" fontId="0" fillId="0" borderId="0" xfId="0"/>
    <xf numFmtId="4" fontId="0" fillId="0" borderId="0" xfId="0" applyNumberFormat="1"/>
    <xf numFmtId="0" fontId="2" fillId="0" borderId="0" xfId="2"/>
    <xf numFmtId="0" fontId="3" fillId="0" borderId="0" xfId="2" applyFont="1"/>
    <xf numFmtId="0" fontId="4" fillId="0" borderId="0" xfId="2" applyFont="1"/>
    <xf numFmtId="0" fontId="5" fillId="2" borderId="1" xfId="2" applyFont="1" applyFill="1" applyBorder="1" applyAlignment="1">
      <alignment horizontal="right" vertical="center" wrapText="1"/>
    </xf>
    <xf numFmtId="0" fontId="4" fillId="3" borderId="1" xfId="2" applyFont="1" applyFill="1" applyBorder="1" applyAlignment="1">
      <alignment horizontal="center" vertical="top" wrapText="1"/>
    </xf>
    <xf numFmtId="0" fontId="4" fillId="2" borderId="1" xfId="2" applyFont="1" applyFill="1" applyBorder="1" applyAlignment="1">
      <alignment horizontal="center" vertical="center" wrapText="1"/>
    </xf>
    <xf numFmtId="0" fontId="6" fillId="2" borderId="1" xfId="2" applyFont="1" applyFill="1" applyBorder="1" applyAlignment="1">
      <alignment horizontal="center" vertical="center" wrapText="1"/>
    </xf>
    <xf numFmtId="0" fontId="5" fillId="4" borderId="1" xfId="2" applyFont="1" applyFill="1" applyBorder="1" applyAlignment="1">
      <alignment horizontal="right" vertical="center" wrapText="1"/>
    </xf>
    <xf numFmtId="0" fontId="5" fillId="4" borderId="1" xfId="2" applyFont="1" applyFill="1" applyBorder="1" applyAlignment="1">
      <alignment horizontal="center" vertical="center" wrapText="1"/>
    </xf>
    <xf numFmtId="164" fontId="5" fillId="0" borderId="1" xfId="2" applyNumberFormat="1" applyFont="1" applyBorder="1" applyAlignment="1">
      <alignment horizontal="right" vertical="center"/>
    </xf>
    <xf numFmtId="165" fontId="4" fillId="0" borderId="1" xfId="2" applyNumberFormat="1" applyFont="1" applyBorder="1" applyAlignment="1">
      <alignment horizontal="right" vertical="center"/>
    </xf>
    <xf numFmtId="0" fontId="2" fillId="0" borderId="0" xfId="2"/>
    <xf numFmtId="0" fontId="3" fillId="0" borderId="0" xfId="2" applyFont="1"/>
    <xf numFmtId="0" fontId="4" fillId="0" borderId="0" xfId="2" applyFont="1"/>
    <xf numFmtId="0" fontId="5" fillId="2" borderId="1" xfId="2" applyFont="1" applyFill="1" applyBorder="1" applyAlignment="1">
      <alignment horizontal="right" vertical="center" wrapText="1"/>
    </xf>
    <xf numFmtId="0" fontId="4" fillId="3" borderId="1" xfId="2" applyFont="1" applyFill="1" applyBorder="1" applyAlignment="1">
      <alignment horizontal="center" vertical="top" wrapText="1"/>
    </xf>
    <xf numFmtId="0" fontId="4" fillId="2" borderId="1" xfId="2" applyFont="1" applyFill="1" applyBorder="1" applyAlignment="1">
      <alignment horizontal="center" vertical="center" wrapText="1"/>
    </xf>
    <xf numFmtId="0" fontId="6" fillId="2" borderId="1" xfId="2" applyFont="1" applyFill="1" applyBorder="1" applyAlignment="1">
      <alignment horizontal="center" vertical="center" wrapText="1"/>
    </xf>
    <xf numFmtId="0" fontId="5" fillId="4" borderId="1" xfId="2" applyFont="1" applyFill="1" applyBorder="1" applyAlignment="1">
      <alignment horizontal="right" vertical="center" wrapText="1"/>
    </xf>
    <xf numFmtId="0" fontId="5" fillId="4" borderId="1" xfId="2" applyFont="1" applyFill="1" applyBorder="1" applyAlignment="1">
      <alignment horizontal="center" vertical="center" wrapText="1"/>
    </xf>
    <xf numFmtId="164" fontId="5" fillId="0" borderId="1" xfId="2" applyNumberFormat="1" applyFont="1" applyBorder="1" applyAlignment="1">
      <alignment horizontal="right" vertical="center"/>
    </xf>
    <xf numFmtId="165" fontId="4" fillId="0" borderId="1" xfId="2" applyNumberFormat="1" applyFont="1" applyBorder="1" applyAlignment="1">
      <alignment horizontal="right" vertical="center"/>
    </xf>
    <xf numFmtId="0" fontId="2" fillId="0" borderId="0" xfId="2"/>
    <xf numFmtId="0" fontId="3" fillId="0" borderId="0" xfId="2" applyFont="1"/>
    <xf numFmtId="0" fontId="4" fillId="0" borderId="0" xfId="2" applyFont="1"/>
    <xf numFmtId="0" fontId="5" fillId="2" borderId="1" xfId="2" applyFont="1" applyFill="1" applyBorder="1" applyAlignment="1">
      <alignment horizontal="right" vertical="center" wrapText="1"/>
    </xf>
    <xf numFmtId="0" fontId="4" fillId="3" borderId="1" xfId="2" applyFont="1" applyFill="1" applyBorder="1" applyAlignment="1">
      <alignment horizontal="center" vertical="top" wrapText="1"/>
    </xf>
    <xf numFmtId="0" fontId="4" fillId="2" borderId="1" xfId="2" applyFont="1" applyFill="1" applyBorder="1" applyAlignment="1">
      <alignment horizontal="center" vertical="center" wrapText="1"/>
    </xf>
    <xf numFmtId="0" fontId="6" fillId="2" borderId="1" xfId="2" applyFont="1" applyFill="1" applyBorder="1" applyAlignment="1">
      <alignment horizontal="center" vertical="center" wrapText="1"/>
    </xf>
    <xf numFmtId="0" fontId="5" fillId="4" borderId="1" xfId="2" applyFont="1" applyFill="1" applyBorder="1" applyAlignment="1">
      <alignment horizontal="right" vertical="center" wrapText="1"/>
    </xf>
    <xf numFmtId="0" fontId="5" fillId="4" borderId="1" xfId="2" applyFont="1" applyFill="1" applyBorder="1" applyAlignment="1">
      <alignment horizontal="center" vertical="center" wrapText="1"/>
    </xf>
    <xf numFmtId="164" fontId="5" fillId="0" borderId="1" xfId="2" applyNumberFormat="1" applyFont="1" applyBorder="1" applyAlignment="1">
      <alignment horizontal="right" vertical="center"/>
    </xf>
    <xf numFmtId="165" fontId="4" fillId="0" borderId="1" xfId="2" applyNumberFormat="1" applyFont="1" applyBorder="1" applyAlignment="1">
      <alignment horizontal="right" vertical="center"/>
    </xf>
    <xf numFmtId="166" fontId="0" fillId="0" borderId="0" xfId="1" applyNumberFormat="1" applyFont="1"/>
    <xf numFmtId="165" fontId="0" fillId="0" borderId="0" xfId="0" applyNumberFormat="1"/>
    <xf numFmtId="0" fontId="7" fillId="0" borderId="0" xfId="3"/>
    <xf numFmtId="0" fontId="0" fillId="0" borderId="0" xfId="0" quotePrefix="1" applyNumberFormat="1"/>
    <xf numFmtId="167" fontId="0" fillId="0" borderId="0" xfId="0" quotePrefix="1" applyNumberFormat="1"/>
    <xf numFmtId="1" fontId="0" fillId="0" borderId="0" xfId="0" applyNumberFormat="1"/>
    <xf numFmtId="1" fontId="0" fillId="0" borderId="0" xfId="0" quotePrefix="1" applyNumberFormat="1"/>
    <xf numFmtId="168" fontId="0" fillId="0" borderId="0" xfId="0" applyNumberFormat="1"/>
    <xf numFmtId="169" fontId="0" fillId="0" borderId="0" xfId="0" applyNumberFormat="1"/>
    <xf numFmtId="170" fontId="0" fillId="0" borderId="0" xfId="1" applyNumberFormat="1" applyFont="1"/>
    <xf numFmtId="0" fontId="0" fillId="0" borderId="0" xfId="0" applyFont="1"/>
    <xf numFmtId="0" fontId="0" fillId="0" borderId="1" xfId="0" applyBorder="1"/>
    <xf numFmtId="0" fontId="0" fillId="0" borderId="0" xfId="0" applyAlignment="1">
      <alignment horizontal="left" vertical="center" indent="3"/>
    </xf>
    <xf numFmtId="0" fontId="8" fillId="0" borderId="0" xfId="0" quotePrefix="1" applyFont="1" applyAlignment="1">
      <alignment horizontal="center" vertical="center"/>
    </xf>
    <xf numFmtId="2" fontId="0" fillId="0" borderId="0" xfId="0" applyNumberFormat="1"/>
    <xf numFmtId="167" fontId="0" fillId="0" borderId="0" xfId="0" applyNumberFormat="1"/>
    <xf numFmtId="0" fontId="0" fillId="0" borderId="0" xfId="0" quotePrefix="1"/>
    <xf numFmtId="2" fontId="0" fillId="0" borderId="2" xfId="0" applyNumberFormat="1" applyBorder="1"/>
    <xf numFmtId="0" fontId="0" fillId="0" borderId="2" xfId="0" applyBorder="1"/>
    <xf numFmtId="0" fontId="8" fillId="0" borderId="0" xfId="0" applyFont="1" applyAlignment="1"/>
    <xf numFmtId="0" fontId="12" fillId="0" borderId="0" xfId="0" applyFont="1"/>
    <xf numFmtId="0" fontId="0" fillId="5" borderId="0" xfId="0" applyFill="1"/>
    <xf numFmtId="0" fontId="0" fillId="0" borderId="0" xfId="0" applyFill="1"/>
    <xf numFmtId="171" fontId="0" fillId="0" borderId="0" xfId="0" applyNumberFormat="1"/>
    <xf numFmtId="0" fontId="8" fillId="0" borderId="0" xfId="0" applyFont="1" applyAlignment="1">
      <alignment horizontal="center"/>
    </xf>
    <xf numFmtId="0" fontId="8" fillId="0" borderId="0" xfId="0" quotePrefix="1" applyFont="1" applyAlignment="1">
      <alignment horizontal="center"/>
    </xf>
  </cellXfs>
  <cellStyles count="4">
    <cellStyle name="Hipervínculo" xfId="3" builtinId="8"/>
    <cellStyle name="Normal" xfId="0" builtinId="0"/>
    <cellStyle name="Normal 2" xfId="2" xr:uid="{FAFE108B-3833-46ED-BEDB-8258A36301B5}"/>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2.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63.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64.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65.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66.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_rels/chart67.xml.rels><?xml version="1.0" encoding="UTF-8" standalone="yes"?>
<Relationships xmlns="http://schemas.openxmlformats.org/package/2006/relationships"><Relationship Id="rId2" Type="http://schemas.microsoft.com/office/2011/relationships/chartColorStyle" Target="colors67.xml"/><Relationship Id="rId1" Type="http://schemas.microsoft.com/office/2011/relationships/chartStyle" Target="style67.xml"/></Relationships>
</file>

<file path=xl/charts/_rels/chart68.xml.rels><?xml version="1.0" encoding="UTF-8" standalone="yes"?>
<Relationships xmlns="http://schemas.openxmlformats.org/package/2006/relationships"><Relationship Id="rId2" Type="http://schemas.microsoft.com/office/2011/relationships/chartColorStyle" Target="colors68.xml"/><Relationship Id="rId1" Type="http://schemas.microsoft.com/office/2011/relationships/chartStyle" Target="style68.xml"/></Relationships>
</file>

<file path=xl/charts/_rels/chart69.xml.rels><?xml version="1.0" encoding="UTF-8" standalone="yes"?>
<Relationships xmlns="http://schemas.openxmlformats.org/package/2006/relationships"><Relationship Id="rId2" Type="http://schemas.microsoft.com/office/2011/relationships/chartColorStyle" Target="colors69.xml"/><Relationship Id="rId1" Type="http://schemas.microsoft.com/office/2011/relationships/chartStyle" Target="style69.xml"/></Relationships>
</file>

<file path=xl/charts/_rels/chart70.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_rels/chart71.xml.rels><?xml version="1.0" encoding="UTF-8" standalone="yes"?>
<Relationships xmlns="http://schemas.openxmlformats.org/package/2006/relationships"><Relationship Id="rId2" Type="http://schemas.microsoft.com/office/2011/relationships/chartColorStyle" Target="colors71.xml"/><Relationship Id="rId1" Type="http://schemas.microsoft.com/office/2011/relationships/chartStyle" Target="style71.xml"/></Relationships>
</file>

<file path=xl/charts/_rels/chart72.xml.rels><?xml version="1.0" encoding="UTF-8" standalone="yes"?>
<Relationships xmlns="http://schemas.openxmlformats.org/package/2006/relationships"><Relationship Id="rId2" Type="http://schemas.microsoft.com/office/2011/relationships/chartColorStyle" Target="colors72.xml"/><Relationship Id="rId1" Type="http://schemas.microsoft.com/office/2011/relationships/chartStyle" Target="style72.xml"/></Relationships>
</file>

<file path=xl/charts/_rels/chart73.xml.rels><?xml version="1.0" encoding="UTF-8" standalone="yes"?>
<Relationships xmlns="http://schemas.openxmlformats.org/package/2006/relationships"><Relationship Id="rId2" Type="http://schemas.microsoft.com/office/2011/relationships/chartColorStyle" Target="colors73.xml"/><Relationship Id="rId1" Type="http://schemas.microsoft.com/office/2011/relationships/chartStyle" Target="style73.xml"/></Relationships>
</file>

<file path=xl/charts/_rels/chart74.xml.rels><?xml version="1.0" encoding="UTF-8" standalone="yes"?>
<Relationships xmlns="http://schemas.openxmlformats.org/package/2006/relationships"><Relationship Id="rId2" Type="http://schemas.microsoft.com/office/2011/relationships/chartColorStyle" Target="colors74.xml"/><Relationship Id="rId1" Type="http://schemas.microsoft.com/office/2011/relationships/chartStyle" Target="style74.xml"/></Relationships>
</file>

<file path=xl/charts/_rels/chart75.xml.rels><?xml version="1.0" encoding="UTF-8" standalone="yes"?>
<Relationships xmlns="http://schemas.openxmlformats.org/package/2006/relationships"><Relationship Id="rId2" Type="http://schemas.microsoft.com/office/2011/relationships/chartColorStyle" Target="colors75.xml"/><Relationship Id="rId1" Type="http://schemas.microsoft.com/office/2011/relationships/chartStyle" Target="style75.xml"/></Relationships>
</file>

<file path=xl/charts/_rels/chart76.xml.rels><?xml version="1.0" encoding="UTF-8" standalone="yes"?>
<Relationships xmlns="http://schemas.openxmlformats.org/package/2006/relationships"><Relationship Id="rId2" Type="http://schemas.microsoft.com/office/2011/relationships/chartColorStyle" Target="colors76.xml"/><Relationship Id="rId1" Type="http://schemas.microsoft.com/office/2011/relationships/chartStyle" Target="style76.xml"/></Relationships>
</file>

<file path=xl/charts/_rels/chart77.xml.rels><?xml version="1.0" encoding="UTF-8" standalone="yes"?>
<Relationships xmlns="http://schemas.openxmlformats.org/package/2006/relationships"><Relationship Id="rId2" Type="http://schemas.microsoft.com/office/2011/relationships/chartColorStyle" Target="colors77.xml"/><Relationship Id="rId1" Type="http://schemas.microsoft.com/office/2011/relationships/chartStyle" Target="style77.xml"/></Relationships>
</file>

<file path=xl/charts/_rels/chart78.xml.rels><?xml version="1.0" encoding="UTF-8" standalone="yes"?>
<Relationships xmlns="http://schemas.openxmlformats.org/package/2006/relationships"><Relationship Id="rId2" Type="http://schemas.microsoft.com/office/2011/relationships/chartColorStyle" Target="colors78.xml"/><Relationship Id="rId1" Type="http://schemas.microsoft.com/office/2011/relationships/chartStyle" Target="style78.xml"/></Relationships>
</file>

<file path=xl/charts/_rels/chart79.xml.rels><?xml version="1.0" encoding="UTF-8" standalone="yes"?>
<Relationships xmlns="http://schemas.openxmlformats.org/package/2006/relationships"><Relationship Id="rId2" Type="http://schemas.microsoft.com/office/2011/relationships/chartColorStyle" Target="colors79.xml"/><Relationship Id="rId1" Type="http://schemas.microsoft.com/office/2011/relationships/chartStyle" Target="style79.xml"/></Relationships>
</file>

<file path=xl/charts/_rels/chart80.xml.rels><?xml version="1.0" encoding="UTF-8" standalone="yes"?>
<Relationships xmlns="http://schemas.openxmlformats.org/package/2006/relationships"><Relationship Id="rId2" Type="http://schemas.microsoft.com/office/2011/relationships/chartColorStyle" Target="colors80.xml"/><Relationship Id="rId1" Type="http://schemas.microsoft.com/office/2011/relationships/chartStyle" Target="style80.xml"/></Relationships>
</file>

<file path=xl/charts/_rels/chart81.xml.rels><?xml version="1.0" encoding="UTF-8" standalone="yes"?>
<Relationships xmlns="http://schemas.openxmlformats.org/package/2006/relationships"><Relationship Id="rId2" Type="http://schemas.microsoft.com/office/2011/relationships/chartColorStyle" Target="colors81.xml"/><Relationship Id="rId1" Type="http://schemas.microsoft.com/office/2011/relationships/chartStyle" Target="style81.xml"/></Relationships>
</file>

<file path=xl/charts/_rels/chart82.xml.rels><?xml version="1.0" encoding="UTF-8" standalone="yes"?>
<Relationships xmlns="http://schemas.openxmlformats.org/package/2006/relationships"><Relationship Id="rId2" Type="http://schemas.microsoft.com/office/2011/relationships/chartColorStyle" Target="colors82.xml"/><Relationship Id="rId1" Type="http://schemas.microsoft.com/office/2011/relationships/chartStyle" Target="style82.xml"/></Relationships>
</file>

<file path=xl/charts/_rels/chart83.xml.rels><?xml version="1.0" encoding="UTF-8" standalone="yes"?>
<Relationships xmlns="http://schemas.openxmlformats.org/package/2006/relationships"><Relationship Id="rId2" Type="http://schemas.microsoft.com/office/2011/relationships/chartColorStyle" Target="colors83.xml"/><Relationship Id="rId1" Type="http://schemas.microsoft.com/office/2011/relationships/chartStyle" Target="style83.xml"/></Relationships>
</file>

<file path=xl/charts/_rels/chart84.xml.rels><?xml version="1.0" encoding="UTF-8" standalone="yes"?>
<Relationships xmlns="http://schemas.openxmlformats.org/package/2006/relationships"><Relationship Id="rId2" Type="http://schemas.microsoft.com/office/2011/relationships/chartColorStyle" Target="colors84.xml"/><Relationship Id="rId1" Type="http://schemas.microsoft.com/office/2011/relationships/chartStyle" Target="style84.xml"/></Relationships>
</file>

<file path=xl/charts/_rels/chart85.xml.rels><?xml version="1.0" encoding="UTF-8" standalone="yes"?>
<Relationships xmlns="http://schemas.openxmlformats.org/package/2006/relationships"><Relationship Id="rId2" Type="http://schemas.microsoft.com/office/2011/relationships/chartColorStyle" Target="colors85.xml"/><Relationship Id="rId1" Type="http://schemas.microsoft.com/office/2011/relationships/chartStyle" Target="style85.xml"/></Relationships>
</file>

<file path=xl/charts/_rels/chart86.xml.rels><?xml version="1.0" encoding="UTF-8" standalone="yes"?>
<Relationships xmlns="http://schemas.openxmlformats.org/package/2006/relationships"><Relationship Id="rId2" Type="http://schemas.microsoft.com/office/2011/relationships/chartColorStyle" Target="colors86.xml"/><Relationship Id="rId1" Type="http://schemas.microsoft.com/office/2011/relationships/chartStyle" Target="style86.xml"/></Relationships>
</file>

<file path=xl/charts/_rels/chart87.xml.rels><?xml version="1.0" encoding="UTF-8" standalone="yes"?>
<Relationships xmlns="http://schemas.openxmlformats.org/package/2006/relationships"><Relationship Id="rId2" Type="http://schemas.microsoft.com/office/2011/relationships/chartColorStyle" Target="colors87.xml"/><Relationship Id="rId1" Type="http://schemas.microsoft.com/office/2011/relationships/chartStyle" Target="style87.xml"/></Relationships>
</file>

<file path=xl/charts/_rels/chart88.xml.rels><?xml version="1.0" encoding="UTF-8" standalone="yes"?>
<Relationships xmlns="http://schemas.openxmlformats.org/package/2006/relationships"><Relationship Id="rId2" Type="http://schemas.microsoft.com/office/2011/relationships/chartColorStyle" Target="colors88.xml"/><Relationship Id="rId1" Type="http://schemas.microsoft.com/office/2011/relationships/chartStyle" Target="style88.xml"/></Relationships>
</file>

<file path=xl/charts/_rels/chart89.xml.rels><?xml version="1.0" encoding="UTF-8" standalone="yes"?>
<Relationships xmlns="http://schemas.openxmlformats.org/package/2006/relationships"><Relationship Id="rId2" Type="http://schemas.microsoft.com/office/2011/relationships/chartColorStyle" Target="colors89.xml"/><Relationship Id="rId1" Type="http://schemas.microsoft.com/office/2011/relationships/chartStyle" Target="style89.xml"/></Relationships>
</file>

<file path=xl/charts/_rels/chart90.xml.rels><?xml version="1.0" encoding="UTF-8" standalone="yes"?>
<Relationships xmlns="http://schemas.openxmlformats.org/package/2006/relationships"><Relationship Id="rId2" Type="http://schemas.microsoft.com/office/2011/relationships/chartColorStyle" Target="colors90.xml"/><Relationship Id="rId1" Type="http://schemas.microsoft.com/office/2011/relationships/chartStyle" Target="style90.xml"/></Relationships>
</file>

<file path=xl/charts/_rels/chart91.xml.rels><?xml version="1.0" encoding="UTF-8" standalone="yes"?>
<Relationships xmlns="http://schemas.openxmlformats.org/package/2006/relationships"><Relationship Id="rId2" Type="http://schemas.microsoft.com/office/2011/relationships/chartColorStyle" Target="colors91.xml"/><Relationship Id="rId1" Type="http://schemas.microsoft.com/office/2011/relationships/chartStyle" Target="style91.xml"/></Relationships>
</file>

<file path=xl/charts/_rels/chart92.xml.rels><?xml version="1.0" encoding="UTF-8" standalone="yes"?>
<Relationships xmlns="http://schemas.openxmlformats.org/package/2006/relationships"><Relationship Id="rId2" Type="http://schemas.microsoft.com/office/2011/relationships/chartColorStyle" Target="colors92.xml"/><Relationship Id="rId1" Type="http://schemas.microsoft.com/office/2011/relationships/chartStyle" Target="style92.xml"/></Relationships>
</file>

<file path=xl/charts/_rels/chart93.xml.rels><?xml version="1.0" encoding="UTF-8" standalone="yes"?>
<Relationships xmlns="http://schemas.openxmlformats.org/package/2006/relationships"><Relationship Id="rId2" Type="http://schemas.microsoft.com/office/2011/relationships/chartColorStyle" Target="colors93.xml"/><Relationship Id="rId1" Type="http://schemas.microsoft.com/office/2011/relationships/chartStyle" Target="style93.xml"/></Relationships>
</file>

<file path=xl/charts/_rels/chart94.xml.rels><?xml version="1.0" encoding="UTF-8" standalone="yes"?>
<Relationships xmlns="http://schemas.openxmlformats.org/package/2006/relationships"><Relationship Id="rId2" Type="http://schemas.microsoft.com/office/2011/relationships/chartColorStyle" Target="colors94.xml"/><Relationship Id="rId1" Type="http://schemas.microsoft.com/office/2011/relationships/chartStyle" Target="style94.xml"/></Relationships>
</file>

<file path=xl/charts/_rels/chart95.xml.rels><?xml version="1.0" encoding="UTF-8" standalone="yes"?>
<Relationships xmlns="http://schemas.openxmlformats.org/package/2006/relationships"><Relationship Id="rId2" Type="http://schemas.microsoft.com/office/2011/relationships/chartColorStyle" Target="colors95.xml"/><Relationship Id="rId1" Type="http://schemas.microsoft.com/office/2011/relationships/chartStyle" Target="style95.xml"/></Relationships>
</file>

<file path=xl/charts/_rels/chart96.xml.rels><?xml version="1.0" encoding="UTF-8" standalone="yes"?>
<Relationships xmlns="http://schemas.openxmlformats.org/package/2006/relationships"><Relationship Id="rId2" Type="http://schemas.microsoft.com/office/2011/relationships/chartColorStyle" Target="colors96.xml"/><Relationship Id="rId1" Type="http://schemas.microsoft.com/office/2011/relationships/chartStyle" Target="style96.xml"/></Relationships>
</file>

<file path=xl/charts/_rels/chart97.xml.rels><?xml version="1.0" encoding="UTF-8" standalone="yes"?>
<Relationships xmlns="http://schemas.openxmlformats.org/package/2006/relationships"><Relationship Id="rId2" Type="http://schemas.microsoft.com/office/2011/relationships/chartColorStyle" Target="colors97.xml"/><Relationship Id="rId1" Type="http://schemas.microsoft.com/office/2011/relationships/chartStyle" Target="style97.xml"/></Relationships>
</file>

<file path=xl/charts/_rels/chart98.xml.rels><?xml version="1.0" encoding="UTF-8" standalone="yes"?>
<Relationships xmlns="http://schemas.openxmlformats.org/package/2006/relationships"><Relationship Id="rId2" Type="http://schemas.microsoft.com/office/2011/relationships/chartColorStyle" Target="colors98.xml"/><Relationship Id="rId1" Type="http://schemas.microsoft.com/office/2011/relationships/chartStyle" Target="style98.xml"/></Relationships>
</file>

<file path=xl/charts/_rels/chart99.xml.rels><?xml version="1.0" encoding="UTF-8" standalone="yes"?>
<Relationships xmlns="http://schemas.openxmlformats.org/package/2006/relationships"><Relationship Id="rId2" Type="http://schemas.microsoft.com/office/2011/relationships/chartColorStyle" Target="colors99.xml"/><Relationship Id="rId1" Type="http://schemas.microsoft.com/office/2011/relationships/chartStyle" Target="style99.xml"/></Relationships>
</file>

<file path=xl/charts/_rels/chart100.xml.rels><?xml version="1.0" encoding="UTF-8" standalone="yes"?>
<Relationships xmlns="http://schemas.openxmlformats.org/package/2006/relationships"><Relationship Id="rId2" Type="http://schemas.microsoft.com/office/2011/relationships/chartColorStyle" Target="colors100.xml"/><Relationship Id="rId1" Type="http://schemas.microsoft.com/office/2011/relationships/chartStyle" Target="style100.xml"/></Relationships>
</file>

<file path=xl/charts/_rels/chart101.xml.rels><?xml version="1.0" encoding="UTF-8" standalone="yes"?>
<Relationships xmlns="http://schemas.openxmlformats.org/package/2006/relationships"><Relationship Id="rId2" Type="http://schemas.microsoft.com/office/2011/relationships/chartColorStyle" Target="colors101.xml"/><Relationship Id="rId1" Type="http://schemas.microsoft.com/office/2011/relationships/chartStyle" Target="style101.xml"/></Relationships>
</file>

<file path=xl/charts/_rels/chart102.xml.rels><?xml version="1.0" encoding="UTF-8" standalone="yes"?>
<Relationships xmlns="http://schemas.openxmlformats.org/package/2006/relationships"><Relationship Id="rId2" Type="http://schemas.microsoft.com/office/2011/relationships/chartColorStyle" Target="colors102.xml"/><Relationship Id="rId1" Type="http://schemas.microsoft.com/office/2011/relationships/chartStyle" Target="style102.xml"/></Relationships>
</file>

<file path=xl/charts/_rels/chart103.xml.rels><?xml version="1.0" encoding="UTF-8" standalone="yes"?>
<Relationships xmlns="http://schemas.openxmlformats.org/package/2006/relationships"><Relationship Id="rId2" Type="http://schemas.microsoft.com/office/2011/relationships/chartColorStyle" Target="colors103.xml"/><Relationship Id="rId1" Type="http://schemas.microsoft.com/office/2011/relationships/chartStyle" Target="style103.xml"/></Relationships>
</file>

<file path=xl/charts/_rels/chart104.xml.rels><?xml version="1.0" encoding="UTF-8" standalone="yes"?>
<Relationships xmlns="http://schemas.openxmlformats.org/package/2006/relationships"><Relationship Id="rId2" Type="http://schemas.microsoft.com/office/2011/relationships/chartColorStyle" Target="colors104.xml"/><Relationship Id="rId1" Type="http://schemas.microsoft.com/office/2011/relationships/chartStyle" Target="style104.xml"/></Relationships>
</file>

<file path=xl/charts/_rels/chart105.xml.rels><?xml version="1.0" encoding="UTF-8" standalone="yes"?>
<Relationships xmlns="http://schemas.openxmlformats.org/package/2006/relationships"><Relationship Id="rId2" Type="http://schemas.microsoft.com/office/2011/relationships/chartColorStyle" Target="colors105.xml"/><Relationship Id="rId1" Type="http://schemas.microsoft.com/office/2011/relationships/chartStyle" Target="style105.xml"/></Relationships>
</file>

<file path=xl/charts/_rels/chart106.xml.rels><?xml version="1.0" encoding="UTF-8" standalone="yes"?>
<Relationships xmlns="http://schemas.openxmlformats.org/package/2006/relationships"><Relationship Id="rId2" Type="http://schemas.microsoft.com/office/2011/relationships/chartColorStyle" Target="colors106.xml"/><Relationship Id="rId1" Type="http://schemas.microsoft.com/office/2011/relationships/chartStyle" Target="style106.xml"/></Relationships>
</file>

<file path=xl/charts/_rels/chart107.xml.rels><?xml version="1.0" encoding="UTF-8" standalone="yes"?>
<Relationships xmlns="http://schemas.openxmlformats.org/package/2006/relationships"><Relationship Id="rId2" Type="http://schemas.microsoft.com/office/2011/relationships/chartColorStyle" Target="colors107.xml"/><Relationship Id="rId1" Type="http://schemas.microsoft.com/office/2011/relationships/chartStyle" Target="style107.xml"/></Relationships>
</file>

<file path=xl/charts/_rels/chart108.xml.rels><?xml version="1.0" encoding="UTF-8" standalone="yes"?>
<Relationships xmlns="http://schemas.openxmlformats.org/package/2006/relationships"><Relationship Id="rId2" Type="http://schemas.microsoft.com/office/2011/relationships/chartColorStyle" Target="colors108.xml"/><Relationship Id="rId1" Type="http://schemas.microsoft.com/office/2011/relationships/chartStyle" Target="style108.xml"/></Relationships>
</file>

<file path=xl/charts/_rels/chart109.xml.rels><?xml version="1.0" encoding="UTF-8" standalone="yes"?>
<Relationships xmlns="http://schemas.openxmlformats.org/package/2006/relationships"><Relationship Id="rId2" Type="http://schemas.microsoft.com/office/2011/relationships/chartColorStyle" Target="colors109.xml"/><Relationship Id="rId1" Type="http://schemas.microsoft.com/office/2011/relationships/chartStyle" Target="style109.xml"/></Relationships>
</file>

<file path=xl/charts/_rels/chart110.xml.rels><?xml version="1.0" encoding="UTF-8" standalone="yes"?>
<Relationships xmlns="http://schemas.openxmlformats.org/package/2006/relationships"><Relationship Id="rId2" Type="http://schemas.microsoft.com/office/2011/relationships/chartColorStyle" Target="colors110.xml"/><Relationship Id="rId1" Type="http://schemas.microsoft.com/office/2011/relationships/chartStyle" Target="style110.xml"/></Relationships>
</file>

<file path=xl/charts/_rels/chart111.xml.rels><?xml version="1.0" encoding="UTF-8" standalone="yes"?>
<Relationships xmlns="http://schemas.openxmlformats.org/package/2006/relationships"><Relationship Id="rId2" Type="http://schemas.microsoft.com/office/2011/relationships/chartColorStyle" Target="colors111.xml"/><Relationship Id="rId1" Type="http://schemas.microsoft.com/office/2011/relationships/chartStyle" Target="style111.xml"/></Relationships>
</file>

<file path=xl/charts/_rels/chart112.xml.rels><?xml version="1.0" encoding="UTF-8" standalone="yes"?>
<Relationships xmlns="http://schemas.openxmlformats.org/package/2006/relationships"><Relationship Id="rId2" Type="http://schemas.microsoft.com/office/2011/relationships/chartColorStyle" Target="colors112.xml"/><Relationship Id="rId1" Type="http://schemas.microsoft.com/office/2011/relationships/chartStyle" Target="style112.xml"/></Relationships>
</file>

<file path=xl/charts/_rels/chart113.xml.rels><?xml version="1.0" encoding="UTF-8" standalone="yes"?>
<Relationships xmlns="http://schemas.openxmlformats.org/package/2006/relationships"><Relationship Id="rId2" Type="http://schemas.microsoft.com/office/2011/relationships/chartColorStyle" Target="colors113.xml"/><Relationship Id="rId1" Type="http://schemas.microsoft.com/office/2011/relationships/chartStyle" Target="style113.xml"/></Relationships>
</file>

<file path=xl/charts/_rels/chart114.xml.rels><?xml version="1.0" encoding="UTF-8" standalone="yes"?>
<Relationships xmlns="http://schemas.openxmlformats.org/package/2006/relationships"><Relationship Id="rId2" Type="http://schemas.microsoft.com/office/2011/relationships/chartColorStyle" Target="colors114.xml"/><Relationship Id="rId1" Type="http://schemas.microsoft.com/office/2011/relationships/chartStyle" Target="style114.xml"/></Relationships>
</file>

<file path=xl/charts/_rels/chart115.xml.rels><?xml version="1.0" encoding="UTF-8" standalone="yes"?>
<Relationships xmlns="http://schemas.openxmlformats.org/package/2006/relationships"><Relationship Id="rId2" Type="http://schemas.microsoft.com/office/2011/relationships/chartColorStyle" Target="colors115.xml"/><Relationship Id="rId1" Type="http://schemas.microsoft.com/office/2011/relationships/chartStyle" Target="style115.xml"/></Relationships>
</file>

<file path=xl/charts/_rels/chart116.xml.rels><?xml version="1.0" encoding="UTF-8" standalone="yes"?>
<Relationships xmlns="http://schemas.openxmlformats.org/package/2006/relationships"><Relationship Id="rId2" Type="http://schemas.microsoft.com/office/2011/relationships/chartColorStyle" Target="colors116.xml"/><Relationship Id="rId1" Type="http://schemas.microsoft.com/office/2011/relationships/chartStyle" Target="style116.xml"/></Relationships>
</file>

<file path=xl/charts/_rels/chart117.xml.rels><?xml version="1.0" encoding="UTF-8" standalone="yes"?>
<Relationships xmlns="http://schemas.openxmlformats.org/package/2006/relationships"><Relationship Id="rId2" Type="http://schemas.microsoft.com/office/2011/relationships/chartColorStyle" Target="colors117.xml"/><Relationship Id="rId1" Type="http://schemas.microsoft.com/office/2011/relationships/chartStyle" Target="style117.xml"/></Relationships>
</file>

<file path=xl/charts/_rels/chart118.xml.rels><?xml version="1.0" encoding="UTF-8" standalone="yes"?>
<Relationships xmlns="http://schemas.openxmlformats.org/package/2006/relationships"><Relationship Id="rId2" Type="http://schemas.microsoft.com/office/2011/relationships/chartColorStyle" Target="colors118.xml"/><Relationship Id="rId1" Type="http://schemas.microsoft.com/office/2011/relationships/chartStyle" Target="style118.xml"/></Relationships>
</file>

<file path=xl/charts/_rels/chart119.xml.rels><?xml version="1.0" encoding="UTF-8" standalone="yes"?>
<Relationships xmlns="http://schemas.openxmlformats.org/package/2006/relationships"><Relationship Id="rId2" Type="http://schemas.microsoft.com/office/2011/relationships/chartColorStyle" Target="colors119.xml"/><Relationship Id="rId1" Type="http://schemas.microsoft.com/office/2011/relationships/chartStyle" Target="style119.xml"/></Relationships>
</file>

<file path=xl/charts/_rels/chart120.xml.rels><?xml version="1.0" encoding="UTF-8" standalone="yes"?>
<Relationships xmlns="http://schemas.openxmlformats.org/package/2006/relationships"><Relationship Id="rId2" Type="http://schemas.microsoft.com/office/2011/relationships/chartColorStyle" Target="colors120.xml"/><Relationship Id="rId1" Type="http://schemas.microsoft.com/office/2011/relationships/chartStyle" Target="style120.xml"/></Relationships>
</file>

<file path=xl/charts/_rels/chart121.xml.rels><?xml version="1.0" encoding="UTF-8" standalone="yes"?>
<Relationships xmlns="http://schemas.openxmlformats.org/package/2006/relationships"><Relationship Id="rId2" Type="http://schemas.microsoft.com/office/2011/relationships/chartColorStyle" Target="colors121.xml"/><Relationship Id="rId1" Type="http://schemas.microsoft.com/office/2011/relationships/chartStyle" Target="style121.xml"/></Relationships>
</file>

<file path=xl/charts/_rels/chart122.xml.rels><?xml version="1.0" encoding="UTF-8" standalone="yes"?>
<Relationships xmlns="http://schemas.openxmlformats.org/package/2006/relationships"><Relationship Id="rId2" Type="http://schemas.microsoft.com/office/2011/relationships/chartColorStyle" Target="colors122.xml"/><Relationship Id="rId1" Type="http://schemas.microsoft.com/office/2011/relationships/chartStyle" Target="style122.xml"/></Relationships>
</file>

<file path=xl/charts/_rels/chart123.xml.rels><?xml version="1.0" encoding="UTF-8" standalone="yes"?>
<Relationships xmlns="http://schemas.openxmlformats.org/package/2006/relationships"><Relationship Id="rId2" Type="http://schemas.microsoft.com/office/2011/relationships/chartColorStyle" Target="colors123.xml"/><Relationship Id="rId1" Type="http://schemas.microsoft.com/office/2011/relationships/chartStyle" Target="style123.xml"/></Relationships>
</file>

<file path=xl/charts/_rels/chart124.xml.rels><?xml version="1.0" encoding="UTF-8" standalone="yes"?>
<Relationships xmlns="http://schemas.openxmlformats.org/package/2006/relationships"><Relationship Id="rId2" Type="http://schemas.microsoft.com/office/2011/relationships/chartColorStyle" Target="colors124.xml"/><Relationship Id="rId1" Type="http://schemas.microsoft.com/office/2011/relationships/chartStyle" Target="style124.xml"/></Relationships>
</file>

<file path=xl/charts/_rels/chart125.xml.rels><?xml version="1.0" encoding="UTF-8" standalone="yes"?>
<Relationships xmlns="http://schemas.openxmlformats.org/package/2006/relationships"><Relationship Id="rId2" Type="http://schemas.microsoft.com/office/2011/relationships/chartColorStyle" Target="colors125.xml"/><Relationship Id="rId1" Type="http://schemas.microsoft.com/office/2011/relationships/chartStyle" Target="style125.xml"/></Relationships>
</file>

<file path=xl/charts/_rels/chart126.xml.rels><?xml version="1.0" encoding="UTF-8" standalone="yes"?>
<Relationships xmlns="http://schemas.openxmlformats.org/package/2006/relationships"><Relationship Id="rId2" Type="http://schemas.microsoft.com/office/2011/relationships/chartColorStyle" Target="colors126.xml"/><Relationship Id="rId1" Type="http://schemas.microsoft.com/office/2011/relationships/chartStyle" Target="style126.xml"/></Relationships>
</file>

<file path=xl/charts/_rels/chart127.xml.rels><?xml version="1.0" encoding="UTF-8" standalone="yes"?>
<Relationships xmlns="http://schemas.openxmlformats.org/package/2006/relationships"><Relationship Id="rId2" Type="http://schemas.microsoft.com/office/2011/relationships/chartColorStyle" Target="colors127.xml"/><Relationship Id="rId1" Type="http://schemas.microsoft.com/office/2011/relationships/chartStyle" Target="style127.xml"/></Relationships>
</file>

<file path=xl/charts/_rels/chart128.xml.rels><?xml version="1.0" encoding="UTF-8" standalone="yes"?>
<Relationships xmlns="http://schemas.openxmlformats.org/package/2006/relationships"><Relationship Id="rId2" Type="http://schemas.microsoft.com/office/2011/relationships/chartColorStyle" Target="colors128.xml"/><Relationship Id="rId1" Type="http://schemas.microsoft.com/office/2011/relationships/chartStyle" Target="style128.xml"/></Relationships>
</file>

<file path=xl/charts/_rels/chart129.xml.rels><?xml version="1.0" encoding="UTF-8" standalone="yes"?>
<Relationships xmlns="http://schemas.openxmlformats.org/package/2006/relationships"><Relationship Id="rId2" Type="http://schemas.microsoft.com/office/2011/relationships/chartColorStyle" Target="colors129.xml"/><Relationship Id="rId1" Type="http://schemas.microsoft.com/office/2011/relationships/chartStyle" Target="style129.xml"/></Relationships>
</file>

<file path=xl/charts/_rels/chart130.xml.rels><?xml version="1.0" encoding="UTF-8" standalone="yes"?>
<Relationships xmlns="http://schemas.openxmlformats.org/package/2006/relationships"><Relationship Id="rId2" Type="http://schemas.microsoft.com/office/2011/relationships/chartColorStyle" Target="colors130.xml"/><Relationship Id="rId1" Type="http://schemas.microsoft.com/office/2011/relationships/chartStyle" Target="style130.xml"/></Relationships>
</file>

<file path=xl/charts/_rels/chart131.xml.rels><?xml version="1.0" encoding="UTF-8" standalone="yes"?>
<Relationships xmlns="http://schemas.openxmlformats.org/package/2006/relationships"><Relationship Id="rId2" Type="http://schemas.microsoft.com/office/2011/relationships/chartColorStyle" Target="colors131.xml"/><Relationship Id="rId1" Type="http://schemas.microsoft.com/office/2011/relationships/chartStyle" Target="style131.xml"/></Relationships>
</file>

<file path=xl/charts/_rels/chart132.xml.rels><?xml version="1.0" encoding="UTF-8" standalone="yes"?>
<Relationships xmlns="http://schemas.openxmlformats.org/package/2006/relationships"><Relationship Id="rId2" Type="http://schemas.microsoft.com/office/2011/relationships/chartColorStyle" Target="colors132.xml"/><Relationship Id="rId1" Type="http://schemas.microsoft.com/office/2011/relationships/chartStyle" Target="style132.xml"/></Relationships>
</file>

<file path=xl/charts/_rels/chart133.xml.rels><?xml version="1.0" encoding="UTF-8" standalone="yes"?>
<Relationships xmlns="http://schemas.openxmlformats.org/package/2006/relationships"><Relationship Id="rId2" Type="http://schemas.microsoft.com/office/2011/relationships/chartColorStyle" Target="colors133.xml"/><Relationship Id="rId1" Type="http://schemas.microsoft.com/office/2011/relationships/chartStyle" Target="style133.xml"/></Relationships>
</file>

<file path=xl/charts/_rels/chart134.xml.rels><?xml version="1.0" encoding="UTF-8" standalone="yes"?>
<Relationships xmlns="http://schemas.openxmlformats.org/package/2006/relationships"><Relationship Id="rId2" Type="http://schemas.microsoft.com/office/2011/relationships/chartColorStyle" Target="colors134.xml"/><Relationship Id="rId1" Type="http://schemas.microsoft.com/office/2011/relationships/chartStyle" Target="style134.xml"/></Relationships>
</file>

<file path=xl/charts/_rels/chart135.xml.rels><?xml version="1.0" encoding="UTF-8" standalone="yes"?>
<Relationships xmlns="http://schemas.openxmlformats.org/package/2006/relationships"><Relationship Id="rId2" Type="http://schemas.microsoft.com/office/2011/relationships/chartColorStyle" Target="colors135.xml"/><Relationship Id="rId1" Type="http://schemas.microsoft.com/office/2011/relationships/chartStyle" Target="style135.xml"/></Relationships>
</file>

<file path=xl/charts/_rels/chart136.xml.rels><?xml version="1.0" encoding="UTF-8" standalone="yes"?>
<Relationships xmlns="http://schemas.openxmlformats.org/package/2006/relationships"><Relationship Id="rId2" Type="http://schemas.microsoft.com/office/2011/relationships/chartColorStyle" Target="colors136.xml"/><Relationship Id="rId1" Type="http://schemas.microsoft.com/office/2011/relationships/chartStyle" Target="style136.xml"/></Relationships>
</file>

<file path=xl/charts/_rels/chart137.xml.rels><?xml version="1.0" encoding="UTF-8" standalone="yes"?>
<Relationships xmlns="http://schemas.openxmlformats.org/package/2006/relationships"><Relationship Id="rId2" Type="http://schemas.microsoft.com/office/2011/relationships/chartColorStyle" Target="colors137.xml"/><Relationship Id="rId1" Type="http://schemas.microsoft.com/office/2011/relationships/chartStyle" Target="style137.xml"/></Relationships>
</file>

<file path=xl/charts/_rels/chart138.xml.rels><?xml version="1.0" encoding="UTF-8" standalone="yes"?>
<Relationships xmlns="http://schemas.openxmlformats.org/package/2006/relationships"><Relationship Id="rId2" Type="http://schemas.microsoft.com/office/2011/relationships/chartColorStyle" Target="colors138.xml"/><Relationship Id="rId1" Type="http://schemas.microsoft.com/office/2011/relationships/chartStyle" Target="style138.xml"/></Relationships>
</file>

<file path=xl/charts/_rels/chart139.xml.rels><?xml version="1.0" encoding="UTF-8" standalone="yes"?>
<Relationships xmlns="http://schemas.openxmlformats.org/package/2006/relationships"><Relationship Id="rId2" Type="http://schemas.microsoft.com/office/2011/relationships/chartColorStyle" Target="colors139.xml"/><Relationship Id="rId1" Type="http://schemas.microsoft.com/office/2011/relationships/chartStyle" Target="style139.xml"/></Relationships>
</file>

<file path=xl/charts/_rels/chart140.xml.rels><?xml version="1.0" encoding="UTF-8" standalone="yes"?>
<Relationships xmlns="http://schemas.openxmlformats.org/package/2006/relationships"><Relationship Id="rId2" Type="http://schemas.microsoft.com/office/2011/relationships/chartColorStyle" Target="colors140.xml"/><Relationship Id="rId1" Type="http://schemas.microsoft.com/office/2011/relationships/chartStyle" Target="style140.xml"/></Relationships>
</file>

<file path=xl/charts/_rels/chart141.xml.rels><?xml version="1.0" encoding="UTF-8" standalone="yes"?>
<Relationships xmlns="http://schemas.openxmlformats.org/package/2006/relationships"><Relationship Id="rId2" Type="http://schemas.microsoft.com/office/2011/relationships/chartColorStyle" Target="colors141.xml"/><Relationship Id="rId1" Type="http://schemas.microsoft.com/office/2011/relationships/chartStyle" Target="style141.xml"/></Relationships>
</file>

<file path=xl/charts/_rels/chart142.xml.rels><?xml version="1.0" encoding="UTF-8" standalone="yes"?>
<Relationships xmlns="http://schemas.openxmlformats.org/package/2006/relationships"><Relationship Id="rId2" Type="http://schemas.microsoft.com/office/2011/relationships/chartColorStyle" Target="colors142.xml"/><Relationship Id="rId1" Type="http://schemas.microsoft.com/office/2011/relationships/chartStyle" Target="style142.xml"/></Relationships>
</file>

<file path=xl/charts/_rels/chart143.xml.rels><?xml version="1.0" encoding="UTF-8" standalone="yes"?>
<Relationships xmlns="http://schemas.openxmlformats.org/package/2006/relationships"><Relationship Id="rId2" Type="http://schemas.microsoft.com/office/2011/relationships/chartColorStyle" Target="colors143.xml"/><Relationship Id="rId1" Type="http://schemas.microsoft.com/office/2011/relationships/chartStyle" Target="style143.xml"/></Relationships>
</file>

<file path=xl/charts/_rels/chart144.xml.rels><?xml version="1.0" encoding="UTF-8" standalone="yes"?>
<Relationships xmlns="http://schemas.openxmlformats.org/package/2006/relationships"><Relationship Id="rId2" Type="http://schemas.microsoft.com/office/2011/relationships/chartColorStyle" Target="colors144.xml"/><Relationship Id="rId1" Type="http://schemas.microsoft.com/office/2011/relationships/chartStyle" Target="style144.xml"/></Relationships>
</file>

<file path=xl/charts/_rels/chart145.xml.rels><?xml version="1.0" encoding="UTF-8" standalone="yes"?>
<Relationships xmlns="http://schemas.openxmlformats.org/package/2006/relationships"><Relationship Id="rId2" Type="http://schemas.microsoft.com/office/2011/relationships/chartColorStyle" Target="colors145.xml"/><Relationship Id="rId1" Type="http://schemas.microsoft.com/office/2011/relationships/chartStyle" Target="style145.xml"/></Relationships>
</file>

<file path=xl/charts/_rels/chart146.xml.rels><?xml version="1.0" encoding="UTF-8" standalone="yes"?>
<Relationships xmlns="http://schemas.openxmlformats.org/package/2006/relationships"><Relationship Id="rId2" Type="http://schemas.microsoft.com/office/2011/relationships/chartColorStyle" Target="colors146.xml"/><Relationship Id="rId1" Type="http://schemas.microsoft.com/office/2011/relationships/chartStyle" Target="style14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sz="1200" b="1" baseline="0"/>
              <a:t>PIB VS Inversión neta 1988-2004 (</a:t>
            </a:r>
            <a:r>
              <a:rPr lang="es-MX" sz="1200" b="1" i="0" u="none" strike="noStrike" baseline="0">
                <a:effectLst/>
              </a:rPr>
              <a:t>variación % </a:t>
            </a:r>
            <a:r>
              <a:rPr lang="es-MX" sz="1200" b="1" baseline="0"/>
              <a:t>)</a:t>
            </a:r>
            <a:endParaRPr lang="es-MX"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v>PIB</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'Ejercicio 2.83'!$A$25:$A$40</c:f>
              <c:numCache>
                <c:formatCode>yyyy</c:formatCode>
                <c:ptCount val="16"/>
                <c:pt idx="0">
                  <c:v>32509</c:v>
                </c:pt>
                <c:pt idx="1">
                  <c:v>32874</c:v>
                </c:pt>
                <c:pt idx="2">
                  <c:v>33239</c:v>
                </c:pt>
                <c:pt idx="3">
                  <c:v>33604</c:v>
                </c:pt>
                <c:pt idx="4">
                  <c:v>33970</c:v>
                </c:pt>
                <c:pt idx="5">
                  <c:v>34335</c:v>
                </c:pt>
                <c:pt idx="6">
                  <c:v>34700</c:v>
                </c:pt>
                <c:pt idx="7">
                  <c:v>35065</c:v>
                </c:pt>
                <c:pt idx="8">
                  <c:v>35431</c:v>
                </c:pt>
                <c:pt idx="9">
                  <c:v>35796</c:v>
                </c:pt>
                <c:pt idx="10">
                  <c:v>36161</c:v>
                </c:pt>
                <c:pt idx="11">
                  <c:v>36526</c:v>
                </c:pt>
                <c:pt idx="12">
                  <c:v>36892</c:v>
                </c:pt>
                <c:pt idx="13">
                  <c:v>37257</c:v>
                </c:pt>
                <c:pt idx="14">
                  <c:v>37622</c:v>
                </c:pt>
                <c:pt idx="15">
                  <c:v>37987</c:v>
                </c:pt>
              </c:numCache>
            </c:numRef>
          </c:xVal>
          <c:yVal>
            <c:numRef>
              <c:f>'Ejercicio 2.83'!$J$25:$J$40</c:f>
              <c:numCache>
                <c:formatCode>0.0%</c:formatCode>
                <c:ptCount val="16"/>
                <c:pt idx="0">
                  <c:v>4.1982941389226765E-2</c:v>
                </c:pt>
                <c:pt idx="1">
                  <c:v>5.0683030655955974E-2</c:v>
                </c:pt>
                <c:pt idx="2">
                  <c:v>4.2222558229737105E-2</c:v>
                </c:pt>
                <c:pt idx="3">
                  <c:v>3.6286529124478495E-2</c:v>
                </c:pt>
                <c:pt idx="4">
                  <c:v>1.950530380616251E-2</c:v>
                </c:pt>
                <c:pt idx="5">
                  <c:v>4.4153221312597787E-2</c:v>
                </c:pt>
                <c:pt idx="6">
                  <c:v>-6.1669893236903951E-2</c:v>
                </c:pt>
                <c:pt idx="7">
                  <c:v>5.1533140484042887E-2</c:v>
                </c:pt>
                <c:pt idx="8">
                  <c:v>6.7719695755652468E-2</c:v>
                </c:pt>
                <c:pt idx="9">
                  <c:v>5.0303754590259098E-2</c:v>
                </c:pt>
                <c:pt idx="10">
                  <c:v>3.7568516338812412E-2</c:v>
                </c:pt>
                <c:pt idx="11">
                  <c:v>6.5909742900477797E-2</c:v>
                </c:pt>
                <c:pt idx="12">
                  <c:v>-3.2826044578747083E-4</c:v>
                </c:pt>
                <c:pt idx="13">
                  <c:v>7.7194891440301693E-3</c:v>
                </c:pt>
                <c:pt idx="14">
                  <c:v>1.3902579469219245E-2</c:v>
                </c:pt>
                <c:pt idx="15">
                  <c:v>4.1611730146608593E-2</c:v>
                </c:pt>
              </c:numCache>
            </c:numRef>
          </c:yVal>
          <c:smooth val="0"/>
          <c:extLst>
            <c:ext xmlns:c16="http://schemas.microsoft.com/office/drawing/2014/chart" uri="{C3380CC4-5D6E-409C-BE32-E72D297353CC}">
              <c16:uniqueId val="{00000000-DFD2-4151-9826-EF8B81769196}"/>
            </c:ext>
          </c:extLst>
        </c:ser>
        <c:ser>
          <c:idx val="1"/>
          <c:order val="1"/>
          <c:tx>
            <c:v>Inversión</c:v>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'Ejercicio 2.83'!$A$25:$A$40</c:f>
              <c:numCache>
                <c:formatCode>yyyy</c:formatCode>
                <c:ptCount val="16"/>
                <c:pt idx="0">
                  <c:v>32509</c:v>
                </c:pt>
                <c:pt idx="1">
                  <c:v>32874</c:v>
                </c:pt>
                <c:pt idx="2">
                  <c:v>33239</c:v>
                </c:pt>
                <c:pt idx="3">
                  <c:v>33604</c:v>
                </c:pt>
                <c:pt idx="4">
                  <c:v>33970</c:v>
                </c:pt>
                <c:pt idx="5">
                  <c:v>34335</c:v>
                </c:pt>
                <c:pt idx="6">
                  <c:v>34700</c:v>
                </c:pt>
                <c:pt idx="7">
                  <c:v>35065</c:v>
                </c:pt>
                <c:pt idx="8">
                  <c:v>35431</c:v>
                </c:pt>
                <c:pt idx="9">
                  <c:v>35796</c:v>
                </c:pt>
                <c:pt idx="10">
                  <c:v>36161</c:v>
                </c:pt>
                <c:pt idx="11">
                  <c:v>36526</c:v>
                </c:pt>
                <c:pt idx="12">
                  <c:v>36892</c:v>
                </c:pt>
                <c:pt idx="13">
                  <c:v>37257</c:v>
                </c:pt>
                <c:pt idx="14">
                  <c:v>37622</c:v>
                </c:pt>
                <c:pt idx="15">
                  <c:v>37987</c:v>
                </c:pt>
              </c:numCache>
            </c:numRef>
          </c:xVal>
          <c:yVal>
            <c:numRef>
              <c:f>'Ejercicio 2.83'!$K$25:$K$40</c:f>
              <c:numCache>
                <c:formatCode>0.0%</c:formatCode>
                <c:ptCount val="16"/>
                <c:pt idx="0">
                  <c:v>0.11508252112141208</c:v>
                </c:pt>
                <c:pt idx="1">
                  <c:v>0.15099253360664405</c:v>
                </c:pt>
                <c:pt idx="2">
                  <c:v>0.12270244324018632</c:v>
                </c:pt>
                <c:pt idx="3">
                  <c:v>7.8876440551969643E-2</c:v>
                </c:pt>
                <c:pt idx="4">
                  <c:v>-4.6548207247818829E-2</c:v>
                </c:pt>
                <c:pt idx="5">
                  <c:v>5.8737202712975514E-2</c:v>
                </c:pt>
                <c:pt idx="6">
                  <c:v>-0.21167226389644594</c:v>
                </c:pt>
                <c:pt idx="7">
                  <c:v>5.985341971381835E-2</c:v>
                </c:pt>
                <c:pt idx="8">
                  <c:v>0.15977600633923253</c:v>
                </c:pt>
                <c:pt idx="9">
                  <c:v>9.9526736774034619E-2</c:v>
                </c:pt>
                <c:pt idx="10">
                  <c:v>0.13005068296410008</c:v>
                </c:pt>
                <c:pt idx="11">
                  <c:v>0.10968000012391713</c:v>
                </c:pt>
                <c:pt idx="12">
                  <c:v>-8.1279350197915892E-2</c:v>
                </c:pt>
                <c:pt idx="13">
                  <c:v>7.1409688015609005E-4</c:v>
                </c:pt>
                <c:pt idx="14">
                  <c:v>6.5828808886135889E-2</c:v>
                </c:pt>
                <c:pt idx="15">
                  <c:v>7.7631216731297401E-2</c:v>
                </c:pt>
              </c:numCache>
            </c:numRef>
          </c:yVal>
          <c:smooth val="0"/>
          <c:extLst>
            <c:ext xmlns:c16="http://schemas.microsoft.com/office/drawing/2014/chart" uri="{C3380CC4-5D6E-409C-BE32-E72D297353CC}">
              <c16:uniqueId val="{00000001-DFD2-4151-9826-EF8B81769196}"/>
            </c:ext>
          </c:extLst>
        </c:ser>
        <c:dLbls>
          <c:showLegendKey val="0"/>
          <c:showVal val="0"/>
          <c:showCatName val="0"/>
          <c:showSerName val="0"/>
          <c:showPercent val="0"/>
          <c:showBubbleSize val="0"/>
        </c:dLbls>
        <c:axId val="1663205855"/>
        <c:axId val="1658628303"/>
      </c:scatterChart>
      <c:valAx>
        <c:axId val="166320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Años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58628303"/>
        <c:crosses val="autoZero"/>
        <c:crossBetween val="midCat"/>
      </c:valAx>
      <c:valAx>
        <c:axId val="1658628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Variación</a:t>
                </a:r>
                <a:r>
                  <a:rPr lang="es-MX" baseline="0"/>
                  <a:t> %</a:t>
                </a:r>
                <a:endParaRPr lang="es-MX"/>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632058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playeras de Ramón en un año.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1"/>
          <c:order val="0"/>
          <c:tx>
            <c:strRef>
              <c:f>'Ejercicios 3.1-3.11'!$B$2</c:f>
              <c:strCache>
                <c:ptCount val="1"/>
                <c:pt idx="0">
                  <c:v>Cantidad de playeras</c:v>
                </c:pt>
              </c:strCache>
            </c:strRef>
          </c:tx>
          <c:spPr>
            <a:ln w="25400" cap="rnd">
              <a:noFill/>
              <a:round/>
            </a:ln>
            <a:effectLst/>
          </c:spPr>
          <c:marker>
            <c:symbol val="circle"/>
            <c:size val="6"/>
            <c:spPr>
              <a:solidFill>
                <a:schemeClr val="lt1"/>
              </a:solidFill>
              <a:ln w="15875">
                <a:solidFill>
                  <a:schemeClr val="accent2"/>
                </a:solidFill>
                <a:round/>
              </a:ln>
              <a:effectLst/>
            </c:spPr>
          </c:marker>
          <c:xVal>
            <c:numRef>
              <c:f>'Ejercicios 3.1-3.11'!$A$3:$A$8</c:f>
              <c:numCache>
                <c:formatCode>General</c:formatCode>
                <c:ptCount val="6"/>
                <c:pt idx="0">
                  <c:v>15</c:v>
                </c:pt>
                <c:pt idx="1">
                  <c:v>20</c:v>
                </c:pt>
                <c:pt idx="2">
                  <c:v>25</c:v>
                </c:pt>
                <c:pt idx="3">
                  <c:v>30</c:v>
                </c:pt>
                <c:pt idx="4">
                  <c:v>35</c:v>
                </c:pt>
                <c:pt idx="5">
                  <c:v>40</c:v>
                </c:pt>
              </c:numCache>
            </c:numRef>
          </c:xVal>
          <c:yVal>
            <c:numRef>
              <c:f>'Ejercicios 3.1-3.11'!$B$3:$B$8</c:f>
              <c:numCache>
                <c:formatCode>General</c:formatCode>
                <c:ptCount val="6"/>
                <c:pt idx="0">
                  <c:v>35</c:v>
                </c:pt>
                <c:pt idx="1">
                  <c:v>30</c:v>
                </c:pt>
                <c:pt idx="2">
                  <c:v>25</c:v>
                </c:pt>
                <c:pt idx="3">
                  <c:v>20</c:v>
                </c:pt>
                <c:pt idx="4">
                  <c:v>15</c:v>
                </c:pt>
                <c:pt idx="5">
                  <c:v>10</c:v>
                </c:pt>
              </c:numCache>
            </c:numRef>
          </c:yVal>
          <c:smooth val="0"/>
          <c:extLst>
            <c:ext xmlns:c16="http://schemas.microsoft.com/office/drawing/2014/chart" uri="{C3380CC4-5D6E-409C-BE32-E72D297353CC}">
              <c16:uniqueId val="{00000006-E09E-4CAE-B239-314B4CA94F10}"/>
            </c:ext>
          </c:extLst>
        </c:ser>
        <c:ser>
          <c:idx val="0"/>
          <c:order val="1"/>
          <c:tx>
            <c:strRef>
              <c:f>'Ejercicios 3.1-3.11'!$B$2</c:f>
              <c:strCache>
                <c:ptCount val="1"/>
                <c:pt idx="0">
                  <c:v>Cantidad de playeras</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3.1-3.11'!$A$3:$A$8</c:f>
              <c:numCache>
                <c:formatCode>General</c:formatCode>
                <c:ptCount val="6"/>
                <c:pt idx="0">
                  <c:v>15</c:v>
                </c:pt>
                <c:pt idx="1">
                  <c:v>20</c:v>
                </c:pt>
                <c:pt idx="2">
                  <c:v>25</c:v>
                </c:pt>
                <c:pt idx="3">
                  <c:v>30</c:v>
                </c:pt>
                <c:pt idx="4">
                  <c:v>35</c:v>
                </c:pt>
                <c:pt idx="5">
                  <c:v>40</c:v>
                </c:pt>
              </c:numCache>
            </c:numRef>
          </c:xVal>
          <c:yVal>
            <c:numRef>
              <c:f>'Ejercicios 3.1-3.11'!$B$3:$B$8</c:f>
              <c:numCache>
                <c:formatCode>General</c:formatCode>
                <c:ptCount val="6"/>
                <c:pt idx="0">
                  <c:v>35</c:v>
                </c:pt>
                <c:pt idx="1">
                  <c:v>30</c:v>
                </c:pt>
                <c:pt idx="2">
                  <c:v>25</c:v>
                </c:pt>
                <c:pt idx="3">
                  <c:v>20</c:v>
                </c:pt>
                <c:pt idx="4">
                  <c:v>15</c:v>
                </c:pt>
                <c:pt idx="5">
                  <c:v>10</c:v>
                </c:pt>
              </c:numCache>
            </c:numRef>
          </c:yVal>
          <c:smooth val="0"/>
          <c:extLst>
            <c:ext xmlns:c16="http://schemas.microsoft.com/office/drawing/2014/chart" uri="{C3380CC4-5D6E-409C-BE32-E72D297353CC}">
              <c16:uniqueId val="{00000005-E09E-4CAE-B239-314B4CA94F1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 playeras</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playeras de Raúl en un año.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1"/>
          <c:order val="0"/>
          <c:tx>
            <c:strRef>
              <c:f>'Ejercicios 3.1-3.11'!$B$18</c:f>
              <c:strCache>
                <c:ptCount val="1"/>
                <c:pt idx="0">
                  <c:v>Cantidad de playeras</c:v>
                </c:pt>
              </c:strCache>
            </c:strRef>
          </c:tx>
          <c:spPr>
            <a:ln w="25400" cap="rnd">
              <a:noFill/>
              <a:round/>
            </a:ln>
            <a:effectLst/>
          </c:spPr>
          <c:marker>
            <c:symbol val="circle"/>
            <c:size val="6"/>
            <c:spPr>
              <a:solidFill>
                <a:schemeClr val="lt1"/>
              </a:solidFill>
              <a:ln w="15875">
                <a:solidFill>
                  <a:schemeClr val="accent2"/>
                </a:solidFill>
                <a:round/>
              </a:ln>
              <a:effectLst/>
            </c:spPr>
          </c:marker>
          <c:xVal>
            <c:numRef>
              <c:f>'Ejercicios 3.1-3.11'!$A$19:$A$23</c:f>
              <c:numCache>
                <c:formatCode>General</c:formatCode>
                <c:ptCount val="5"/>
                <c:pt idx="0">
                  <c:v>20</c:v>
                </c:pt>
                <c:pt idx="1">
                  <c:v>25</c:v>
                </c:pt>
                <c:pt idx="2">
                  <c:v>30</c:v>
                </c:pt>
                <c:pt idx="3">
                  <c:v>35</c:v>
                </c:pt>
                <c:pt idx="4">
                  <c:v>40</c:v>
                </c:pt>
              </c:numCache>
            </c:numRef>
          </c:xVal>
          <c:yVal>
            <c:numRef>
              <c:f>'Ejercicios 3.1-3.11'!$B$19:$B$23</c:f>
              <c:numCache>
                <c:formatCode>General</c:formatCode>
                <c:ptCount val="5"/>
                <c:pt idx="0">
                  <c:v>25</c:v>
                </c:pt>
                <c:pt idx="1">
                  <c:v>20</c:v>
                </c:pt>
                <c:pt idx="2">
                  <c:v>16</c:v>
                </c:pt>
                <c:pt idx="3">
                  <c:v>10</c:v>
                </c:pt>
                <c:pt idx="4">
                  <c:v>5</c:v>
                </c:pt>
              </c:numCache>
            </c:numRef>
          </c:yVal>
          <c:smooth val="0"/>
          <c:extLst>
            <c:ext xmlns:c16="http://schemas.microsoft.com/office/drawing/2014/chart" uri="{C3380CC4-5D6E-409C-BE32-E72D297353CC}">
              <c16:uniqueId val="{00000000-EE57-4646-A897-41CF2978C410}"/>
            </c:ext>
          </c:extLst>
        </c:ser>
        <c:ser>
          <c:idx val="0"/>
          <c:order val="1"/>
          <c:tx>
            <c:strRef>
              <c:f>'Ejercicios 3.1-3.11'!$B$18</c:f>
              <c:strCache>
                <c:ptCount val="1"/>
                <c:pt idx="0">
                  <c:v>Cantidad de playeras</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3.1-3.11'!$A$19:$A$24</c:f>
              <c:numCache>
                <c:formatCode>General</c:formatCode>
                <c:ptCount val="6"/>
                <c:pt idx="0">
                  <c:v>20</c:v>
                </c:pt>
                <c:pt idx="1">
                  <c:v>25</c:v>
                </c:pt>
                <c:pt idx="2">
                  <c:v>30</c:v>
                </c:pt>
                <c:pt idx="3">
                  <c:v>35</c:v>
                </c:pt>
                <c:pt idx="4">
                  <c:v>40</c:v>
                </c:pt>
              </c:numCache>
            </c:numRef>
          </c:xVal>
          <c:yVal>
            <c:numRef>
              <c:f>'Ejercicios 3.1-3.11'!$B$19:$B$24</c:f>
              <c:numCache>
                <c:formatCode>General</c:formatCode>
                <c:ptCount val="6"/>
                <c:pt idx="0">
                  <c:v>25</c:v>
                </c:pt>
                <c:pt idx="1">
                  <c:v>20</c:v>
                </c:pt>
                <c:pt idx="2">
                  <c:v>16</c:v>
                </c:pt>
                <c:pt idx="3">
                  <c:v>10</c:v>
                </c:pt>
                <c:pt idx="4">
                  <c:v>5</c:v>
                </c:pt>
              </c:numCache>
            </c:numRef>
          </c:yVal>
          <c:smooth val="0"/>
          <c:extLst>
            <c:ext xmlns:c16="http://schemas.microsoft.com/office/drawing/2014/chart" uri="{C3380CC4-5D6E-409C-BE32-E72D297353CC}">
              <c16:uniqueId val="{00000002-EE57-4646-A897-41CF2978C41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 playeras</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playeras de José en un año.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3.1-3.11'!$B$35</c:f>
              <c:strCache>
                <c:ptCount val="1"/>
                <c:pt idx="0">
                  <c:v>Cantidad de playeras</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3.1-3.11'!$A$36:$A$41</c:f>
              <c:numCache>
                <c:formatCode>General</c:formatCode>
                <c:ptCount val="6"/>
                <c:pt idx="0">
                  <c:v>0</c:v>
                </c:pt>
                <c:pt idx="1">
                  <c:v>5</c:v>
                </c:pt>
                <c:pt idx="2">
                  <c:v>10</c:v>
                </c:pt>
                <c:pt idx="3">
                  <c:v>15</c:v>
                </c:pt>
                <c:pt idx="4">
                  <c:v>20</c:v>
                </c:pt>
                <c:pt idx="5">
                  <c:v>25</c:v>
                </c:pt>
              </c:numCache>
            </c:numRef>
          </c:xVal>
          <c:yVal>
            <c:numRef>
              <c:f>'Ejercicios 3.1-3.11'!$B$36:$B$41</c:f>
              <c:numCache>
                <c:formatCode>General</c:formatCode>
                <c:ptCount val="6"/>
                <c:pt idx="0">
                  <c:v>80</c:v>
                </c:pt>
                <c:pt idx="1">
                  <c:v>60</c:v>
                </c:pt>
                <c:pt idx="2">
                  <c:v>55</c:v>
                </c:pt>
                <c:pt idx="3">
                  <c:v>30</c:v>
                </c:pt>
                <c:pt idx="4">
                  <c:v>10</c:v>
                </c:pt>
                <c:pt idx="5">
                  <c:v>0</c:v>
                </c:pt>
              </c:numCache>
            </c:numRef>
          </c:yVal>
          <c:smooth val="0"/>
          <c:extLst>
            <c:ext xmlns:c16="http://schemas.microsoft.com/office/drawing/2014/chart" uri="{C3380CC4-5D6E-409C-BE32-E72D297353CC}">
              <c16:uniqueId val="{00000002-9D1E-4DB3-BC74-5C68102A941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 playeras</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de playeras de Eurípides en un año.</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3.1-3.11'!$B$35</c:f>
              <c:strCache>
                <c:ptCount val="1"/>
                <c:pt idx="0">
                  <c:v>Cantidad de playeras</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3.1-3.11'!$A$53:$A$57</c:f>
              <c:numCache>
                <c:formatCode>General</c:formatCode>
                <c:ptCount val="5"/>
                <c:pt idx="0">
                  <c:v>20</c:v>
                </c:pt>
                <c:pt idx="1">
                  <c:v>15</c:v>
                </c:pt>
                <c:pt idx="2">
                  <c:v>10</c:v>
                </c:pt>
                <c:pt idx="3">
                  <c:v>5</c:v>
                </c:pt>
                <c:pt idx="4">
                  <c:v>0</c:v>
                </c:pt>
              </c:numCache>
            </c:numRef>
          </c:xVal>
          <c:yVal>
            <c:numRef>
              <c:f>'Ejercicios 3.1-3.11'!$B$53:$B$57</c:f>
              <c:numCache>
                <c:formatCode>General</c:formatCode>
                <c:ptCount val="5"/>
                <c:pt idx="0">
                  <c:v>2</c:v>
                </c:pt>
                <c:pt idx="1">
                  <c:v>10</c:v>
                </c:pt>
                <c:pt idx="2">
                  <c:v>25</c:v>
                </c:pt>
                <c:pt idx="3">
                  <c:v>30</c:v>
                </c:pt>
                <c:pt idx="4">
                  <c:v>40</c:v>
                </c:pt>
              </c:numCache>
            </c:numRef>
          </c:yVal>
          <c:smooth val="0"/>
          <c:extLst>
            <c:ext xmlns:c16="http://schemas.microsoft.com/office/drawing/2014/chart" uri="{C3380CC4-5D6E-409C-BE32-E72D297353CC}">
              <c16:uniqueId val="{00000001-1E23-4BB8-95E9-BC2A0D44437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 playeras</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total de playeras en un año.</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3.1-3.11'!$E$68</c:f>
              <c:strCache>
                <c:ptCount val="1"/>
                <c:pt idx="0">
                  <c:v>Cantidad de playeras</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3.1-3.11'!$D$69:$D$77</c:f>
              <c:numCache>
                <c:formatCode>General</c:formatCode>
                <c:ptCount val="9"/>
                <c:pt idx="0">
                  <c:v>0</c:v>
                </c:pt>
                <c:pt idx="1">
                  <c:v>5</c:v>
                </c:pt>
                <c:pt idx="2">
                  <c:v>10</c:v>
                </c:pt>
                <c:pt idx="3">
                  <c:v>15</c:v>
                </c:pt>
                <c:pt idx="4">
                  <c:v>20</c:v>
                </c:pt>
                <c:pt idx="5">
                  <c:v>25</c:v>
                </c:pt>
                <c:pt idx="6">
                  <c:v>30</c:v>
                </c:pt>
                <c:pt idx="7">
                  <c:v>35</c:v>
                </c:pt>
                <c:pt idx="8">
                  <c:v>40</c:v>
                </c:pt>
              </c:numCache>
            </c:numRef>
          </c:xVal>
          <c:yVal>
            <c:numRef>
              <c:f>'Ejercicios 3.1-3.11'!$E$69:$E$77</c:f>
              <c:numCache>
                <c:formatCode>General</c:formatCode>
                <c:ptCount val="9"/>
                <c:pt idx="0">
                  <c:v>120</c:v>
                </c:pt>
                <c:pt idx="1">
                  <c:v>90</c:v>
                </c:pt>
                <c:pt idx="2">
                  <c:v>80</c:v>
                </c:pt>
                <c:pt idx="3">
                  <c:v>75</c:v>
                </c:pt>
                <c:pt idx="4">
                  <c:v>67</c:v>
                </c:pt>
                <c:pt idx="5">
                  <c:v>45</c:v>
                </c:pt>
                <c:pt idx="6">
                  <c:v>36</c:v>
                </c:pt>
                <c:pt idx="7">
                  <c:v>25</c:v>
                </c:pt>
                <c:pt idx="8">
                  <c:v>15</c:v>
                </c:pt>
              </c:numCache>
            </c:numRef>
          </c:yVal>
          <c:smooth val="0"/>
          <c:extLst>
            <c:ext xmlns:c16="http://schemas.microsoft.com/office/drawing/2014/chart" uri="{C3380CC4-5D6E-409C-BE32-E72D297353CC}">
              <c16:uniqueId val="{00000001-B186-4063-AF21-DB46B9B1558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 playeras</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3.1-3.11'!$F$94:$F$98</c:f>
              <c:numCache>
                <c:formatCode>General</c:formatCode>
                <c:ptCount val="5"/>
                <c:pt idx="0">
                  <c:v>30</c:v>
                </c:pt>
                <c:pt idx="1">
                  <c:v>20</c:v>
                </c:pt>
                <c:pt idx="2">
                  <c:v>15</c:v>
                </c:pt>
                <c:pt idx="3">
                  <c:v>10</c:v>
                </c:pt>
                <c:pt idx="4">
                  <c:v>0</c:v>
                </c:pt>
              </c:numCache>
            </c:numRef>
          </c:xVal>
          <c:yVal>
            <c:numRef>
              <c:f>'Ejercicios 3.1-3.11'!$A$94:$A$98</c:f>
              <c:numCache>
                <c:formatCode>General</c:formatCode>
                <c:ptCount val="5"/>
                <c:pt idx="0">
                  <c:v>60</c:v>
                </c:pt>
                <c:pt idx="1">
                  <c:v>80</c:v>
                </c:pt>
                <c:pt idx="2">
                  <c:v>90</c:v>
                </c:pt>
                <c:pt idx="3">
                  <c:v>100</c:v>
                </c:pt>
                <c:pt idx="4">
                  <c:v>120</c:v>
                </c:pt>
              </c:numCache>
            </c:numRef>
          </c:yVal>
          <c:smooth val="0"/>
          <c:extLst>
            <c:ext xmlns:c16="http://schemas.microsoft.com/office/drawing/2014/chart" uri="{C3380CC4-5D6E-409C-BE32-E72D297353CC}">
              <c16:uniqueId val="{00000001-B61B-4353-AAAA-C175D52482DB}"/>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3.1-3.11'!$F$112:$F$116</c:f>
              <c:numCache>
                <c:formatCode>0</c:formatCode>
                <c:ptCount val="5"/>
                <c:pt idx="0">
                  <c:v>25</c:v>
                </c:pt>
                <c:pt idx="1">
                  <c:v>18.333333333333336</c:v>
                </c:pt>
                <c:pt idx="2">
                  <c:v>15</c:v>
                </c:pt>
                <c:pt idx="3">
                  <c:v>11.666666666666671</c:v>
                </c:pt>
                <c:pt idx="4">
                  <c:v>5</c:v>
                </c:pt>
              </c:numCache>
            </c:numRef>
          </c:xVal>
          <c:yVal>
            <c:numRef>
              <c:f>'Ejercicios 3.1-3.11'!$A$112:$A$116</c:f>
              <c:numCache>
                <c:formatCode>General</c:formatCode>
                <c:ptCount val="5"/>
                <c:pt idx="0">
                  <c:v>60</c:v>
                </c:pt>
                <c:pt idx="1">
                  <c:v>80</c:v>
                </c:pt>
                <c:pt idx="2">
                  <c:v>90</c:v>
                </c:pt>
                <c:pt idx="3">
                  <c:v>100</c:v>
                </c:pt>
                <c:pt idx="4">
                  <c:v>120</c:v>
                </c:pt>
              </c:numCache>
            </c:numRef>
          </c:yVal>
          <c:smooth val="0"/>
          <c:extLst>
            <c:ext xmlns:c16="http://schemas.microsoft.com/office/drawing/2014/chart" uri="{C3380CC4-5D6E-409C-BE32-E72D297353CC}">
              <c16:uniqueId val="{00000001-8910-433A-9631-388C132085E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3.1-3.11'!$F$129:$F$133</c:f>
              <c:numCache>
                <c:formatCode>0</c:formatCode>
                <c:ptCount val="5"/>
                <c:pt idx="0">
                  <c:v>80</c:v>
                </c:pt>
                <c:pt idx="1">
                  <c:v>79</c:v>
                </c:pt>
                <c:pt idx="2">
                  <c:v>77.5</c:v>
                </c:pt>
                <c:pt idx="3">
                  <c:v>72</c:v>
                </c:pt>
                <c:pt idx="4">
                  <c:v>65</c:v>
                </c:pt>
              </c:numCache>
            </c:numRef>
          </c:xVal>
          <c:yVal>
            <c:numRef>
              <c:f>'Ejercicios 3.1-3.11'!$A$129:$A$133</c:f>
              <c:numCache>
                <c:formatCode>General</c:formatCode>
                <c:ptCount val="5"/>
                <c:pt idx="0">
                  <c:v>0</c:v>
                </c:pt>
                <c:pt idx="1">
                  <c:v>10</c:v>
                </c:pt>
                <c:pt idx="2">
                  <c:v>25</c:v>
                </c:pt>
                <c:pt idx="3">
                  <c:v>80</c:v>
                </c:pt>
                <c:pt idx="4">
                  <c:v>150</c:v>
                </c:pt>
              </c:numCache>
            </c:numRef>
          </c:yVal>
          <c:smooth val="0"/>
          <c:extLst>
            <c:ext xmlns:c16="http://schemas.microsoft.com/office/drawing/2014/chart" uri="{C3380CC4-5D6E-409C-BE32-E72D297353CC}">
              <c16:uniqueId val="{00000001-BDAF-4FF2-9928-0F65E23BD22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Demanda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3.1-3.11'!$F$145:$F$149</c:f>
              <c:numCache>
                <c:formatCode>0</c:formatCode>
                <c:ptCount val="5"/>
                <c:pt idx="0">
                  <c:v>20</c:v>
                </c:pt>
                <c:pt idx="1">
                  <c:v>60</c:v>
                </c:pt>
                <c:pt idx="2">
                  <c:v>100</c:v>
                </c:pt>
                <c:pt idx="3">
                  <c:v>140</c:v>
                </c:pt>
                <c:pt idx="4">
                  <c:v>180</c:v>
                </c:pt>
              </c:numCache>
            </c:numRef>
          </c:xVal>
          <c:yVal>
            <c:numRef>
              <c:f>'Ejercicios 3.1-3.11'!$A$145:$A$149</c:f>
              <c:numCache>
                <c:formatCode>General</c:formatCode>
                <c:ptCount val="5"/>
                <c:pt idx="0">
                  <c:v>50</c:v>
                </c:pt>
                <c:pt idx="1">
                  <c:v>40</c:v>
                </c:pt>
                <c:pt idx="2">
                  <c:v>30</c:v>
                </c:pt>
                <c:pt idx="3">
                  <c:v>20</c:v>
                </c:pt>
                <c:pt idx="4">
                  <c:v>10</c:v>
                </c:pt>
              </c:numCache>
            </c:numRef>
          </c:yVal>
          <c:smooth val="0"/>
          <c:extLst>
            <c:ext xmlns:c16="http://schemas.microsoft.com/office/drawing/2014/chart" uri="{C3380CC4-5D6E-409C-BE32-E72D297353CC}">
              <c16:uniqueId val="{00000001-73E8-4AC5-BCF0-8ADB6694242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Oferta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3.1-3.11'!$F$161:$F$165</c:f>
              <c:numCache>
                <c:formatCode>0</c:formatCode>
                <c:ptCount val="5"/>
                <c:pt idx="0">
                  <c:v>20.5</c:v>
                </c:pt>
                <c:pt idx="1">
                  <c:v>21</c:v>
                </c:pt>
                <c:pt idx="2">
                  <c:v>21.5</c:v>
                </c:pt>
                <c:pt idx="3">
                  <c:v>22</c:v>
                </c:pt>
                <c:pt idx="4">
                  <c:v>22.5</c:v>
                </c:pt>
              </c:numCache>
            </c:numRef>
          </c:xVal>
          <c:yVal>
            <c:numRef>
              <c:f>'Ejercicios 3.1-3.11'!$A$161:$A$165</c:f>
              <c:numCache>
                <c:formatCode>General</c:formatCode>
                <c:ptCount val="5"/>
                <c:pt idx="0">
                  <c:v>1</c:v>
                </c:pt>
                <c:pt idx="1">
                  <c:v>2</c:v>
                </c:pt>
                <c:pt idx="2">
                  <c:v>3</c:v>
                </c:pt>
                <c:pt idx="3">
                  <c:v>4</c:v>
                </c:pt>
                <c:pt idx="4">
                  <c:v>5</c:v>
                </c:pt>
              </c:numCache>
            </c:numRef>
          </c:yVal>
          <c:smooth val="0"/>
          <c:extLst>
            <c:ext xmlns:c16="http://schemas.microsoft.com/office/drawing/2014/chart" uri="{C3380CC4-5D6E-409C-BE32-E72D297353CC}">
              <c16:uniqueId val="{00000001-3B97-49E2-860E-4968F10309E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r>
              <a:rPr lang="en-US" sz="1500"/>
              <a:t>Oferta</a:t>
            </a:r>
            <a:r>
              <a:rPr lang="en-US" sz="1500" baseline="0"/>
              <a:t> de un bien X.</a:t>
            </a:r>
            <a:endParaRPr lang="en-US" sz="1500"/>
          </a:p>
        </c:rich>
      </c:tx>
      <c:overlay val="0"/>
      <c:spPr>
        <a:noFill/>
        <a:ln>
          <a:noFill/>
        </a:ln>
        <a:effectLst/>
      </c:spPr>
      <c:txPr>
        <a:bodyPr rot="0" spcFirstLastPara="1" vertOverflow="ellipsis" vert="horz" wrap="square" anchor="ctr" anchorCtr="1"/>
        <a:lstStyle/>
        <a:p>
          <a:pPr>
            <a:defRPr sz="15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3.1-3.11'!$A$99</c:f>
              <c:strCache>
                <c:ptCount val="1"/>
                <c:pt idx="0">
                  <c:v>Demanda de un bien 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3.1-3.11'!$F$178:$F$182</c:f>
              <c:numCache>
                <c:formatCode>0</c:formatCode>
                <c:ptCount val="5"/>
                <c:pt idx="0">
                  <c:v>22</c:v>
                </c:pt>
                <c:pt idx="1">
                  <c:v>24</c:v>
                </c:pt>
                <c:pt idx="2">
                  <c:v>26</c:v>
                </c:pt>
                <c:pt idx="3">
                  <c:v>28</c:v>
                </c:pt>
                <c:pt idx="4">
                  <c:v>30</c:v>
                </c:pt>
              </c:numCache>
            </c:numRef>
          </c:xVal>
          <c:yVal>
            <c:numRef>
              <c:f>'Ejercicios 3.1-3.11'!$A$178:$A$182</c:f>
              <c:numCache>
                <c:formatCode>General</c:formatCode>
                <c:ptCount val="5"/>
                <c:pt idx="0">
                  <c:v>1</c:v>
                </c:pt>
                <c:pt idx="1">
                  <c:v>2</c:v>
                </c:pt>
                <c:pt idx="2">
                  <c:v>3</c:v>
                </c:pt>
                <c:pt idx="3">
                  <c:v>4</c:v>
                </c:pt>
                <c:pt idx="4">
                  <c:v>5</c:v>
                </c:pt>
              </c:numCache>
            </c:numRef>
          </c:yVal>
          <c:smooth val="0"/>
          <c:extLst>
            <c:ext xmlns:c16="http://schemas.microsoft.com/office/drawing/2014/chart" uri="{C3380CC4-5D6E-409C-BE32-E72D297353CC}">
              <c16:uniqueId val="{00000001-E15A-4520-9885-55F3CFCE62F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del bien 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3.12-3.47'!$B$2</c:f>
              <c:strCache>
                <c:ptCount val="1"/>
                <c:pt idx="0">
                  <c:v>Cantidad</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3.12-3.47'!$B$3:$B$8</c:f>
              <c:numCache>
                <c:formatCode>General</c:formatCode>
                <c:ptCount val="6"/>
                <c:pt idx="0">
                  <c:v>85</c:v>
                </c:pt>
                <c:pt idx="1">
                  <c:v>66</c:v>
                </c:pt>
                <c:pt idx="2">
                  <c:v>35</c:v>
                </c:pt>
                <c:pt idx="3">
                  <c:v>22</c:v>
                </c:pt>
                <c:pt idx="4">
                  <c:v>8</c:v>
                </c:pt>
                <c:pt idx="5">
                  <c:v>0</c:v>
                </c:pt>
              </c:numCache>
            </c:numRef>
          </c:xVal>
          <c:yVal>
            <c:numRef>
              <c:f>'Ejercicios 3.12-3.47'!$A$3:$A$8</c:f>
              <c:numCache>
                <c:formatCode>General</c:formatCode>
                <c:ptCount val="6"/>
                <c:pt idx="0">
                  <c:v>15</c:v>
                </c:pt>
                <c:pt idx="1">
                  <c:v>34</c:v>
                </c:pt>
                <c:pt idx="2">
                  <c:v>65</c:v>
                </c:pt>
                <c:pt idx="3">
                  <c:v>78</c:v>
                </c:pt>
                <c:pt idx="4">
                  <c:v>92</c:v>
                </c:pt>
                <c:pt idx="5">
                  <c:v>100</c:v>
                </c:pt>
              </c:numCache>
            </c:numRef>
          </c:yVal>
          <c:smooth val="0"/>
          <c:extLst>
            <c:ext xmlns:c16="http://schemas.microsoft.com/office/drawing/2014/chart" uri="{C3380CC4-5D6E-409C-BE32-E72D297353CC}">
              <c16:uniqueId val="{00000002-B27A-49FE-8A12-832FC4F3DF8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3.12-3.47'!$B$20</c:f>
              <c:strCache>
                <c:ptCount val="1"/>
                <c:pt idx="0">
                  <c:v>Cantidad</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3.12-3.47'!$B$21:$B$26</c:f>
              <c:numCache>
                <c:formatCode>General</c:formatCode>
                <c:ptCount val="6"/>
                <c:pt idx="0">
                  <c:v>34</c:v>
                </c:pt>
                <c:pt idx="1">
                  <c:v>24</c:v>
                </c:pt>
                <c:pt idx="2">
                  <c:v>12</c:v>
                </c:pt>
                <c:pt idx="3">
                  <c:v>6</c:v>
                </c:pt>
                <c:pt idx="4">
                  <c:v>2</c:v>
                </c:pt>
                <c:pt idx="5">
                  <c:v>0</c:v>
                </c:pt>
              </c:numCache>
            </c:numRef>
          </c:xVal>
          <c:yVal>
            <c:numRef>
              <c:f>'Ejercicios 3.12-3.47'!$A$21:$A$26</c:f>
              <c:numCache>
                <c:formatCode>General</c:formatCode>
                <c:ptCount val="6"/>
                <c:pt idx="0">
                  <c:v>3</c:v>
                </c:pt>
                <c:pt idx="1">
                  <c:v>8</c:v>
                </c:pt>
                <c:pt idx="2">
                  <c:v>14</c:v>
                </c:pt>
                <c:pt idx="3">
                  <c:v>17</c:v>
                </c:pt>
                <c:pt idx="4">
                  <c:v>19</c:v>
                </c:pt>
                <c:pt idx="5">
                  <c:v>20</c:v>
                </c:pt>
              </c:numCache>
            </c:numRef>
          </c:yVal>
          <c:smooth val="0"/>
          <c:extLst>
            <c:ext xmlns:c16="http://schemas.microsoft.com/office/drawing/2014/chart" uri="{C3380CC4-5D6E-409C-BE32-E72D297353CC}">
              <c16:uniqueId val="{00000001-6B8E-465C-A2DC-225886EAEC2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3.12-3.47'!$K$27</c:f>
              <c:strCache>
                <c:ptCount val="1"/>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3.12-3.47'!$B$37:$B$42</c:f>
              <c:numCache>
                <c:formatCode>General</c:formatCode>
                <c:ptCount val="6"/>
                <c:pt idx="0">
                  <c:v>485</c:v>
                </c:pt>
                <c:pt idx="1">
                  <c:v>330</c:v>
                </c:pt>
                <c:pt idx="2">
                  <c:v>240</c:v>
                </c:pt>
                <c:pt idx="3">
                  <c:v>135</c:v>
                </c:pt>
                <c:pt idx="4">
                  <c:v>80</c:v>
                </c:pt>
                <c:pt idx="5">
                  <c:v>0</c:v>
                </c:pt>
              </c:numCache>
            </c:numRef>
          </c:xVal>
          <c:yVal>
            <c:numRef>
              <c:f>'Ejercicios 3.12-3.47'!$A$37:$A$42</c:f>
              <c:numCache>
                <c:formatCode>General</c:formatCode>
                <c:ptCount val="6"/>
                <c:pt idx="0">
                  <c:v>3</c:v>
                </c:pt>
                <c:pt idx="1">
                  <c:v>34</c:v>
                </c:pt>
                <c:pt idx="2">
                  <c:v>52</c:v>
                </c:pt>
                <c:pt idx="3">
                  <c:v>73</c:v>
                </c:pt>
                <c:pt idx="4">
                  <c:v>84</c:v>
                </c:pt>
                <c:pt idx="5">
                  <c:v>100</c:v>
                </c:pt>
              </c:numCache>
            </c:numRef>
          </c:yVal>
          <c:smooth val="0"/>
          <c:extLst>
            <c:ext xmlns:c16="http://schemas.microsoft.com/office/drawing/2014/chart" uri="{C3380CC4-5D6E-409C-BE32-E72D297353CC}">
              <c16:uniqueId val="{00000001-CB53-4F42-8C6C-99B06DA5F16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3.12-3.47'!$B$52</c:f>
              <c:strCache>
                <c:ptCount val="1"/>
                <c:pt idx="0">
                  <c:v>Cantidad</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3.12-3.47'!$B$53:$B$58</c:f>
              <c:numCache>
                <c:formatCode>General</c:formatCode>
                <c:ptCount val="6"/>
                <c:pt idx="0">
                  <c:v>68</c:v>
                </c:pt>
                <c:pt idx="1">
                  <c:v>60</c:v>
                </c:pt>
                <c:pt idx="2">
                  <c:v>48</c:v>
                </c:pt>
                <c:pt idx="3">
                  <c:v>40</c:v>
                </c:pt>
                <c:pt idx="4">
                  <c:v>20</c:v>
                </c:pt>
                <c:pt idx="5">
                  <c:v>0</c:v>
                </c:pt>
              </c:numCache>
            </c:numRef>
          </c:xVal>
          <c:yVal>
            <c:numRef>
              <c:f>'Ejercicios 3.12-3.47'!$A$53:$A$58</c:f>
              <c:numCache>
                <c:formatCode>General</c:formatCode>
                <c:ptCount val="6"/>
                <c:pt idx="0">
                  <c:v>30</c:v>
                </c:pt>
                <c:pt idx="1">
                  <c:v>50</c:v>
                </c:pt>
                <c:pt idx="2">
                  <c:v>80</c:v>
                </c:pt>
                <c:pt idx="3">
                  <c:v>100</c:v>
                </c:pt>
                <c:pt idx="4">
                  <c:v>150</c:v>
                </c:pt>
                <c:pt idx="5">
                  <c:v>200</c:v>
                </c:pt>
              </c:numCache>
            </c:numRef>
          </c:yVal>
          <c:smooth val="0"/>
          <c:extLst>
            <c:ext xmlns:c16="http://schemas.microsoft.com/office/drawing/2014/chart" uri="{C3380CC4-5D6E-409C-BE32-E72D297353CC}">
              <c16:uniqueId val="{00000001-DAB3-4313-9679-421D42FCAFA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3.12-3.47'!$B$52</c:f>
              <c:strCache>
                <c:ptCount val="1"/>
                <c:pt idx="0">
                  <c:v>Cantidad</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3.12-3.47'!$B$71:$B$76</c:f>
              <c:numCache>
                <c:formatCode>General</c:formatCode>
                <c:ptCount val="6"/>
                <c:pt idx="0">
                  <c:v>-5</c:v>
                </c:pt>
                <c:pt idx="1">
                  <c:v>9.9999999999944578E-4</c:v>
                </c:pt>
                <c:pt idx="2">
                  <c:v>4</c:v>
                </c:pt>
                <c:pt idx="3">
                  <c:v>10</c:v>
                </c:pt>
                <c:pt idx="4">
                  <c:v>25</c:v>
                </c:pt>
                <c:pt idx="5">
                  <c:v>31</c:v>
                </c:pt>
              </c:numCache>
            </c:numRef>
          </c:xVal>
          <c:yVal>
            <c:numRef>
              <c:f>'Ejercicios 3.12-3.47'!$A$71:$A$76</c:f>
              <c:numCache>
                <c:formatCode>General</c:formatCode>
                <c:ptCount val="6"/>
                <c:pt idx="0">
                  <c:v>-5</c:v>
                </c:pt>
                <c:pt idx="1">
                  <c:v>-3.3330000000000002</c:v>
                </c:pt>
                <c:pt idx="2">
                  <c:v>-2</c:v>
                </c:pt>
                <c:pt idx="3">
                  <c:v>0</c:v>
                </c:pt>
                <c:pt idx="4">
                  <c:v>5</c:v>
                </c:pt>
                <c:pt idx="5">
                  <c:v>7</c:v>
                </c:pt>
              </c:numCache>
            </c:numRef>
          </c:yVal>
          <c:smooth val="0"/>
          <c:extLst>
            <c:ext xmlns:c16="http://schemas.microsoft.com/office/drawing/2014/chart" uri="{C3380CC4-5D6E-409C-BE32-E72D297353CC}">
              <c16:uniqueId val="{00000001-C15B-4FFF-BA11-4FEBCDBC3CD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a:t>
            </a:r>
            <a:r>
              <a:rPr lang="en-US" baseline="0"/>
              <a:t>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3.12-3.47'!$B$52</c:f>
              <c:strCache>
                <c:ptCount val="1"/>
                <c:pt idx="0">
                  <c:v>Cantidad</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3.12-3.47'!$B$87:$B$92</c:f>
              <c:numCache>
                <c:formatCode>General</c:formatCode>
                <c:ptCount val="6"/>
                <c:pt idx="0">
                  <c:v>-11</c:v>
                </c:pt>
                <c:pt idx="1">
                  <c:v>-9</c:v>
                </c:pt>
                <c:pt idx="2">
                  <c:v>-5</c:v>
                </c:pt>
                <c:pt idx="3">
                  <c:v>0</c:v>
                </c:pt>
                <c:pt idx="4">
                  <c:v>5</c:v>
                </c:pt>
                <c:pt idx="5">
                  <c:v>9</c:v>
                </c:pt>
              </c:numCache>
            </c:numRef>
          </c:xVal>
          <c:yVal>
            <c:numRef>
              <c:f>'Ejercicios 3.12-3.47'!$A$87:$A$92</c:f>
              <c:numCache>
                <c:formatCode>General</c:formatCode>
                <c:ptCount val="6"/>
                <c:pt idx="0">
                  <c:v>-3</c:v>
                </c:pt>
                <c:pt idx="1">
                  <c:v>-2</c:v>
                </c:pt>
                <c:pt idx="2">
                  <c:v>0</c:v>
                </c:pt>
                <c:pt idx="3">
                  <c:v>2.5</c:v>
                </c:pt>
                <c:pt idx="4">
                  <c:v>5</c:v>
                </c:pt>
                <c:pt idx="5">
                  <c:v>7</c:v>
                </c:pt>
              </c:numCache>
            </c:numRef>
          </c:yVal>
          <c:smooth val="0"/>
          <c:extLst>
            <c:ext xmlns:c16="http://schemas.microsoft.com/office/drawing/2014/chart" uri="{C3380CC4-5D6E-409C-BE32-E72D297353CC}">
              <c16:uniqueId val="{00000001-CDE0-4CF3-8C7E-40E7CEEC8A0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a:t>
            </a:r>
            <a:r>
              <a:rPr lang="en-US" baseline="0"/>
              <a:t> de un bien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3.12-3.47'!$B$104</c:f>
              <c:strCache>
                <c:ptCount val="1"/>
                <c:pt idx="0">
                  <c:v>Q=-10+3P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3.12-3.47'!$B$105:$B$108</c:f>
              <c:numCache>
                <c:formatCode>General</c:formatCode>
                <c:ptCount val="4"/>
                <c:pt idx="0">
                  <c:v>-19.999000000000002</c:v>
                </c:pt>
                <c:pt idx="2">
                  <c:v>-10</c:v>
                </c:pt>
                <c:pt idx="3">
                  <c:v>-9.9999999999944578E-4</c:v>
                </c:pt>
              </c:numCache>
            </c:numRef>
          </c:xVal>
          <c:yVal>
            <c:numRef>
              <c:f>'Ejercicios 3.12-3.47'!$A$105:$A$108</c:f>
              <c:numCache>
                <c:formatCode>General</c:formatCode>
                <c:ptCount val="4"/>
                <c:pt idx="0">
                  <c:v>-3.3330000000000002</c:v>
                </c:pt>
                <c:pt idx="2">
                  <c:v>0</c:v>
                </c:pt>
                <c:pt idx="3">
                  <c:v>3.3330000000000002</c:v>
                </c:pt>
              </c:numCache>
            </c:numRef>
          </c:yVal>
          <c:smooth val="0"/>
          <c:extLst>
            <c:ext xmlns:c16="http://schemas.microsoft.com/office/drawing/2014/chart" uri="{C3380CC4-5D6E-409C-BE32-E72D297353CC}">
              <c16:uniqueId val="{00000001-3C24-43CF-825F-5E08015013B8}"/>
            </c:ext>
          </c:extLst>
        </c:ser>
        <c:ser>
          <c:idx val="1"/>
          <c:order val="1"/>
          <c:tx>
            <c:strRef>
              <c:f>'Ejercicios 3.12-3.47'!$C$104</c:f>
              <c:strCache>
                <c:ptCount val="1"/>
                <c:pt idx="0">
                  <c:v>Q=10+3P</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3.12-3.47'!$C$105:$C$108</c:f>
              <c:numCache>
                <c:formatCode>General</c:formatCode>
                <c:ptCount val="4"/>
                <c:pt idx="0">
                  <c:v>9.9999999999944578E-4</c:v>
                </c:pt>
                <c:pt idx="2">
                  <c:v>10</c:v>
                </c:pt>
                <c:pt idx="3">
                  <c:v>19.999000000000002</c:v>
                </c:pt>
              </c:numCache>
            </c:numRef>
          </c:xVal>
          <c:yVal>
            <c:numRef>
              <c:f>'Ejercicios 3.12-3.47'!$A$105:$A$108</c:f>
              <c:numCache>
                <c:formatCode>General</c:formatCode>
                <c:ptCount val="4"/>
                <c:pt idx="0">
                  <c:v>-3.3330000000000002</c:v>
                </c:pt>
                <c:pt idx="2">
                  <c:v>0</c:v>
                </c:pt>
                <c:pt idx="3">
                  <c:v>3.3330000000000002</c:v>
                </c:pt>
              </c:numCache>
            </c:numRef>
          </c:yVal>
          <c:smooth val="0"/>
          <c:extLst>
            <c:ext xmlns:c16="http://schemas.microsoft.com/office/drawing/2014/chart" uri="{C3380CC4-5D6E-409C-BE32-E72D297353CC}">
              <c16:uniqueId val="{00000002-3C24-43CF-825F-5E08015013B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a:t>
            </a:r>
            <a:r>
              <a:rPr lang="en-US" baseline="0"/>
              <a:t> de un bien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61706802274715655"/>
        </c:manualLayout>
      </c:layout>
      <c:scatterChart>
        <c:scatterStyle val="lineMarker"/>
        <c:varyColors val="0"/>
        <c:ser>
          <c:idx val="0"/>
          <c:order val="0"/>
          <c:tx>
            <c:strRef>
              <c:f>'Ejercicios 3.12-3.47'!$B$118</c:f>
              <c:strCache>
                <c:ptCount val="1"/>
                <c:pt idx="0">
                  <c:v>Q=-5+1/2P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3.12-3.47'!$B$119:$B$122</c:f>
              <c:numCache>
                <c:formatCode>General</c:formatCode>
                <c:ptCount val="4"/>
                <c:pt idx="0">
                  <c:v>-14</c:v>
                </c:pt>
                <c:pt idx="1">
                  <c:v>-10</c:v>
                </c:pt>
                <c:pt idx="2">
                  <c:v>0</c:v>
                </c:pt>
                <c:pt idx="3">
                  <c:v>4</c:v>
                </c:pt>
              </c:numCache>
            </c:numRef>
          </c:xVal>
          <c:yVal>
            <c:numRef>
              <c:f>'Ejercicios 3.12-3.47'!$A$119:$A$122</c:f>
              <c:numCache>
                <c:formatCode>General</c:formatCode>
                <c:ptCount val="4"/>
                <c:pt idx="0">
                  <c:v>-18</c:v>
                </c:pt>
                <c:pt idx="1">
                  <c:v>-10</c:v>
                </c:pt>
                <c:pt idx="2">
                  <c:v>10</c:v>
                </c:pt>
                <c:pt idx="3">
                  <c:v>18</c:v>
                </c:pt>
              </c:numCache>
            </c:numRef>
          </c:yVal>
          <c:smooth val="0"/>
          <c:extLst>
            <c:ext xmlns:c16="http://schemas.microsoft.com/office/drawing/2014/chart" uri="{C3380CC4-5D6E-409C-BE32-E72D297353CC}">
              <c16:uniqueId val="{00000001-5CE8-4C47-83A1-FE1A65BD4C46}"/>
            </c:ext>
          </c:extLst>
        </c:ser>
        <c:ser>
          <c:idx val="1"/>
          <c:order val="1"/>
          <c:tx>
            <c:strRef>
              <c:f>'Ejercicios 3.12-3.47'!$C$118</c:f>
              <c:strCache>
                <c:ptCount val="1"/>
                <c:pt idx="0">
                  <c:v>Q=5+1/2P</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3.12-3.47'!$C$119:$C$122</c:f>
              <c:numCache>
                <c:formatCode>General</c:formatCode>
                <c:ptCount val="4"/>
                <c:pt idx="0">
                  <c:v>-4</c:v>
                </c:pt>
                <c:pt idx="1">
                  <c:v>0</c:v>
                </c:pt>
                <c:pt idx="2">
                  <c:v>10</c:v>
                </c:pt>
                <c:pt idx="3">
                  <c:v>14</c:v>
                </c:pt>
              </c:numCache>
            </c:numRef>
          </c:xVal>
          <c:yVal>
            <c:numRef>
              <c:f>'Ejercicios 3.12-3.47'!$A$119:$A$122</c:f>
              <c:numCache>
                <c:formatCode>General</c:formatCode>
                <c:ptCount val="4"/>
                <c:pt idx="0">
                  <c:v>-18</c:v>
                </c:pt>
                <c:pt idx="1">
                  <c:v>-10</c:v>
                </c:pt>
                <c:pt idx="2">
                  <c:v>10</c:v>
                </c:pt>
                <c:pt idx="3">
                  <c:v>18</c:v>
                </c:pt>
              </c:numCache>
            </c:numRef>
          </c:yVal>
          <c:smooth val="0"/>
          <c:extLst>
            <c:ext xmlns:c16="http://schemas.microsoft.com/office/drawing/2014/chart" uri="{C3380CC4-5D6E-409C-BE32-E72D297353CC}">
              <c16:uniqueId val="{00000003-5CE8-4C47-83A1-FE1A65BD4C4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a:t>
            </a:r>
            <a:r>
              <a:rPr lang="en-US" baseline="0"/>
              <a:t> de un bien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3.12-3.47'!$B$135</c:f>
              <c:strCache>
                <c:ptCount val="1"/>
                <c:pt idx="0">
                  <c:v>Q=300-P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3.12-3.47'!$B$136:$B$140</c:f>
              <c:numCache>
                <c:formatCode>General</c:formatCode>
                <c:ptCount val="5"/>
                <c:pt idx="0">
                  <c:v>-300</c:v>
                </c:pt>
                <c:pt idx="1">
                  <c:v>0</c:v>
                </c:pt>
                <c:pt idx="2">
                  <c:v>150</c:v>
                </c:pt>
                <c:pt idx="3">
                  <c:v>230</c:v>
                </c:pt>
                <c:pt idx="4">
                  <c:v>300</c:v>
                </c:pt>
              </c:numCache>
            </c:numRef>
          </c:xVal>
          <c:yVal>
            <c:numRef>
              <c:f>'Ejercicios 3.12-3.47'!$A$136:$A$140</c:f>
              <c:numCache>
                <c:formatCode>General</c:formatCode>
                <c:ptCount val="5"/>
                <c:pt idx="0">
                  <c:v>600</c:v>
                </c:pt>
                <c:pt idx="1">
                  <c:v>300</c:v>
                </c:pt>
                <c:pt idx="2">
                  <c:v>150</c:v>
                </c:pt>
                <c:pt idx="3">
                  <c:v>70</c:v>
                </c:pt>
                <c:pt idx="4">
                  <c:v>0</c:v>
                </c:pt>
              </c:numCache>
            </c:numRef>
          </c:yVal>
          <c:smooth val="0"/>
          <c:extLst>
            <c:ext xmlns:c16="http://schemas.microsoft.com/office/drawing/2014/chart" uri="{C3380CC4-5D6E-409C-BE32-E72D297353CC}">
              <c16:uniqueId val="{00000001-41C9-47AC-BB31-0364EFC62823}"/>
            </c:ext>
          </c:extLst>
        </c:ser>
        <c:ser>
          <c:idx val="1"/>
          <c:order val="1"/>
          <c:tx>
            <c:strRef>
              <c:f>'Ejercicios 3.12-3.47'!$C$135</c:f>
              <c:strCache>
                <c:ptCount val="1"/>
                <c:pt idx="0">
                  <c:v>Q=300-1/2P</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3.12-3.47'!$C$136:$C$140</c:f>
              <c:numCache>
                <c:formatCode>General</c:formatCode>
                <c:ptCount val="5"/>
                <c:pt idx="0">
                  <c:v>0</c:v>
                </c:pt>
                <c:pt idx="1">
                  <c:v>150</c:v>
                </c:pt>
                <c:pt idx="2">
                  <c:v>225</c:v>
                </c:pt>
                <c:pt idx="3">
                  <c:v>265</c:v>
                </c:pt>
                <c:pt idx="4">
                  <c:v>300</c:v>
                </c:pt>
              </c:numCache>
            </c:numRef>
          </c:xVal>
          <c:yVal>
            <c:numRef>
              <c:f>'Ejercicios 3.12-3.47'!$A$136:$A$140</c:f>
              <c:numCache>
                <c:formatCode>General</c:formatCode>
                <c:ptCount val="5"/>
                <c:pt idx="0">
                  <c:v>600</c:v>
                </c:pt>
                <c:pt idx="1">
                  <c:v>300</c:v>
                </c:pt>
                <c:pt idx="2">
                  <c:v>150</c:v>
                </c:pt>
                <c:pt idx="3">
                  <c:v>70</c:v>
                </c:pt>
                <c:pt idx="4">
                  <c:v>0</c:v>
                </c:pt>
              </c:numCache>
            </c:numRef>
          </c:yVal>
          <c:smooth val="0"/>
          <c:extLst>
            <c:ext xmlns:c16="http://schemas.microsoft.com/office/drawing/2014/chart" uri="{C3380CC4-5D6E-409C-BE32-E72D297353CC}">
              <c16:uniqueId val="{00000003-41C9-47AC-BB31-0364EFC6282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Cantidad</a:t>
                </a:r>
                <a:r>
                  <a:rPr lang="es-MX" baseline="0"/>
                  <a:t>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r>
                  <a:rPr lang="es-MX" baseline="0"/>
                  <a:t> ($)</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Función</a:t>
            </a:r>
            <a:r>
              <a:rPr lang="en-US" baseline="0"/>
              <a:t>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20115236857064889"/>
          <c:y val="0.18300925925925926"/>
          <c:w val="0.74978838003361037"/>
          <c:h val="0.57540135608048981"/>
        </c:manualLayout>
      </c:layout>
      <c:scatterChart>
        <c:scatterStyle val="lineMarker"/>
        <c:varyColors val="0"/>
        <c:ser>
          <c:idx val="0"/>
          <c:order val="0"/>
          <c:tx>
            <c:strRef>
              <c:f>'Ejercicios 3.12-3.47'!$A$151</c:f>
              <c:strCache>
                <c:ptCount val="1"/>
                <c:pt idx="0">
                  <c:v>Consumo (C)</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3.12-3.47'!$B$152:$B$156</c:f>
              <c:numCache>
                <c:formatCode>General</c:formatCode>
                <c:ptCount val="5"/>
                <c:pt idx="0">
                  <c:v>0</c:v>
                </c:pt>
                <c:pt idx="1">
                  <c:v>3</c:v>
                </c:pt>
                <c:pt idx="2">
                  <c:v>5</c:v>
                </c:pt>
                <c:pt idx="3">
                  <c:v>10</c:v>
                </c:pt>
                <c:pt idx="4">
                  <c:v>18</c:v>
                </c:pt>
              </c:numCache>
            </c:numRef>
          </c:xVal>
          <c:yVal>
            <c:numRef>
              <c:f>'Ejercicios 3.12-3.47'!$A$152:$A$156</c:f>
              <c:numCache>
                <c:formatCode>General</c:formatCode>
                <c:ptCount val="5"/>
                <c:pt idx="0">
                  <c:v>0</c:v>
                </c:pt>
                <c:pt idx="1">
                  <c:v>3</c:v>
                </c:pt>
                <c:pt idx="2">
                  <c:v>5</c:v>
                </c:pt>
                <c:pt idx="3">
                  <c:v>10</c:v>
                </c:pt>
                <c:pt idx="4">
                  <c:v>18</c:v>
                </c:pt>
              </c:numCache>
            </c:numRef>
          </c:yVal>
          <c:smooth val="0"/>
          <c:extLst>
            <c:ext xmlns:c16="http://schemas.microsoft.com/office/drawing/2014/chart" uri="{C3380CC4-5D6E-409C-BE32-E72D297353CC}">
              <c16:uniqueId val="{00000001-12AF-49D5-8D05-6ADD8EB7255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3.12-3.47'!$A$167</c:f>
              <c:strCache>
                <c:ptCount val="1"/>
                <c:pt idx="0">
                  <c:v>C'</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3.12-3.47'!$B$168:$B$171</c:f>
              <c:numCache>
                <c:formatCode>General</c:formatCode>
                <c:ptCount val="4"/>
                <c:pt idx="0">
                  <c:v>60</c:v>
                </c:pt>
                <c:pt idx="1">
                  <c:v>80</c:v>
                </c:pt>
                <c:pt idx="2">
                  <c:v>90</c:v>
                </c:pt>
                <c:pt idx="3">
                  <c:v>160</c:v>
                </c:pt>
              </c:numCache>
            </c:numRef>
          </c:xVal>
          <c:yVal>
            <c:numRef>
              <c:f>'Ejercicios 3.12-3.47'!$A$168:$A$171</c:f>
              <c:numCache>
                <c:formatCode>General</c:formatCode>
                <c:ptCount val="4"/>
                <c:pt idx="0">
                  <c:v>60</c:v>
                </c:pt>
                <c:pt idx="1">
                  <c:v>80</c:v>
                </c:pt>
                <c:pt idx="2">
                  <c:v>90</c:v>
                </c:pt>
                <c:pt idx="3">
                  <c:v>160</c:v>
                </c:pt>
              </c:numCache>
            </c:numRef>
          </c:yVal>
          <c:smooth val="0"/>
          <c:extLst>
            <c:ext xmlns:c16="http://schemas.microsoft.com/office/drawing/2014/chart" uri="{C3380CC4-5D6E-409C-BE32-E72D297353CC}">
              <c16:uniqueId val="{00000001-2B9E-4D32-9108-388514094B79}"/>
            </c:ext>
          </c:extLst>
        </c:ser>
        <c:ser>
          <c:idx val="1"/>
          <c:order val="1"/>
          <c:tx>
            <c:strRef>
              <c:f>'Ejercicios 3.12-3.47'!$C$167</c:f>
              <c:strCache>
                <c:ptCount val="1"/>
                <c:pt idx="0">
                  <c:v>C</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3.12-3.47'!$D$168:$D$171</c:f>
              <c:numCache>
                <c:formatCode>General</c:formatCode>
                <c:ptCount val="4"/>
                <c:pt idx="0">
                  <c:v>60</c:v>
                </c:pt>
                <c:pt idx="1">
                  <c:v>100</c:v>
                </c:pt>
                <c:pt idx="2">
                  <c:v>120</c:v>
                </c:pt>
                <c:pt idx="3">
                  <c:v>160</c:v>
                </c:pt>
              </c:numCache>
            </c:numRef>
          </c:xVal>
          <c:yVal>
            <c:numRef>
              <c:f>'Ejercicios 3.12-3.47'!$C$168:$C$171</c:f>
              <c:numCache>
                <c:formatCode>General</c:formatCode>
                <c:ptCount val="4"/>
                <c:pt idx="0">
                  <c:v>54</c:v>
                </c:pt>
                <c:pt idx="1">
                  <c:v>90</c:v>
                </c:pt>
                <c:pt idx="2">
                  <c:v>108</c:v>
                </c:pt>
                <c:pt idx="3">
                  <c:v>144</c:v>
                </c:pt>
              </c:numCache>
            </c:numRef>
          </c:yVal>
          <c:smooth val="0"/>
          <c:extLst>
            <c:ext xmlns:c16="http://schemas.microsoft.com/office/drawing/2014/chart" uri="{C3380CC4-5D6E-409C-BE32-E72D297353CC}">
              <c16:uniqueId val="{00000003-2B9E-4D32-9108-388514094B7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3.12-3.47'!$A$187</c:f>
              <c:strCache>
                <c:ptCount val="1"/>
                <c:pt idx="0">
                  <c:v>C=Co+0.75Y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3.12-3.47'!$B$188:$B$193</c:f>
              <c:numCache>
                <c:formatCode>General</c:formatCode>
                <c:ptCount val="6"/>
                <c:pt idx="0">
                  <c:v>1</c:v>
                </c:pt>
                <c:pt idx="1">
                  <c:v>27</c:v>
                </c:pt>
                <c:pt idx="2">
                  <c:v>243</c:v>
                </c:pt>
                <c:pt idx="3">
                  <c:v>732</c:v>
                </c:pt>
                <c:pt idx="4">
                  <c:v>2196</c:v>
                </c:pt>
                <c:pt idx="5">
                  <c:v>6584</c:v>
                </c:pt>
              </c:numCache>
            </c:numRef>
          </c:xVal>
          <c:yVal>
            <c:numRef>
              <c:f>'Ejercicios 3.12-3.47'!$A$188:$A$193</c:f>
              <c:numCache>
                <c:formatCode>General</c:formatCode>
                <c:ptCount val="6"/>
                <c:pt idx="0">
                  <c:v>2.75</c:v>
                </c:pt>
                <c:pt idx="1">
                  <c:v>22.25</c:v>
                </c:pt>
                <c:pt idx="2">
                  <c:v>184.25</c:v>
                </c:pt>
                <c:pt idx="3">
                  <c:v>551</c:v>
                </c:pt>
                <c:pt idx="4">
                  <c:v>1649</c:v>
                </c:pt>
                <c:pt idx="5">
                  <c:v>4940</c:v>
                </c:pt>
              </c:numCache>
            </c:numRef>
          </c:yVal>
          <c:smooth val="0"/>
          <c:extLst>
            <c:ext xmlns:c16="http://schemas.microsoft.com/office/drawing/2014/chart" uri="{C3380CC4-5D6E-409C-BE32-E72D297353CC}">
              <c16:uniqueId val="{00000001-FF04-4787-AA89-AA8FDF1987D4}"/>
            </c:ext>
          </c:extLst>
        </c:ser>
        <c:ser>
          <c:idx val="1"/>
          <c:order val="1"/>
          <c:tx>
            <c:strRef>
              <c:f>'Ejercicios 3.12-3.47'!$C$187</c:f>
              <c:strCache>
                <c:ptCount val="1"/>
                <c:pt idx="0">
                  <c:v>C=Co+4/5Y</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3.12-3.47'!$D$188:$D$193</c:f>
              <c:numCache>
                <c:formatCode>General</c:formatCode>
                <c:ptCount val="6"/>
                <c:pt idx="0">
                  <c:v>1</c:v>
                </c:pt>
                <c:pt idx="1">
                  <c:v>27</c:v>
                </c:pt>
                <c:pt idx="2">
                  <c:v>243</c:v>
                </c:pt>
                <c:pt idx="3">
                  <c:v>732</c:v>
                </c:pt>
                <c:pt idx="4">
                  <c:v>2196</c:v>
                </c:pt>
                <c:pt idx="5">
                  <c:v>6584</c:v>
                </c:pt>
              </c:numCache>
            </c:numRef>
          </c:xVal>
          <c:yVal>
            <c:numRef>
              <c:f>'Ejercicios 3.12-3.47'!$C$188:$C$193</c:f>
              <c:numCache>
                <c:formatCode>General</c:formatCode>
                <c:ptCount val="6"/>
                <c:pt idx="0">
                  <c:v>2.8</c:v>
                </c:pt>
                <c:pt idx="1">
                  <c:v>23.6</c:v>
                </c:pt>
                <c:pt idx="2">
                  <c:v>196.4</c:v>
                </c:pt>
                <c:pt idx="3">
                  <c:v>587.6</c:v>
                </c:pt>
                <c:pt idx="4">
                  <c:v>1758.8000000000002</c:v>
                </c:pt>
                <c:pt idx="5">
                  <c:v>5269.2000000000007</c:v>
                </c:pt>
              </c:numCache>
            </c:numRef>
          </c:yVal>
          <c:smooth val="0"/>
          <c:extLst>
            <c:ext xmlns:c16="http://schemas.microsoft.com/office/drawing/2014/chart" uri="{C3380CC4-5D6E-409C-BE32-E72D297353CC}">
              <c16:uniqueId val="{00000003-FF04-4787-AA89-AA8FDF1987D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3.12-3.47'!$A$205</c:f>
              <c:strCache>
                <c:ptCount val="1"/>
                <c:pt idx="0">
                  <c:v>C=Co+1/4Y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3.12-3.47'!$B$206:$B$209</c:f>
              <c:numCache>
                <c:formatCode>General</c:formatCode>
                <c:ptCount val="4"/>
                <c:pt idx="0">
                  <c:v>1000</c:v>
                </c:pt>
                <c:pt idx="1">
                  <c:v>2000</c:v>
                </c:pt>
                <c:pt idx="2">
                  <c:v>3000</c:v>
                </c:pt>
                <c:pt idx="3">
                  <c:v>4000</c:v>
                </c:pt>
              </c:numCache>
            </c:numRef>
          </c:xVal>
          <c:yVal>
            <c:numRef>
              <c:f>'Ejercicios 3.12-3.47'!$A$206:$A$209</c:f>
              <c:numCache>
                <c:formatCode>General</c:formatCode>
                <c:ptCount val="4"/>
                <c:pt idx="0">
                  <c:v>252</c:v>
                </c:pt>
                <c:pt idx="1">
                  <c:v>502</c:v>
                </c:pt>
                <c:pt idx="2">
                  <c:v>752</c:v>
                </c:pt>
                <c:pt idx="3">
                  <c:v>1002</c:v>
                </c:pt>
              </c:numCache>
            </c:numRef>
          </c:yVal>
          <c:smooth val="0"/>
          <c:extLst>
            <c:ext xmlns:c16="http://schemas.microsoft.com/office/drawing/2014/chart" uri="{C3380CC4-5D6E-409C-BE32-E72D297353CC}">
              <c16:uniqueId val="{00000001-FC59-43D6-A13A-02ABFDA24B32}"/>
            </c:ext>
          </c:extLst>
        </c:ser>
        <c:ser>
          <c:idx val="1"/>
          <c:order val="1"/>
          <c:tx>
            <c:strRef>
              <c:f>'Ejercicios 3.12-3.47'!$C$205</c:f>
              <c:strCache>
                <c:ptCount val="1"/>
                <c:pt idx="0">
                  <c:v>C=Co+0.34Y</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3.12-3.47'!$D$206:$D$209</c:f>
              <c:numCache>
                <c:formatCode>General</c:formatCode>
                <c:ptCount val="4"/>
                <c:pt idx="0">
                  <c:v>1000</c:v>
                </c:pt>
                <c:pt idx="1">
                  <c:v>2000</c:v>
                </c:pt>
                <c:pt idx="2">
                  <c:v>3000</c:v>
                </c:pt>
                <c:pt idx="3">
                  <c:v>4000</c:v>
                </c:pt>
              </c:numCache>
            </c:numRef>
          </c:xVal>
          <c:yVal>
            <c:numRef>
              <c:f>'Ejercicios 3.12-3.47'!$C$206:$C$209</c:f>
              <c:numCache>
                <c:formatCode>General</c:formatCode>
                <c:ptCount val="4"/>
                <c:pt idx="0">
                  <c:v>342</c:v>
                </c:pt>
                <c:pt idx="1">
                  <c:v>682</c:v>
                </c:pt>
                <c:pt idx="2">
                  <c:v>1022.0000000000001</c:v>
                </c:pt>
                <c:pt idx="3">
                  <c:v>1362</c:v>
                </c:pt>
              </c:numCache>
            </c:numRef>
          </c:yVal>
          <c:smooth val="0"/>
          <c:extLst>
            <c:ext xmlns:c16="http://schemas.microsoft.com/office/drawing/2014/chart" uri="{C3380CC4-5D6E-409C-BE32-E72D297353CC}">
              <c16:uniqueId val="{00000003-FC59-43D6-A13A-02ABFDA24B3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3.12-3.47'!$A$224</c:f>
              <c:strCache>
                <c:ptCount val="1"/>
                <c:pt idx="0">
                  <c:v>C=10+0.45Y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3.12-3.47'!$B$225:$B$226</c:f>
              <c:numCache>
                <c:formatCode>General</c:formatCode>
                <c:ptCount val="2"/>
                <c:pt idx="0">
                  <c:v>300</c:v>
                </c:pt>
                <c:pt idx="1">
                  <c:v>1</c:v>
                </c:pt>
              </c:numCache>
            </c:numRef>
          </c:xVal>
          <c:yVal>
            <c:numRef>
              <c:f>'Ejercicios 3.12-3.47'!$A$225:$A$226</c:f>
              <c:numCache>
                <c:formatCode>General</c:formatCode>
                <c:ptCount val="2"/>
                <c:pt idx="0">
                  <c:v>145</c:v>
                </c:pt>
                <c:pt idx="1">
                  <c:v>10.45</c:v>
                </c:pt>
              </c:numCache>
            </c:numRef>
          </c:yVal>
          <c:smooth val="0"/>
          <c:extLst>
            <c:ext xmlns:c16="http://schemas.microsoft.com/office/drawing/2014/chart" uri="{C3380CC4-5D6E-409C-BE32-E72D297353CC}">
              <c16:uniqueId val="{00000001-C569-4AE5-8325-DA53056B2132}"/>
            </c:ext>
          </c:extLst>
        </c:ser>
        <c:ser>
          <c:idx val="1"/>
          <c:order val="1"/>
          <c:tx>
            <c:strRef>
              <c:f>'Ejercicios 3.12-3.47'!$C$224</c:f>
              <c:strCache>
                <c:ptCount val="1"/>
                <c:pt idx="0">
                  <c:v>C’=20+0.45Y</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3.12-3.47'!$D$225:$D$226</c:f>
              <c:numCache>
                <c:formatCode>General</c:formatCode>
                <c:ptCount val="2"/>
                <c:pt idx="0">
                  <c:v>300</c:v>
                </c:pt>
                <c:pt idx="1">
                  <c:v>1</c:v>
                </c:pt>
              </c:numCache>
            </c:numRef>
          </c:xVal>
          <c:yVal>
            <c:numRef>
              <c:f>'Ejercicios 3.12-3.47'!$C$225:$C$226</c:f>
              <c:numCache>
                <c:formatCode>General</c:formatCode>
                <c:ptCount val="2"/>
                <c:pt idx="0">
                  <c:v>155</c:v>
                </c:pt>
                <c:pt idx="1">
                  <c:v>20.45</c:v>
                </c:pt>
              </c:numCache>
            </c:numRef>
          </c:yVal>
          <c:smooth val="0"/>
          <c:extLst>
            <c:ext xmlns:c16="http://schemas.microsoft.com/office/drawing/2014/chart" uri="{C3380CC4-5D6E-409C-BE32-E72D297353CC}">
              <c16:uniqueId val="{00000003-C569-4AE5-8325-DA53056B213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 (2 ecuaciones).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3.12-3.47'!$A$243</c:f>
              <c:strCache>
                <c:ptCount val="1"/>
                <c:pt idx="0">
                  <c:v>C_1=400+6/10 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3.12-3.47'!$B$244:$B$245</c:f>
              <c:numCache>
                <c:formatCode>General</c:formatCode>
                <c:ptCount val="2"/>
                <c:pt idx="0">
                  <c:v>800</c:v>
                </c:pt>
                <c:pt idx="1">
                  <c:v>1400</c:v>
                </c:pt>
              </c:numCache>
            </c:numRef>
          </c:xVal>
          <c:yVal>
            <c:numRef>
              <c:f>'Ejercicios 3.12-3.47'!$A$244:$A$245</c:f>
              <c:numCache>
                <c:formatCode>General</c:formatCode>
                <c:ptCount val="2"/>
                <c:pt idx="0">
                  <c:v>880</c:v>
                </c:pt>
                <c:pt idx="1">
                  <c:v>1240</c:v>
                </c:pt>
              </c:numCache>
            </c:numRef>
          </c:yVal>
          <c:smooth val="0"/>
          <c:extLst>
            <c:ext xmlns:c16="http://schemas.microsoft.com/office/drawing/2014/chart" uri="{C3380CC4-5D6E-409C-BE32-E72D297353CC}">
              <c16:uniqueId val="{00000001-654D-4193-91F6-EBF8E20DBD7C}"/>
            </c:ext>
          </c:extLst>
        </c:ser>
        <c:ser>
          <c:idx val="1"/>
          <c:order val="1"/>
          <c:tx>
            <c:strRef>
              <c:f>'Ejercicios 3.12-3.47'!$C$243</c:f>
              <c:strCache>
                <c:ptCount val="1"/>
                <c:pt idx="0">
                  <c:v>C_2=800+15/100 Y</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3.12-3.47'!$D$244:$D$245</c:f>
              <c:numCache>
                <c:formatCode>General</c:formatCode>
                <c:ptCount val="2"/>
                <c:pt idx="0">
                  <c:v>800</c:v>
                </c:pt>
                <c:pt idx="1">
                  <c:v>1400</c:v>
                </c:pt>
              </c:numCache>
            </c:numRef>
          </c:xVal>
          <c:yVal>
            <c:numRef>
              <c:f>'Ejercicios 3.12-3.47'!$C$244:$C$245</c:f>
              <c:numCache>
                <c:formatCode>General</c:formatCode>
                <c:ptCount val="2"/>
                <c:pt idx="0">
                  <c:v>920</c:v>
                </c:pt>
                <c:pt idx="1">
                  <c:v>1010</c:v>
                </c:pt>
              </c:numCache>
            </c:numRef>
          </c:yVal>
          <c:smooth val="0"/>
          <c:extLst>
            <c:ext xmlns:c16="http://schemas.microsoft.com/office/drawing/2014/chart" uri="{C3380CC4-5D6E-409C-BE32-E72D297353CC}">
              <c16:uniqueId val="{00000003-654D-4193-91F6-EBF8E20DBD7C}"/>
            </c:ext>
          </c:extLst>
        </c:ser>
        <c:dLbls>
          <c:showLegendKey val="0"/>
          <c:showVal val="0"/>
          <c:showCatName val="0"/>
          <c:showSerName val="0"/>
          <c:showPercent val="0"/>
          <c:showBubbleSize val="0"/>
        </c:dLbls>
        <c:axId val="689605439"/>
        <c:axId val="634792095"/>
      </c:scatterChart>
      <c:valAx>
        <c:axId val="689605439"/>
        <c:scaling>
          <c:orientation val="minMax"/>
          <c:min val="70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85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3.12-3.47'!$A$261</c:f>
              <c:strCache>
                <c:ptCount val="1"/>
                <c:pt idx="0">
                  <c:v>C=1000+0.6(Y)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3.12-3.47'!$B$262:$B$263</c:f>
              <c:numCache>
                <c:formatCode>General</c:formatCode>
                <c:ptCount val="2"/>
                <c:pt idx="0">
                  <c:v>4500</c:v>
                </c:pt>
                <c:pt idx="1">
                  <c:v>1000</c:v>
                </c:pt>
              </c:numCache>
            </c:numRef>
          </c:xVal>
          <c:yVal>
            <c:numRef>
              <c:f>'Ejercicios 3.12-3.47'!$A$262:$A$263</c:f>
              <c:numCache>
                <c:formatCode>General</c:formatCode>
                <c:ptCount val="2"/>
                <c:pt idx="0">
                  <c:v>3700</c:v>
                </c:pt>
                <c:pt idx="1">
                  <c:v>1600</c:v>
                </c:pt>
              </c:numCache>
            </c:numRef>
          </c:yVal>
          <c:smooth val="0"/>
          <c:extLst>
            <c:ext xmlns:c16="http://schemas.microsoft.com/office/drawing/2014/chart" uri="{C3380CC4-5D6E-409C-BE32-E72D297353CC}">
              <c16:uniqueId val="{00000001-0E2A-4F49-B186-DA44C815B812}"/>
            </c:ext>
          </c:extLst>
        </c:ser>
        <c:dLbls>
          <c:showLegendKey val="0"/>
          <c:showVal val="0"/>
          <c:showCatName val="0"/>
          <c:showSerName val="0"/>
          <c:showPercent val="0"/>
          <c:showBubbleSize val="0"/>
        </c:dLbls>
        <c:axId val="689605439"/>
        <c:axId val="634792095"/>
      </c:scatterChart>
      <c:valAx>
        <c:axId val="689605439"/>
        <c:scaling>
          <c:orientation val="minMax"/>
          <c:min val="90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140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Ecuación de demanda.</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3.12-3.47'!$A$278</c:f>
              <c:strCache>
                <c:ptCount val="1"/>
                <c:pt idx="0">
                  <c:v>QD=145-0.5(P)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3.12-3.47'!$A$279:$A$282</c:f>
              <c:numCache>
                <c:formatCode>General</c:formatCode>
                <c:ptCount val="4"/>
                <c:pt idx="0">
                  <c:v>145</c:v>
                </c:pt>
                <c:pt idx="1">
                  <c:v>130</c:v>
                </c:pt>
                <c:pt idx="2">
                  <c:v>115</c:v>
                </c:pt>
                <c:pt idx="3">
                  <c:v>100</c:v>
                </c:pt>
              </c:numCache>
            </c:numRef>
          </c:xVal>
          <c:yVal>
            <c:numRef>
              <c:f>'Ejercicios 3.12-3.47'!$B$279:$B$282</c:f>
              <c:numCache>
                <c:formatCode>General</c:formatCode>
                <c:ptCount val="4"/>
                <c:pt idx="0">
                  <c:v>0</c:v>
                </c:pt>
                <c:pt idx="1">
                  <c:v>30</c:v>
                </c:pt>
                <c:pt idx="2">
                  <c:v>60</c:v>
                </c:pt>
                <c:pt idx="3">
                  <c:v>90</c:v>
                </c:pt>
              </c:numCache>
            </c:numRef>
          </c:yVal>
          <c:smooth val="0"/>
          <c:extLst>
            <c:ext xmlns:c16="http://schemas.microsoft.com/office/drawing/2014/chart" uri="{C3380CC4-5D6E-409C-BE32-E72D297353CC}">
              <c16:uniqueId val="{00000001-CF04-489B-85EF-5C4C64D899AE}"/>
            </c:ext>
          </c:extLst>
        </c:ser>
        <c:dLbls>
          <c:showLegendKey val="0"/>
          <c:showVal val="0"/>
          <c:showCatName val="0"/>
          <c:showSerName val="0"/>
          <c:showPercent val="0"/>
          <c:showBubbleSize val="0"/>
        </c:dLbls>
        <c:axId val="689605439"/>
        <c:axId val="634792095"/>
      </c:scatterChart>
      <c:valAx>
        <c:axId val="689605439"/>
        <c:scaling>
          <c:orientation val="minMax"/>
          <c:min val="95"/>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(Q)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Precio (P)</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Ecuación de demanda.</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3.12-3.47'!$A$296</c:f>
              <c:strCache>
                <c:ptCount val="1"/>
                <c:pt idx="0">
                  <c:v>QD=280-5(P)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3.12-3.47'!$A$297:$A$300</c:f>
              <c:numCache>
                <c:formatCode>General</c:formatCode>
                <c:ptCount val="4"/>
                <c:pt idx="0">
                  <c:v>280</c:v>
                </c:pt>
                <c:pt idx="1">
                  <c:v>130</c:v>
                </c:pt>
                <c:pt idx="2">
                  <c:v>80</c:v>
                </c:pt>
                <c:pt idx="3">
                  <c:v>30</c:v>
                </c:pt>
              </c:numCache>
            </c:numRef>
          </c:xVal>
          <c:yVal>
            <c:numRef>
              <c:f>'Ejercicios 3.12-3.47'!$B$297:$B$300</c:f>
              <c:numCache>
                <c:formatCode>General</c:formatCode>
                <c:ptCount val="4"/>
                <c:pt idx="0">
                  <c:v>0</c:v>
                </c:pt>
                <c:pt idx="1">
                  <c:v>30</c:v>
                </c:pt>
                <c:pt idx="2">
                  <c:v>40</c:v>
                </c:pt>
                <c:pt idx="3">
                  <c:v>50</c:v>
                </c:pt>
              </c:numCache>
            </c:numRef>
          </c:yVal>
          <c:smooth val="0"/>
          <c:extLst>
            <c:ext xmlns:c16="http://schemas.microsoft.com/office/drawing/2014/chart" uri="{C3380CC4-5D6E-409C-BE32-E72D297353CC}">
              <c16:uniqueId val="{00000001-5D7F-4B6D-808A-200D99222916}"/>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(Q)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Precio (P)</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Ecuación de demanda.</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3.12-3.47'!$A$313</c:f>
              <c:strCache>
                <c:ptCount val="1"/>
                <c:pt idx="0">
                  <c:v>QD=87-7.5(P)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3.12-3.47'!$A$314:$A$317</c:f>
              <c:numCache>
                <c:formatCode>General</c:formatCode>
                <c:ptCount val="4"/>
                <c:pt idx="0">
                  <c:v>87</c:v>
                </c:pt>
                <c:pt idx="1">
                  <c:v>49.5</c:v>
                </c:pt>
                <c:pt idx="2">
                  <c:v>19.5</c:v>
                </c:pt>
                <c:pt idx="3">
                  <c:v>4.5</c:v>
                </c:pt>
              </c:numCache>
            </c:numRef>
          </c:xVal>
          <c:yVal>
            <c:numRef>
              <c:f>'Ejercicios 3.12-3.47'!$B$314:$B$317</c:f>
              <c:numCache>
                <c:formatCode>General</c:formatCode>
                <c:ptCount val="4"/>
                <c:pt idx="0">
                  <c:v>0</c:v>
                </c:pt>
                <c:pt idx="1">
                  <c:v>5</c:v>
                </c:pt>
                <c:pt idx="2">
                  <c:v>9</c:v>
                </c:pt>
                <c:pt idx="3">
                  <c:v>11</c:v>
                </c:pt>
              </c:numCache>
            </c:numRef>
          </c:yVal>
          <c:smooth val="0"/>
          <c:extLst>
            <c:ext xmlns:c16="http://schemas.microsoft.com/office/drawing/2014/chart" uri="{C3380CC4-5D6E-409C-BE32-E72D297353CC}">
              <c16:uniqueId val="{00000001-B14B-4C61-9212-36F9778027F1}"/>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(Q)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Precio (P)</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Ecuación de demanda.</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3.12-3.47'!$A$333</c:f>
              <c:strCache>
                <c:ptCount val="1"/>
                <c:pt idx="0">
                  <c:v>QD=416-0.8(P)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3.12-3.47'!$A$334:$A$337</c:f>
              <c:numCache>
                <c:formatCode>General</c:formatCode>
                <c:ptCount val="4"/>
                <c:pt idx="0">
                  <c:v>416</c:v>
                </c:pt>
                <c:pt idx="1">
                  <c:v>256</c:v>
                </c:pt>
                <c:pt idx="2">
                  <c:v>176</c:v>
                </c:pt>
                <c:pt idx="3">
                  <c:v>96</c:v>
                </c:pt>
              </c:numCache>
            </c:numRef>
          </c:xVal>
          <c:yVal>
            <c:numRef>
              <c:f>'Ejercicios 3.12-3.47'!$B$334:$B$337</c:f>
              <c:numCache>
                <c:formatCode>General</c:formatCode>
                <c:ptCount val="4"/>
                <c:pt idx="0">
                  <c:v>0</c:v>
                </c:pt>
                <c:pt idx="1">
                  <c:v>200</c:v>
                </c:pt>
                <c:pt idx="2">
                  <c:v>300</c:v>
                </c:pt>
                <c:pt idx="3">
                  <c:v>400</c:v>
                </c:pt>
              </c:numCache>
            </c:numRef>
          </c:yVal>
          <c:smooth val="0"/>
          <c:extLst>
            <c:ext xmlns:c16="http://schemas.microsoft.com/office/drawing/2014/chart" uri="{C3380CC4-5D6E-409C-BE32-E72D297353CC}">
              <c16:uniqueId val="{00000001-CC6D-4164-ADE3-3DB60D030535}"/>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(Q)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Precio (P)</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Ecuación de demanda.</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3.12-3.47'!$A$352</c:f>
              <c:strCache>
                <c:ptCount val="1"/>
                <c:pt idx="0">
                  <c:v>QD=342-(5/4)P</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3.12-3.47'!$A$353:$A$356</c:f>
              <c:numCache>
                <c:formatCode>General</c:formatCode>
                <c:ptCount val="4"/>
                <c:pt idx="0">
                  <c:v>342</c:v>
                </c:pt>
                <c:pt idx="1">
                  <c:v>217</c:v>
                </c:pt>
                <c:pt idx="2">
                  <c:v>92</c:v>
                </c:pt>
                <c:pt idx="3">
                  <c:v>29.5</c:v>
                </c:pt>
              </c:numCache>
            </c:numRef>
          </c:xVal>
          <c:yVal>
            <c:numRef>
              <c:f>'Ejercicios 3.12-3.47'!$B$353:$B$356</c:f>
              <c:numCache>
                <c:formatCode>General</c:formatCode>
                <c:ptCount val="4"/>
                <c:pt idx="0">
                  <c:v>0</c:v>
                </c:pt>
                <c:pt idx="1">
                  <c:v>100</c:v>
                </c:pt>
                <c:pt idx="2">
                  <c:v>200</c:v>
                </c:pt>
                <c:pt idx="3">
                  <c:v>250</c:v>
                </c:pt>
              </c:numCache>
            </c:numRef>
          </c:yVal>
          <c:smooth val="0"/>
          <c:extLst>
            <c:ext xmlns:c16="http://schemas.microsoft.com/office/drawing/2014/chart" uri="{C3380CC4-5D6E-409C-BE32-E72D297353CC}">
              <c16:uniqueId val="{00000001-114D-4155-BFE7-35789D3D67CA}"/>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(Q)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Precio (P)</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3.12-3.47'!$A$372</c:f>
              <c:strCache>
                <c:ptCount val="1"/>
                <c:pt idx="0">
                  <c:v>C=34+0.4(Y)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3.12-3.47'!$B$373:$B$375</c:f>
              <c:numCache>
                <c:formatCode>General</c:formatCode>
                <c:ptCount val="3"/>
                <c:pt idx="0">
                  <c:v>65</c:v>
                </c:pt>
                <c:pt idx="1">
                  <c:v>115</c:v>
                </c:pt>
                <c:pt idx="2">
                  <c:v>165</c:v>
                </c:pt>
              </c:numCache>
            </c:numRef>
          </c:xVal>
          <c:yVal>
            <c:numRef>
              <c:f>'Ejercicios 3.12-3.47'!$A$373:$A$375</c:f>
              <c:numCache>
                <c:formatCode>General</c:formatCode>
                <c:ptCount val="3"/>
                <c:pt idx="0">
                  <c:v>60</c:v>
                </c:pt>
                <c:pt idx="1">
                  <c:v>80</c:v>
                </c:pt>
                <c:pt idx="2">
                  <c:v>100</c:v>
                </c:pt>
              </c:numCache>
            </c:numRef>
          </c:yVal>
          <c:smooth val="0"/>
          <c:extLst>
            <c:ext xmlns:c16="http://schemas.microsoft.com/office/drawing/2014/chart" uri="{C3380CC4-5D6E-409C-BE32-E72D297353CC}">
              <c16:uniqueId val="{00000001-329A-4946-83D0-C71E00481E6A}"/>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3.12-3.47'!$A$392</c:f>
              <c:strCache>
                <c:ptCount val="1"/>
                <c:pt idx="0">
                  <c:v>C=52.5+0.7(Y)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3.12-3.47'!$B$393:$B$395</c:f>
              <c:numCache>
                <c:formatCode>General</c:formatCode>
                <c:ptCount val="3"/>
                <c:pt idx="0">
                  <c:v>125</c:v>
                </c:pt>
                <c:pt idx="1">
                  <c:v>225</c:v>
                </c:pt>
                <c:pt idx="2">
                  <c:v>275</c:v>
                </c:pt>
              </c:numCache>
            </c:numRef>
          </c:xVal>
          <c:yVal>
            <c:numRef>
              <c:f>'Ejercicios 3.12-3.47'!$A$393:$A$395</c:f>
              <c:numCache>
                <c:formatCode>General</c:formatCode>
                <c:ptCount val="3"/>
                <c:pt idx="0">
                  <c:v>140</c:v>
                </c:pt>
                <c:pt idx="1">
                  <c:v>210</c:v>
                </c:pt>
                <c:pt idx="2">
                  <c:v>245</c:v>
                </c:pt>
              </c:numCache>
            </c:numRef>
          </c:yVal>
          <c:smooth val="0"/>
          <c:extLst>
            <c:ext xmlns:c16="http://schemas.microsoft.com/office/drawing/2014/chart" uri="{C3380CC4-5D6E-409C-BE32-E72D297353CC}">
              <c16:uniqueId val="{00000001-7BDB-4D23-B69D-CDC9E55073DC}"/>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3.12-3.47'!$A$410</c:f>
              <c:strCache>
                <c:ptCount val="1"/>
                <c:pt idx="0">
                  <c:v>C=98+0.8(Y)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3.12-3.47'!$B$411:$B$413</c:f>
              <c:numCache>
                <c:formatCode>General</c:formatCode>
                <c:ptCount val="3"/>
                <c:pt idx="0">
                  <c:v>340</c:v>
                </c:pt>
                <c:pt idx="1">
                  <c:v>540</c:v>
                </c:pt>
                <c:pt idx="2">
                  <c:v>740</c:v>
                </c:pt>
              </c:numCache>
            </c:numRef>
          </c:xVal>
          <c:yVal>
            <c:numRef>
              <c:f>'Ejercicios 3.12-3.47'!$A$411:$A$413</c:f>
              <c:numCache>
                <c:formatCode>General</c:formatCode>
                <c:ptCount val="3"/>
                <c:pt idx="0">
                  <c:v>370</c:v>
                </c:pt>
                <c:pt idx="1">
                  <c:v>530</c:v>
                </c:pt>
                <c:pt idx="2">
                  <c:v>690</c:v>
                </c:pt>
              </c:numCache>
            </c:numRef>
          </c:yVal>
          <c:smooth val="0"/>
          <c:extLst>
            <c:ext xmlns:c16="http://schemas.microsoft.com/office/drawing/2014/chart" uri="{C3380CC4-5D6E-409C-BE32-E72D297353CC}">
              <c16:uniqueId val="{00000001-3EDB-4B5E-8B43-715429E1D59A}"/>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t>Función de consumo.</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1376159230096236"/>
          <c:y val="0.18300925925925926"/>
          <c:w val="0.84734951881014875"/>
          <c:h val="0.57540135608048981"/>
        </c:manualLayout>
      </c:layout>
      <c:scatterChart>
        <c:scatterStyle val="lineMarker"/>
        <c:varyColors val="0"/>
        <c:ser>
          <c:idx val="0"/>
          <c:order val="0"/>
          <c:tx>
            <c:strRef>
              <c:f>'Ejercicios 3.12-3.47'!$A$429</c:f>
              <c:strCache>
                <c:ptCount val="1"/>
                <c:pt idx="0">
                  <c:v>C=15+0.9(Y)</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dash"/>
                <a:round/>
              </a:ln>
              <a:effectLst/>
            </c:spPr>
            <c:trendlineType val="linear"/>
            <c:dispRSqr val="0"/>
            <c:dispEq val="0"/>
          </c:trendline>
          <c:xVal>
            <c:numRef>
              <c:f>'Ejercicios 3.12-3.47'!$B$430:$B$432</c:f>
              <c:numCache>
                <c:formatCode>General</c:formatCode>
                <c:ptCount val="3"/>
                <c:pt idx="0">
                  <c:v>50</c:v>
                </c:pt>
                <c:pt idx="1">
                  <c:v>250</c:v>
                </c:pt>
                <c:pt idx="2">
                  <c:v>350</c:v>
                </c:pt>
              </c:numCache>
            </c:numRef>
          </c:xVal>
          <c:yVal>
            <c:numRef>
              <c:f>'Ejercicios 3.12-3.47'!$A$430:$A$432</c:f>
              <c:numCache>
                <c:formatCode>General</c:formatCode>
                <c:ptCount val="3"/>
                <c:pt idx="0">
                  <c:v>60</c:v>
                </c:pt>
                <c:pt idx="1">
                  <c:v>240</c:v>
                </c:pt>
                <c:pt idx="2">
                  <c:v>330</c:v>
                </c:pt>
              </c:numCache>
            </c:numRef>
          </c:yVal>
          <c:smooth val="0"/>
          <c:extLst>
            <c:ext xmlns:c16="http://schemas.microsoft.com/office/drawing/2014/chart" uri="{C3380CC4-5D6E-409C-BE32-E72D297353CC}">
              <c16:uniqueId val="{00000001-D725-4726-8032-FA6AA31107A1}"/>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Ingreso (Y)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0"/>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Consumo (C)</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4.19-4.52'!$C$2</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4.19-4.52'!$A$3:$A$5</c:f>
              <c:numCache>
                <c:formatCode>General</c:formatCode>
                <c:ptCount val="3"/>
                <c:pt idx="0">
                  <c:v>1</c:v>
                </c:pt>
                <c:pt idx="1">
                  <c:v>5</c:v>
                </c:pt>
                <c:pt idx="2">
                  <c:v>9</c:v>
                </c:pt>
              </c:numCache>
            </c:numRef>
          </c:xVal>
          <c:yVal>
            <c:numRef>
              <c:f>'Ejercicios 4.19-4.52'!$B$3:$B$5</c:f>
              <c:numCache>
                <c:formatCode>General</c:formatCode>
                <c:ptCount val="3"/>
                <c:pt idx="0">
                  <c:v>1</c:v>
                </c:pt>
                <c:pt idx="1">
                  <c:v>5</c:v>
                </c:pt>
                <c:pt idx="2">
                  <c:v>9</c:v>
                </c:pt>
              </c:numCache>
            </c:numRef>
          </c:yVal>
          <c:smooth val="0"/>
          <c:extLst>
            <c:ext xmlns:c16="http://schemas.microsoft.com/office/drawing/2014/chart" uri="{C3380CC4-5D6E-409C-BE32-E72D297353CC}">
              <c16:uniqueId val="{00000001-EB9A-42C4-B79F-EBA3B8DA0F91}"/>
            </c:ext>
          </c:extLst>
        </c:ser>
        <c:ser>
          <c:idx val="1"/>
          <c:order val="1"/>
          <c:tx>
            <c:strRef>
              <c:f>'Ejercicios 4.19-4.52'!$C$7</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4.19-4.52'!$A$7:$A$9</c:f>
              <c:numCache>
                <c:formatCode>General</c:formatCode>
                <c:ptCount val="3"/>
                <c:pt idx="0">
                  <c:v>1</c:v>
                </c:pt>
                <c:pt idx="1">
                  <c:v>3</c:v>
                </c:pt>
                <c:pt idx="2">
                  <c:v>4</c:v>
                </c:pt>
              </c:numCache>
            </c:numRef>
          </c:xVal>
          <c:yVal>
            <c:numRef>
              <c:f>'Ejercicios 4.19-4.52'!$B$7:$B$9</c:f>
              <c:numCache>
                <c:formatCode>General</c:formatCode>
                <c:ptCount val="3"/>
                <c:pt idx="0">
                  <c:v>2</c:v>
                </c:pt>
                <c:pt idx="1">
                  <c:v>6</c:v>
                </c:pt>
                <c:pt idx="2">
                  <c:v>8</c:v>
                </c:pt>
              </c:numCache>
            </c:numRef>
          </c:yVal>
          <c:smooth val="0"/>
          <c:extLst>
            <c:ext xmlns:c16="http://schemas.microsoft.com/office/drawing/2014/chart" uri="{C3380CC4-5D6E-409C-BE32-E72D297353CC}">
              <c16:uniqueId val="{00000002-EB9A-42C4-B79F-EBA3B8DA0F91}"/>
            </c:ext>
          </c:extLst>
        </c:ser>
        <c:ser>
          <c:idx val="2"/>
          <c:order val="2"/>
          <c:tx>
            <c:strRef>
              <c:f>'Ejercicios 4.19-4.52'!$C$11</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ln>
              <a:effectLst/>
            </c:spPr>
            <c:trendlineType val="linear"/>
            <c:dispRSqr val="0"/>
            <c:dispEq val="0"/>
          </c:trendline>
          <c:xVal>
            <c:numRef>
              <c:f>'Ejercicios 4.19-4.52'!$A$11:$A$13</c:f>
              <c:numCache>
                <c:formatCode>General</c:formatCode>
                <c:ptCount val="3"/>
                <c:pt idx="0">
                  <c:v>1</c:v>
                </c:pt>
                <c:pt idx="1">
                  <c:v>2</c:v>
                </c:pt>
                <c:pt idx="2">
                  <c:v>3</c:v>
                </c:pt>
              </c:numCache>
            </c:numRef>
          </c:xVal>
          <c:yVal>
            <c:numRef>
              <c:f>'Ejercicios 4.19-4.52'!$B$11:$B$13</c:f>
              <c:numCache>
                <c:formatCode>General</c:formatCode>
                <c:ptCount val="3"/>
                <c:pt idx="0">
                  <c:v>4</c:v>
                </c:pt>
                <c:pt idx="1">
                  <c:v>8</c:v>
                </c:pt>
                <c:pt idx="2">
                  <c:v>12</c:v>
                </c:pt>
              </c:numCache>
            </c:numRef>
          </c:yVal>
          <c:smooth val="0"/>
          <c:extLst>
            <c:ext xmlns:c16="http://schemas.microsoft.com/office/drawing/2014/chart" uri="{C3380CC4-5D6E-409C-BE32-E72D297353CC}">
              <c16:uniqueId val="{00000004-EB9A-42C4-B79F-EBA3B8DA0F9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ayout>
        <c:manualLayout>
          <c:xMode val="edge"/>
          <c:yMode val="edge"/>
          <c:x val="0.20713167104111985"/>
          <c:y val="0.92187445319335082"/>
          <c:w val="0.6471183289588801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4.19-4.52'!$C$21</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4.19-4.52'!$A$22:$A$24</c:f>
              <c:numCache>
                <c:formatCode>General</c:formatCode>
                <c:ptCount val="3"/>
                <c:pt idx="0">
                  <c:v>1</c:v>
                </c:pt>
                <c:pt idx="1">
                  <c:v>5</c:v>
                </c:pt>
                <c:pt idx="2">
                  <c:v>9</c:v>
                </c:pt>
              </c:numCache>
            </c:numRef>
          </c:xVal>
          <c:yVal>
            <c:numRef>
              <c:f>'Ejercicios 4.19-4.52'!$B$22:$B$24</c:f>
              <c:numCache>
                <c:formatCode>General</c:formatCode>
                <c:ptCount val="3"/>
                <c:pt idx="0">
                  <c:v>1</c:v>
                </c:pt>
                <c:pt idx="1">
                  <c:v>5</c:v>
                </c:pt>
                <c:pt idx="2">
                  <c:v>9</c:v>
                </c:pt>
              </c:numCache>
            </c:numRef>
          </c:yVal>
          <c:smooth val="0"/>
          <c:extLst>
            <c:ext xmlns:c16="http://schemas.microsoft.com/office/drawing/2014/chart" uri="{C3380CC4-5D6E-409C-BE32-E72D297353CC}">
              <c16:uniqueId val="{00000001-8F76-43EA-88C4-073C3C4A7DF0}"/>
            </c:ext>
          </c:extLst>
        </c:ser>
        <c:ser>
          <c:idx val="1"/>
          <c:order val="1"/>
          <c:tx>
            <c:strRef>
              <c:f>'Ejercicios 4.19-4.52'!$C$26</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4.19-4.52'!$A$26:$A$28</c:f>
              <c:numCache>
                <c:formatCode>General</c:formatCode>
                <c:ptCount val="3"/>
                <c:pt idx="0">
                  <c:v>2</c:v>
                </c:pt>
                <c:pt idx="1">
                  <c:v>4</c:v>
                </c:pt>
                <c:pt idx="2">
                  <c:v>10</c:v>
                </c:pt>
              </c:numCache>
            </c:numRef>
          </c:xVal>
          <c:yVal>
            <c:numRef>
              <c:f>'Ejercicios 4.19-4.52'!$B$26:$B$28</c:f>
              <c:numCache>
                <c:formatCode>General</c:formatCode>
                <c:ptCount val="3"/>
                <c:pt idx="0">
                  <c:v>1</c:v>
                </c:pt>
                <c:pt idx="1">
                  <c:v>2</c:v>
                </c:pt>
                <c:pt idx="2">
                  <c:v>5</c:v>
                </c:pt>
              </c:numCache>
            </c:numRef>
          </c:yVal>
          <c:smooth val="0"/>
          <c:extLst>
            <c:ext xmlns:c16="http://schemas.microsoft.com/office/drawing/2014/chart" uri="{C3380CC4-5D6E-409C-BE32-E72D297353CC}">
              <c16:uniqueId val="{00000003-8F76-43EA-88C4-073C3C4A7DF0}"/>
            </c:ext>
          </c:extLst>
        </c:ser>
        <c:ser>
          <c:idx val="2"/>
          <c:order val="2"/>
          <c:tx>
            <c:strRef>
              <c:f>'Ejercicios 4.19-4.52'!$C$30</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ln>
              <a:effectLst/>
            </c:spPr>
            <c:trendlineType val="linear"/>
            <c:dispRSqr val="0"/>
            <c:dispEq val="0"/>
          </c:trendline>
          <c:xVal>
            <c:numRef>
              <c:f>'Ejercicios 4.19-4.52'!$A$30:$A$32</c:f>
              <c:numCache>
                <c:formatCode>General</c:formatCode>
                <c:ptCount val="3"/>
                <c:pt idx="0">
                  <c:v>4</c:v>
                </c:pt>
                <c:pt idx="1">
                  <c:v>8</c:v>
                </c:pt>
                <c:pt idx="2">
                  <c:v>12</c:v>
                </c:pt>
              </c:numCache>
            </c:numRef>
          </c:xVal>
          <c:yVal>
            <c:numRef>
              <c:f>'Ejercicios 4.19-4.52'!$B$30:$B$32</c:f>
              <c:numCache>
                <c:formatCode>General</c:formatCode>
                <c:ptCount val="3"/>
                <c:pt idx="0">
                  <c:v>1</c:v>
                </c:pt>
                <c:pt idx="1">
                  <c:v>2</c:v>
                </c:pt>
                <c:pt idx="2">
                  <c:v>3</c:v>
                </c:pt>
              </c:numCache>
            </c:numRef>
          </c:yVal>
          <c:smooth val="0"/>
          <c:extLst>
            <c:ext xmlns:c16="http://schemas.microsoft.com/office/drawing/2014/chart" uri="{C3380CC4-5D6E-409C-BE32-E72D297353CC}">
              <c16:uniqueId val="{00000005-8F76-43EA-88C4-073C3C4A7DF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ayout>
        <c:manualLayout>
          <c:xMode val="edge"/>
          <c:yMode val="edge"/>
          <c:x val="0.20713167104111985"/>
          <c:y val="0.92187445319335082"/>
          <c:w val="0.6744181977252843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4.19-4.52'!$C$37</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4.19-4.52'!$A$38:$A$40</c:f>
              <c:numCache>
                <c:formatCode>General</c:formatCode>
                <c:ptCount val="3"/>
                <c:pt idx="0">
                  <c:v>1</c:v>
                </c:pt>
                <c:pt idx="1">
                  <c:v>5</c:v>
                </c:pt>
                <c:pt idx="2">
                  <c:v>9</c:v>
                </c:pt>
              </c:numCache>
            </c:numRef>
          </c:xVal>
          <c:yVal>
            <c:numRef>
              <c:f>'Ejercicios 4.19-4.52'!$B$38:$B$40</c:f>
              <c:numCache>
                <c:formatCode>General</c:formatCode>
                <c:ptCount val="3"/>
                <c:pt idx="0">
                  <c:v>1</c:v>
                </c:pt>
                <c:pt idx="1">
                  <c:v>5</c:v>
                </c:pt>
                <c:pt idx="2">
                  <c:v>9</c:v>
                </c:pt>
              </c:numCache>
            </c:numRef>
          </c:yVal>
          <c:smooth val="0"/>
          <c:extLst>
            <c:ext xmlns:c16="http://schemas.microsoft.com/office/drawing/2014/chart" uri="{C3380CC4-5D6E-409C-BE32-E72D297353CC}">
              <c16:uniqueId val="{00000001-2AAD-41F3-8876-E8A44ECAB9FD}"/>
            </c:ext>
          </c:extLst>
        </c:ser>
        <c:ser>
          <c:idx val="1"/>
          <c:order val="1"/>
          <c:tx>
            <c:strRef>
              <c:f>'Ejercicios 4.19-4.52'!$C$42</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4.19-4.52'!$A$42:$A$44</c:f>
              <c:numCache>
                <c:formatCode>General</c:formatCode>
                <c:ptCount val="3"/>
                <c:pt idx="0">
                  <c:v>2</c:v>
                </c:pt>
                <c:pt idx="1">
                  <c:v>4</c:v>
                </c:pt>
                <c:pt idx="2">
                  <c:v>10</c:v>
                </c:pt>
              </c:numCache>
            </c:numRef>
          </c:xVal>
          <c:yVal>
            <c:numRef>
              <c:f>'Ejercicios 4.19-4.52'!$B$42:$B$44</c:f>
              <c:numCache>
                <c:formatCode>General</c:formatCode>
                <c:ptCount val="3"/>
                <c:pt idx="0">
                  <c:v>3</c:v>
                </c:pt>
                <c:pt idx="1">
                  <c:v>5</c:v>
                </c:pt>
                <c:pt idx="2">
                  <c:v>11</c:v>
                </c:pt>
              </c:numCache>
            </c:numRef>
          </c:yVal>
          <c:smooth val="0"/>
          <c:extLst>
            <c:ext xmlns:c16="http://schemas.microsoft.com/office/drawing/2014/chart" uri="{C3380CC4-5D6E-409C-BE32-E72D297353CC}">
              <c16:uniqueId val="{00000003-2AAD-41F3-8876-E8A44ECAB9FD}"/>
            </c:ext>
          </c:extLst>
        </c:ser>
        <c:ser>
          <c:idx val="2"/>
          <c:order val="2"/>
          <c:tx>
            <c:strRef>
              <c:f>'Ejercicios 4.19-4.52'!$C$46</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ln>
              <a:effectLst/>
            </c:spPr>
            <c:trendlineType val="linear"/>
            <c:dispRSqr val="0"/>
            <c:dispEq val="0"/>
          </c:trendline>
          <c:xVal>
            <c:numRef>
              <c:f>'Ejercicios 4.19-4.52'!$A$46:$A$48</c:f>
              <c:numCache>
                <c:formatCode>General</c:formatCode>
                <c:ptCount val="3"/>
                <c:pt idx="0">
                  <c:v>1</c:v>
                </c:pt>
                <c:pt idx="1">
                  <c:v>5</c:v>
                </c:pt>
                <c:pt idx="2">
                  <c:v>8</c:v>
                </c:pt>
              </c:numCache>
            </c:numRef>
          </c:xVal>
          <c:yVal>
            <c:numRef>
              <c:f>'Ejercicios 4.19-4.52'!$B$46:$B$48</c:f>
              <c:numCache>
                <c:formatCode>General</c:formatCode>
                <c:ptCount val="3"/>
                <c:pt idx="0">
                  <c:v>4</c:v>
                </c:pt>
                <c:pt idx="1">
                  <c:v>8</c:v>
                </c:pt>
                <c:pt idx="2">
                  <c:v>11</c:v>
                </c:pt>
              </c:numCache>
            </c:numRef>
          </c:yVal>
          <c:smooth val="0"/>
          <c:extLst>
            <c:ext xmlns:c16="http://schemas.microsoft.com/office/drawing/2014/chart" uri="{C3380CC4-5D6E-409C-BE32-E72D297353CC}">
              <c16:uniqueId val="{00000005-2AAD-41F3-8876-E8A44ECAB9FD}"/>
            </c:ext>
          </c:extLst>
        </c:ser>
        <c:ser>
          <c:idx val="3"/>
          <c:order val="3"/>
          <c:tx>
            <c:strRef>
              <c:f>'Ejercicios 4.19-4.52'!$C$50</c:f>
              <c:strCache>
                <c:ptCount val="1"/>
                <c:pt idx="0">
                  <c:v>d</c:v>
                </c:pt>
              </c:strCache>
            </c:strRef>
          </c:tx>
          <c:spPr>
            <a:ln w="25400" cap="rnd">
              <a:noFill/>
              <a:round/>
            </a:ln>
            <a:effectLst/>
          </c:spPr>
          <c:marker>
            <c:symbol val="circle"/>
            <c:size val="6"/>
            <c:spPr>
              <a:solidFill>
                <a:schemeClr val="lt1"/>
              </a:solidFill>
              <a:ln w="15875">
                <a:solidFill>
                  <a:schemeClr val="accent4"/>
                </a:solidFill>
                <a:round/>
              </a:ln>
              <a:effectLst/>
            </c:spPr>
          </c:marker>
          <c:trendline>
            <c:spPr>
              <a:ln w="19050" cap="rnd">
                <a:solidFill>
                  <a:schemeClr val="accent4"/>
                </a:solidFill>
                <a:prstDash val="lgDashDotDot"/>
              </a:ln>
              <a:effectLst/>
            </c:spPr>
            <c:trendlineType val="linear"/>
            <c:dispRSqr val="0"/>
            <c:dispEq val="0"/>
          </c:trendline>
          <c:xVal>
            <c:numRef>
              <c:f>'Ejercicios 4.19-4.52'!$A$50:$A$52</c:f>
              <c:numCache>
                <c:formatCode>General</c:formatCode>
                <c:ptCount val="3"/>
                <c:pt idx="0">
                  <c:v>2</c:v>
                </c:pt>
                <c:pt idx="1">
                  <c:v>9</c:v>
                </c:pt>
                <c:pt idx="2">
                  <c:v>11</c:v>
                </c:pt>
              </c:numCache>
            </c:numRef>
          </c:xVal>
          <c:yVal>
            <c:numRef>
              <c:f>'Ejercicios 4.19-4.52'!$B$50:$B$52</c:f>
              <c:numCache>
                <c:formatCode>General</c:formatCode>
                <c:ptCount val="3"/>
                <c:pt idx="0">
                  <c:v>1</c:v>
                </c:pt>
                <c:pt idx="1">
                  <c:v>8</c:v>
                </c:pt>
                <c:pt idx="2">
                  <c:v>10</c:v>
                </c:pt>
              </c:numCache>
            </c:numRef>
          </c:yVal>
          <c:smooth val="0"/>
          <c:extLst>
            <c:ext xmlns:c16="http://schemas.microsoft.com/office/drawing/2014/chart" uri="{C3380CC4-5D6E-409C-BE32-E72D297353CC}">
              <c16:uniqueId val="{00000006-2AAD-41F3-8876-E8A44ECAB9FD}"/>
            </c:ext>
          </c:extLst>
        </c:ser>
        <c:ser>
          <c:idx val="4"/>
          <c:order val="4"/>
          <c:tx>
            <c:strRef>
              <c:f>'Ejercicios 4.19-4.52'!$C$54</c:f>
              <c:strCache>
                <c:ptCount val="1"/>
                <c:pt idx="0">
                  <c:v>e</c:v>
                </c:pt>
              </c:strCache>
            </c:strRef>
          </c:tx>
          <c:spPr>
            <a:ln w="25400" cap="rnd">
              <a:noFill/>
              <a:round/>
            </a:ln>
            <a:effectLst/>
          </c:spPr>
          <c:marker>
            <c:symbol val="circle"/>
            <c:size val="6"/>
            <c:spPr>
              <a:solidFill>
                <a:schemeClr val="lt1"/>
              </a:solidFill>
              <a:ln w="15875">
                <a:solidFill>
                  <a:schemeClr val="accent5"/>
                </a:solidFill>
                <a:round/>
              </a:ln>
              <a:effectLst/>
            </c:spPr>
          </c:marker>
          <c:trendline>
            <c:spPr>
              <a:ln w="19050" cap="rnd">
                <a:solidFill>
                  <a:schemeClr val="accent5"/>
                </a:solidFill>
                <a:prstDash val="dashDot"/>
              </a:ln>
              <a:effectLst/>
            </c:spPr>
            <c:trendlineType val="linear"/>
            <c:dispRSqr val="0"/>
            <c:dispEq val="0"/>
          </c:trendline>
          <c:xVal>
            <c:numRef>
              <c:f>'Ejercicios 4.19-4.52'!$A$54:$A$56</c:f>
              <c:numCache>
                <c:formatCode>General</c:formatCode>
                <c:ptCount val="3"/>
                <c:pt idx="0">
                  <c:v>3</c:v>
                </c:pt>
                <c:pt idx="1">
                  <c:v>6</c:v>
                </c:pt>
                <c:pt idx="2">
                  <c:v>9</c:v>
                </c:pt>
              </c:numCache>
            </c:numRef>
          </c:xVal>
          <c:yVal>
            <c:numRef>
              <c:f>'Ejercicios 4.19-4.52'!$B$54:$B$56</c:f>
              <c:numCache>
                <c:formatCode>General</c:formatCode>
                <c:ptCount val="3"/>
                <c:pt idx="0">
                  <c:v>0</c:v>
                </c:pt>
                <c:pt idx="1">
                  <c:v>3</c:v>
                </c:pt>
                <c:pt idx="2">
                  <c:v>6</c:v>
                </c:pt>
              </c:numCache>
            </c:numRef>
          </c:yVal>
          <c:smooth val="0"/>
          <c:extLst>
            <c:ext xmlns:c16="http://schemas.microsoft.com/office/drawing/2014/chart" uri="{C3380CC4-5D6E-409C-BE32-E72D297353CC}">
              <c16:uniqueId val="{00000007-2AAD-41F3-8876-E8A44ECAB9F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ayout>
        <c:manualLayout>
          <c:xMode val="edge"/>
          <c:yMode val="edge"/>
          <c:x val="1.5761154855643048E-3"/>
          <c:y val="0.92187445319335082"/>
          <c:w val="0.99286832895888011"/>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4.19-4.52'!$C$59</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4.19-4.52'!$A$60:$A$62</c:f>
              <c:numCache>
                <c:formatCode>General</c:formatCode>
                <c:ptCount val="3"/>
                <c:pt idx="0">
                  <c:v>0</c:v>
                </c:pt>
                <c:pt idx="1">
                  <c:v>2</c:v>
                </c:pt>
                <c:pt idx="2">
                  <c:v>3</c:v>
                </c:pt>
              </c:numCache>
            </c:numRef>
          </c:xVal>
          <c:yVal>
            <c:numRef>
              <c:f>'Ejercicios 4.19-4.52'!$B$60:$B$62</c:f>
              <c:numCache>
                <c:formatCode>General</c:formatCode>
                <c:ptCount val="3"/>
                <c:pt idx="0">
                  <c:v>20</c:v>
                </c:pt>
                <c:pt idx="1">
                  <c:v>18</c:v>
                </c:pt>
                <c:pt idx="2">
                  <c:v>17</c:v>
                </c:pt>
              </c:numCache>
            </c:numRef>
          </c:yVal>
          <c:smooth val="0"/>
          <c:extLst>
            <c:ext xmlns:c16="http://schemas.microsoft.com/office/drawing/2014/chart" uri="{C3380CC4-5D6E-409C-BE32-E72D297353CC}">
              <c16:uniqueId val="{00000001-E4D4-490F-8D07-D2D5F4F1D6A1}"/>
            </c:ext>
          </c:extLst>
        </c:ser>
        <c:ser>
          <c:idx val="1"/>
          <c:order val="1"/>
          <c:tx>
            <c:strRef>
              <c:f>'Ejercicios 4.19-4.52'!$C$64</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4.19-4.52'!$A$64:$A$66</c:f>
              <c:numCache>
                <c:formatCode>General</c:formatCode>
                <c:ptCount val="3"/>
                <c:pt idx="0">
                  <c:v>0</c:v>
                </c:pt>
                <c:pt idx="1">
                  <c:v>2</c:v>
                </c:pt>
                <c:pt idx="2">
                  <c:v>3</c:v>
                </c:pt>
              </c:numCache>
            </c:numRef>
          </c:xVal>
          <c:yVal>
            <c:numRef>
              <c:f>'Ejercicios 4.19-4.52'!$B$64:$B$66</c:f>
              <c:numCache>
                <c:formatCode>General</c:formatCode>
                <c:ptCount val="3"/>
                <c:pt idx="0">
                  <c:v>20</c:v>
                </c:pt>
                <c:pt idx="1">
                  <c:v>19</c:v>
                </c:pt>
                <c:pt idx="2">
                  <c:v>18.5</c:v>
                </c:pt>
              </c:numCache>
            </c:numRef>
          </c:yVal>
          <c:smooth val="0"/>
          <c:extLst>
            <c:ext xmlns:c16="http://schemas.microsoft.com/office/drawing/2014/chart" uri="{C3380CC4-5D6E-409C-BE32-E72D297353CC}">
              <c16:uniqueId val="{00000003-E4D4-490F-8D07-D2D5F4F1D6A1}"/>
            </c:ext>
          </c:extLst>
        </c:ser>
        <c:ser>
          <c:idx val="2"/>
          <c:order val="2"/>
          <c:tx>
            <c:strRef>
              <c:f>'Ejercicios 4.19-4.52'!$C$68</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prstDash val="lgDashDotDot"/>
              </a:ln>
              <a:effectLst/>
            </c:spPr>
            <c:trendlineType val="linear"/>
            <c:dispRSqr val="0"/>
            <c:dispEq val="0"/>
          </c:trendline>
          <c:xVal>
            <c:numRef>
              <c:f>'Ejercicios 4.19-4.52'!$A$68:$A$70</c:f>
              <c:numCache>
                <c:formatCode>General</c:formatCode>
                <c:ptCount val="3"/>
                <c:pt idx="0">
                  <c:v>0</c:v>
                </c:pt>
                <c:pt idx="1">
                  <c:v>2</c:v>
                </c:pt>
                <c:pt idx="2">
                  <c:v>3</c:v>
                </c:pt>
              </c:numCache>
            </c:numRef>
          </c:xVal>
          <c:yVal>
            <c:numRef>
              <c:f>'Ejercicios 4.19-4.52'!$B$68:$B$70</c:f>
              <c:numCache>
                <c:formatCode>General</c:formatCode>
                <c:ptCount val="3"/>
                <c:pt idx="0">
                  <c:v>20</c:v>
                </c:pt>
                <c:pt idx="1">
                  <c:v>16</c:v>
                </c:pt>
                <c:pt idx="2">
                  <c:v>14</c:v>
                </c:pt>
              </c:numCache>
            </c:numRef>
          </c:yVal>
          <c:smooth val="0"/>
          <c:extLst>
            <c:ext xmlns:c16="http://schemas.microsoft.com/office/drawing/2014/chart" uri="{C3380CC4-5D6E-409C-BE32-E72D297353CC}">
              <c16:uniqueId val="{00000005-E4D4-490F-8D07-D2D5F4F1D6A1}"/>
            </c:ext>
          </c:extLst>
        </c:ser>
        <c:ser>
          <c:idx val="3"/>
          <c:order val="3"/>
          <c:tx>
            <c:strRef>
              <c:f>'Ejercicios 4.19-4.52'!$C$72</c:f>
              <c:strCache>
                <c:ptCount val="1"/>
                <c:pt idx="0">
                  <c:v>d</c:v>
                </c:pt>
              </c:strCache>
            </c:strRef>
          </c:tx>
          <c:spPr>
            <a:ln w="25400" cap="rnd">
              <a:noFill/>
              <a:round/>
            </a:ln>
            <a:effectLst/>
          </c:spPr>
          <c:marker>
            <c:symbol val="circle"/>
            <c:size val="6"/>
            <c:spPr>
              <a:solidFill>
                <a:schemeClr val="lt1"/>
              </a:solidFill>
              <a:ln w="15875">
                <a:solidFill>
                  <a:schemeClr val="accent4"/>
                </a:solidFill>
                <a:round/>
              </a:ln>
              <a:effectLst/>
            </c:spPr>
          </c:marker>
          <c:trendline>
            <c:spPr>
              <a:ln w="19050" cap="rnd">
                <a:solidFill>
                  <a:schemeClr val="accent4"/>
                </a:solidFill>
                <a:prstDash val="solid"/>
              </a:ln>
              <a:effectLst/>
            </c:spPr>
            <c:trendlineType val="linear"/>
            <c:dispRSqr val="0"/>
            <c:dispEq val="0"/>
          </c:trendline>
          <c:xVal>
            <c:numRef>
              <c:f>'Ejercicios 4.19-4.52'!$A$72:$A$74</c:f>
              <c:numCache>
                <c:formatCode>General</c:formatCode>
                <c:ptCount val="3"/>
                <c:pt idx="0">
                  <c:v>0</c:v>
                </c:pt>
                <c:pt idx="1">
                  <c:v>2</c:v>
                </c:pt>
                <c:pt idx="2">
                  <c:v>3</c:v>
                </c:pt>
              </c:numCache>
            </c:numRef>
          </c:xVal>
          <c:yVal>
            <c:numRef>
              <c:f>'Ejercicios 4.19-4.52'!$B$72:$B$74</c:f>
              <c:numCache>
                <c:formatCode>General</c:formatCode>
                <c:ptCount val="3"/>
                <c:pt idx="0">
                  <c:v>20</c:v>
                </c:pt>
                <c:pt idx="1">
                  <c:v>19.5</c:v>
                </c:pt>
                <c:pt idx="2">
                  <c:v>19.25</c:v>
                </c:pt>
              </c:numCache>
            </c:numRef>
          </c:yVal>
          <c:smooth val="0"/>
          <c:extLst>
            <c:ext xmlns:c16="http://schemas.microsoft.com/office/drawing/2014/chart" uri="{C3380CC4-5D6E-409C-BE32-E72D297353CC}">
              <c16:uniqueId val="{00000007-E4D4-490F-8D07-D2D5F4F1D6A1}"/>
            </c:ext>
          </c:extLst>
        </c:ser>
        <c:ser>
          <c:idx val="4"/>
          <c:order val="4"/>
          <c:tx>
            <c:strRef>
              <c:f>'Ejercicios 4.19-4.52'!$C$76</c:f>
              <c:strCache>
                <c:ptCount val="1"/>
                <c:pt idx="0">
                  <c:v>e</c:v>
                </c:pt>
              </c:strCache>
            </c:strRef>
          </c:tx>
          <c:spPr>
            <a:ln w="25400" cap="rnd">
              <a:noFill/>
              <a:round/>
            </a:ln>
            <a:effectLst/>
          </c:spPr>
          <c:marker>
            <c:symbol val="circle"/>
            <c:size val="6"/>
            <c:spPr>
              <a:solidFill>
                <a:schemeClr val="lt1"/>
              </a:solidFill>
              <a:ln w="15875">
                <a:solidFill>
                  <a:schemeClr val="accent5"/>
                </a:solidFill>
                <a:round/>
              </a:ln>
              <a:effectLst/>
            </c:spPr>
          </c:marker>
          <c:trendline>
            <c:spPr>
              <a:ln w="19050" cap="rnd">
                <a:solidFill>
                  <a:schemeClr val="accent5"/>
                </a:solidFill>
                <a:prstDash val="dashDot"/>
              </a:ln>
              <a:effectLst/>
            </c:spPr>
            <c:trendlineType val="linear"/>
            <c:dispRSqr val="0"/>
            <c:dispEq val="0"/>
          </c:trendline>
          <c:xVal>
            <c:numRef>
              <c:f>'Ejercicios 4.19-4.52'!$A$76:$A$78</c:f>
              <c:numCache>
                <c:formatCode>General</c:formatCode>
                <c:ptCount val="3"/>
                <c:pt idx="0">
                  <c:v>0</c:v>
                </c:pt>
                <c:pt idx="1">
                  <c:v>2</c:v>
                </c:pt>
                <c:pt idx="2">
                  <c:v>3</c:v>
                </c:pt>
              </c:numCache>
            </c:numRef>
          </c:xVal>
          <c:yVal>
            <c:numRef>
              <c:f>'Ejercicios 4.19-4.52'!$B$76:$B$78</c:f>
              <c:numCache>
                <c:formatCode>General</c:formatCode>
                <c:ptCount val="3"/>
                <c:pt idx="0">
                  <c:v>20</c:v>
                </c:pt>
                <c:pt idx="1">
                  <c:v>12</c:v>
                </c:pt>
                <c:pt idx="2">
                  <c:v>8</c:v>
                </c:pt>
              </c:numCache>
            </c:numRef>
          </c:yVal>
          <c:smooth val="0"/>
          <c:extLst>
            <c:ext xmlns:c16="http://schemas.microsoft.com/office/drawing/2014/chart" uri="{C3380CC4-5D6E-409C-BE32-E72D297353CC}">
              <c16:uniqueId val="{00000009-E4D4-490F-8D07-D2D5F4F1D6A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7"/>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ayout>
        <c:manualLayout>
          <c:xMode val="edge"/>
          <c:yMode val="edge"/>
          <c:x val="1.5761154855643048E-3"/>
          <c:y val="0.92187445319335082"/>
          <c:w val="0.99286832895888011"/>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4.19-4.52'!$C$81</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4.19-4.52'!$A$82:$A$84</c:f>
              <c:numCache>
                <c:formatCode>General</c:formatCode>
                <c:ptCount val="3"/>
                <c:pt idx="0">
                  <c:v>0</c:v>
                </c:pt>
                <c:pt idx="1">
                  <c:v>2</c:v>
                </c:pt>
                <c:pt idx="2">
                  <c:v>9</c:v>
                </c:pt>
              </c:numCache>
            </c:numRef>
          </c:xVal>
          <c:yVal>
            <c:numRef>
              <c:f>'Ejercicios 4.19-4.52'!$B$82:$B$84</c:f>
              <c:numCache>
                <c:formatCode>General</c:formatCode>
                <c:ptCount val="3"/>
                <c:pt idx="0">
                  <c:v>20</c:v>
                </c:pt>
                <c:pt idx="1">
                  <c:v>22</c:v>
                </c:pt>
                <c:pt idx="2">
                  <c:v>29</c:v>
                </c:pt>
              </c:numCache>
            </c:numRef>
          </c:yVal>
          <c:smooth val="0"/>
          <c:extLst>
            <c:ext xmlns:c16="http://schemas.microsoft.com/office/drawing/2014/chart" uri="{C3380CC4-5D6E-409C-BE32-E72D297353CC}">
              <c16:uniqueId val="{00000001-AD3A-40D8-B9EA-75AF13E5E810}"/>
            </c:ext>
          </c:extLst>
        </c:ser>
        <c:ser>
          <c:idx val="1"/>
          <c:order val="1"/>
          <c:tx>
            <c:strRef>
              <c:f>'Ejercicios 4.19-4.52'!$C$86</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4.19-4.52'!$A$86:$A$88</c:f>
              <c:numCache>
                <c:formatCode>General</c:formatCode>
                <c:ptCount val="3"/>
                <c:pt idx="0">
                  <c:v>0</c:v>
                </c:pt>
                <c:pt idx="1">
                  <c:v>2</c:v>
                </c:pt>
                <c:pt idx="2">
                  <c:v>9</c:v>
                </c:pt>
              </c:numCache>
            </c:numRef>
          </c:xVal>
          <c:yVal>
            <c:numRef>
              <c:f>'Ejercicios 4.19-4.52'!$B$86:$B$88</c:f>
              <c:numCache>
                <c:formatCode>General</c:formatCode>
                <c:ptCount val="3"/>
                <c:pt idx="0">
                  <c:v>20</c:v>
                </c:pt>
                <c:pt idx="1">
                  <c:v>21</c:v>
                </c:pt>
                <c:pt idx="2">
                  <c:v>24.5</c:v>
                </c:pt>
              </c:numCache>
            </c:numRef>
          </c:yVal>
          <c:smooth val="0"/>
          <c:extLst>
            <c:ext xmlns:c16="http://schemas.microsoft.com/office/drawing/2014/chart" uri="{C3380CC4-5D6E-409C-BE32-E72D297353CC}">
              <c16:uniqueId val="{00000003-AD3A-40D8-B9EA-75AF13E5E810}"/>
            </c:ext>
          </c:extLst>
        </c:ser>
        <c:ser>
          <c:idx val="2"/>
          <c:order val="2"/>
          <c:tx>
            <c:strRef>
              <c:f>'Ejercicios 4.19-4.52'!$C$90</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prstDash val="lgDashDotDot"/>
              </a:ln>
              <a:effectLst/>
            </c:spPr>
            <c:trendlineType val="linear"/>
            <c:dispRSqr val="0"/>
            <c:dispEq val="0"/>
          </c:trendline>
          <c:xVal>
            <c:numRef>
              <c:f>'Ejercicios 4.19-4.52'!$A$90:$A$92</c:f>
              <c:numCache>
                <c:formatCode>General</c:formatCode>
                <c:ptCount val="3"/>
                <c:pt idx="0">
                  <c:v>0</c:v>
                </c:pt>
                <c:pt idx="1">
                  <c:v>2</c:v>
                </c:pt>
                <c:pt idx="2">
                  <c:v>9</c:v>
                </c:pt>
              </c:numCache>
            </c:numRef>
          </c:xVal>
          <c:yVal>
            <c:numRef>
              <c:f>'Ejercicios 4.19-4.52'!$B$90:$B$92</c:f>
              <c:numCache>
                <c:formatCode>General</c:formatCode>
                <c:ptCount val="3"/>
                <c:pt idx="0">
                  <c:v>20</c:v>
                </c:pt>
                <c:pt idx="1">
                  <c:v>24</c:v>
                </c:pt>
                <c:pt idx="2">
                  <c:v>38</c:v>
                </c:pt>
              </c:numCache>
            </c:numRef>
          </c:yVal>
          <c:smooth val="0"/>
          <c:extLst>
            <c:ext xmlns:c16="http://schemas.microsoft.com/office/drawing/2014/chart" uri="{C3380CC4-5D6E-409C-BE32-E72D297353CC}">
              <c16:uniqueId val="{00000005-AD3A-40D8-B9EA-75AF13E5E810}"/>
            </c:ext>
          </c:extLst>
        </c:ser>
        <c:ser>
          <c:idx val="3"/>
          <c:order val="3"/>
          <c:tx>
            <c:strRef>
              <c:f>'Ejercicios 4.19-4.52'!$C$94</c:f>
              <c:strCache>
                <c:ptCount val="1"/>
                <c:pt idx="0">
                  <c:v>d</c:v>
                </c:pt>
              </c:strCache>
            </c:strRef>
          </c:tx>
          <c:spPr>
            <a:ln w="25400" cap="rnd">
              <a:noFill/>
              <a:round/>
            </a:ln>
            <a:effectLst/>
          </c:spPr>
          <c:marker>
            <c:symbol val="circle"/>
            <c:size val="6"/>
            <c:spPr>
              <a:solidFill>
                <a:schemeClr val="lt1"/>
              </a:solidFill>
              <a:ln w="15875">
                <a:solidFill>
                  <a:schemeClr val="accent4"/>
                </a:solidFill>
                <a:round/>
              </a:ln>
              <a:effectLst/>
            </c:spPr>
          </c:marker>
          <c:trendline>
            <c:spPr>
              <a:ln w="19050" cap="rnd">
                <a:solidFill>
                  <a:schemeClr val="accent4"/>
                </a:solidFill>
                <a:prstDash val="solid"/>
              </a:ln>
              <a:effectLst/>
            </c:spPr>
            <c:trendlineType val="linear"/>
            <c:dispRSqr val="0"/>
            <c:dispEq val="0"/>
          </c:trendline>
          <c:xVal>
            <c:numRef>
              <c:f>'Ejercicios 4.19-4.52'!$A$94:$A$96</c:f>
              <c:numCache>
                <c:formatCode>General</c:formatCode>
                <c:ptCount val="3"/>
                <c:pt idx="0">
                  <c:v>0</c:v>
                </c:pt>
                <c:pt idx="1">
                  <c:v>2</c:v>
                </c:pt>
                <c:pt idx="2">
                  <c:v>9</c:v>
                </c:pt>
              </c:numCache>
            </c:numRef>
          </c:xVal>
          <c:yVal>
            <c:numRef>
              <c:f>'Ejercicios 4.19-4.52'!$B$94:$B$97</c:f>
              <c:numCache>
                <c:formatCode>General</c:formatCode>
                <c:ptCount val="4"/>
                <c:pt idx="0">
                  <c:v>20</c:v>
                </c:pt>
                <c:pt idx="1">
                  <c:v>20.5</c:v>
                </c:pt>
                <c:pt idx="2">
                  <c:v>22.25</c:v>
                </c:pt>
              </c:numCache>
            </c:numRef>
          </c:yVal>
          <c:smooth val="0"/>
          <c:extLst>
            <c:ext xmlns:c16="http://schemas.microsoft.com/office/drawing/2014/chart" uri="{C3380CC4-5D6E-409C-BE32-E72D297353CC}">
              <c16:uniqueId val="{00000007-AD3A-40D8-B9EA-75AF13E5E810}"/>
            </c:ext>
          </c:extLst>
        </c:ser>
        <c:ser>
          <c:idx val="4"/>
          <c:order val="4"/>
          <c:tx>
            <c:strRef>
              <c:f>'Ejercicios 4.19-4.52'!$C$98</c:f>
              <c:strCache>
                <c:ptCount val="1"/>
                <c:pt idx="0">
                  <c:v>e</c:v>
                </c:pt>
              </c:strCache>
            </c:strRef>
          </c:tx>
          <c:spPr>
            <a:ln w="25400" cap="rnd">
              <a:noFill/>
              <a:round/>
            </a:ln>
            <a:effectLst/>
          </c:spPr>
          <c:marker>
            <c:symbol val="circle"/>
            <c:size val="6"/>
            <c:spPr>
              <a:solidFill>
                <a:schemeClr val="lt1"/>
              </a:solidFill>
              <a:ln w="15875">
                <a:solidFill>
                  <a:schemeClr val="accent5"/>
                </a:solidFill>
                <a:round/>
              </a:ln>
              <a:effectLst/>
            </c:spPr>
          </c:marker>
          <c:trendline>
            <c:spPr>
              <a:ln w="19050" cap="rnd">
                <a:solidFill>
                  <a:schemeClr val="accent5"/>
                </a:solidFill>
                <a:prstDash val="dashDot"/>
              </a:ln>
              <a:effectLst/>
            </c:spPr>
            <c:trendlineType val="linear"/>
            <c:dispRSqr val="0"/>
            <c:dispEq val="0"/>
          </c:trendline>
          <c:xVal>
            <c:numRef>
              <c:f>'Ejercicios 4.19-4.52'!$A$98:$A$100</c:f>
              <c:numCache>
                <c:formatCode>General</c:formatCode>
                <c:ptCount val="3"/>
                <c:pt idx="0">
                  <c:v>0</c:v>
                </c:pt>
                <c:pt idx="1">
                  <c:v>2</c:v>
                </c:pt>
                <c:pt idx="2">
                  <c:v>9</c:v>
                </c:pt>
              </c:numCache>
            </c:numRef>
          </c:xVal>
          <c:yVal>
            <c:numRef>
              <c:f>'Ejercicios 4.19-4.52'!$B$98:$B$100</c:f>
              <c:numCache>
                <c:formatCode>General</c:formatCode>
                <c:ptCount val="3"/>
                <c:pt idx="0">
                  <c:v>20</c:v>
                </c:pt>
                <c:pt idx="1">
                  <c:v>28</c:v>
                </c:pt>
                <c:pt idx="2">
                  <c:v>56</c:v>
                </c:pt>
              </c:numCache>
            </c:numRef>
          </c:yVal>
          <c:smooth val="0"/>
          <c:extLst>
            <c:ext xmlns:c16="http://schemas.microsoft.com/office/drawing/2014/chart" uri="{C3380CC4-5D6E-409C-BE32-E72D297353CC}">
              <c16:uniqueId val="{00000009-AD3A-40D8-B9EA-75AF13E5E81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min val="7"/>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ayout>
        <c:manualLayout>
          <c:xMode val="edge"/>
          <c:yMode val="edge"/>
          <c:x val="1.5761154855643048E-3"/>
          <c:y val="0.92187445319335082"/>
          <c:w val="0.99286832895888011"/>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4.19-4.52'!$C$103</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4.19-4.52'!$A$104:$A$106</c:f>
              <c:numCache>
                <c:formatCode>General</c:formatCode>
                <c:ptCount val="3"/>
                <c:pt idx="0">
                  <c:v>0</c:v>
                </c:pt>
                <c:pt idx="1">
                  <c:v>3</c:v>
                </c:pt>
                <c:pt idx="2">
                  <c:v>5</c:v>
                </c:pt>
              </c:numCache>
            </c:numRef>
          </c:xVal>
          <c:yVal>
            <c:numRef>
              <c:f>'Ejercicios 4.19-4.52'!$B$104:$B$106</c:f>
              <c:numCache>
                <c:formatCode>General</c:formatCode>
                <c:ptCount val="3"/>
                <c:pt idx="0">
                  <c:v>5</c:v>
                </c:pt>
                <c:pt idx="1">
                  <c:v>2</c:v>
                </c:pt>
                <c:pt idx="2">
                  <c:v>0</c:v>
                </c:pt>
              </c:numCache>
            </c:numRef>
          </c:yVal>
          <c:smooth val="0"/>
          <c:extLst>
            <c:ext xmlns:c16="http://schemas.microsoft.com/office/drawing/2014/chart" uri="{C3380CC4-5D6E-409C-BE32-E72D297353CC}">
              <c16:uniqueId val="{00000001-1C0A-4155-8BF3-171CBAEC4B74}"/>
            </c:ext>
          </c:extLst>
        </c:ser>
        <c:ser>
          <c:idx val="1"/>
          <c:order val="1"/>
          <c:tx>
            <c:strRef>
              <c:f>'Ejercicios 4.19-4.52'!$C$108</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4.19-4.52'!$A$108:$A$110</c:f>
              <c:numCache>
                <c:formatCode>General</c:formatCode>
                <c:ptCount val="3"/>
                <c:pt idx="0">
                  <c:v>0</c:v>
                </c:pt>
                <c:pt idx="1">
                  <c:v>3</c:v>
                </c:pt>
                <c:pt idx="2">
                  <c:v>5</c:v>
                </c:pt>
              </c:numCache>
            </c:numRef>
          </c:xVal>
          <c:yVal>
            <c:numRef>
              <c:f>'Ejercicios 4.19-4.52'!$B$108:$B$110</c:f>
              <c:numCache>
                <c:formatCode>General</c:formatCode>
                <c:ptCount val="3"/>
                <c:pt idx="0">
                  <c:v>10</c:v>
                </c:pt>
                <c:pt idx="1">
                  <c:v>7</c:v>
                </c:pt>
                <c:pt idx="2">
                  <c:v>5</c:v>
                </c:pt>
              </c:numCache>
            </c:numRef>
          </c:yVal>
          <c:smooth val="0"/>
          <c:extLst>
            <c:ext xmlns:c16="http://schemas.microsoft.com/office/drawing/2014/chart" uri="{C3380CC4-5D6E-409C-BE32-E72D297353CC}">
              <c16:uniqueId val="{00000003-1C0A-4155-8BF3-171CBAEC4B74}"/>
            </c:ext>
          </c:extLst>
        </c:ser>
        <c:ser>
          <c:idx val="2"/>
          <c:order val="2"/>
          <c:tx>
            <c:strRef>
              <c:f>'Ejercicios 4.19-4.52'!$C$112</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ln>
              <a:effectLst/>
            </c:spPr>
            <c:trendlineType val="linear"/>
            <c:dispRSqr val="0"/>
            <c:dispEq val="0"/>
          </c:trendline>
          <c:xVal>
            <c:numRef>
              <c:f>'Ejercicios 4.19-4.52'!$A$112:$A$114</c:f>
              <c:numCache>
                <c:formatCode>General</c:formatCode>
                <c:ptCount val="3"/>
                <c:pt idx="0">
                  <c:v>0</c:v>
                </c:pt>
                <c:pt idx="1">
                  <c:v>3</c:v>
                </c:pt>
                <c:pt idx="2">
                  <c:v>5</c:v>
                </c:pt>
              </c:numCache>
            </c:numRef>
          </c:xVal>
          <c:yVal>
            <c:numRef>
              <c:f>'Ejercicios 4.19-4.52'!$B$112:$B$114</c:f>
              <c:numCache>
                <c:formatCode>General</c:formatCode>
                <c:ptCount val="3"/>
                <c:pt idx="0">
                  <c:v>15</c:v>
                </c:pt>
                <c:pt idx="1">
                  <c:v>12</c:v>
                </c:pt>
                <c:pt idx="2">
                  <c:v>10</c:v>
                </c:pt>
              </c:numCache>
            </c:numRef>
          </c:yVal>
          <c:smooth val="0"/>
          <c:extLst>
            <c:ext xmlns:c16="http://schemas.microsoft.com/office/drawing/2014/chart" uri="{C3380CC4-5D6E-409C-BE32-E72D297353CC}">
              <c16:uniqueId val="{00000005-1C0A-4155-8BF3-171CBAEC4B7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ayout>
        <c:manualLayout>
          <c:xMode val="edge"/>
          <c:yMode val="edge"/>
          <c:x val="0.20713167104111985"/>
          <c:y val="0.92187445319335082"/>
          <c:w val="0.6471183289588801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4.19-4.52'!$C$119</c:f>
              <c:strCache>
                <c:ptCount val="1"/>
                <c:pt idx="0">
                  <c:v>a</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sysDot"/>
              </a:ln>
              <a:effectLst/>
            </c:spPr>
            <c:trendlineType val="linear"/>
            <c:dispRSqr val="0"/>
            <c:dispEq val="0"/>
          </c:trendline>
          <c:xVal>
            <c:numRef>
              <c:f>'Ejercicios 4.19-4.52'!$A$120:$A$122</c:f>
              <c:numCache>
                <c:formatCode>General</c:formatCode>
                <c:ptCount val="3"/>
                <c:pt idx="0">
                  <c:v>0</c:v>
                </c:pt>
                <c:pt idx="1">
                  <c:v>3</c:v>
                </c:pt>
                <c:pt idx="2">
                  <c:v>5</c:v>
                </c:pt>
              </c:numCache>
            </c:numRef>
          </c:xVal>
          <c:yVal>
            <c:numRef>
              <c:f>'Ejercicios 4.19-4.52'!$B$120:$B$122</c:f>
              <c:numCache>
                <c:formatCode>General</c:formatCode>
                <c:ptCount val="3"/>
                <c:pt idx="0">
                  <c:v>20</c:v>
                </c:pt>
                <c:pt idx="1">
                  <c:v>23</c:v>
                </c:pt>
                <c:pt idx="2">
                  <c:v>25</c:v>
                </c:pt>
              </c:numCache>
            </c:numRef>
          </c:yVal>
          <c:smooth val="0"/>
          <c:extLst>
            <c:ext xmlns:c16="http://schemas.microsoft.com/office/drawing/2014/chart" uri="{C3380CC4-5D6E-409C-BE32-E72D297353CC}">
              <c16:uniqueId val="{00000001-2D04-4582-B2DE-5A4B6E99D396}"/>
            </c:ext>
          </c:extLst>
        </c:ser>
        <c:ser>
          <c:idx val="1"/>
          <c:order val="1"/>
          <c:tx>
            <c:strRef>
              <c:f>'Ejercicios 4.19-4.52'!$C$124</c:f>
              <c:strCache>
                <c:ptCount val="1"/>
                <c:pt idx="0">
                  <c:v>b</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prstDash val="dash"/>
              </a:ln>
              <a:effectLst/>
            </c:spPr>
            <c:trendlineType val="linear"/>
            <c:dispRSqr val="0"/>
            <c:dispEq val="0"/>
          </c:trendline>
          <c:xVal>
            <c:numRef>
              <c:f>'Ejercicios 4.19-4.52'!$A$124:$A$126</c:f>
              <c:numCache>
                <c:formatCode>General</c:formatCode>
                <c:ptCount val="3"/>
                <c:pt idx="0">
                  <c:v>0</c:v>
                </c:pt>
                <c:pt idx="1">
                  <c:v>3</c:v>
                </c:pt>
                <c:pt idx="2">
                  <c:v>5</c:v>
                </c:pt>
              </c:numCache>
            </c:numRef>
          </c:xVal>
          <c:yVal>
            <c:numRef>
              <c:f>'Ejercicios 4.19-4.52'!$B$124:$B$126</c:f>
              <c:numCache>
                <c:formatCode>General</c:formatCode>
                <c:ptCount val="3"/>
                <c:pt idx="0">
                  <c:v>25</c:v>
                </c:pt>
                <c:pt idx="1">
                  <c:v>28</c:v>
                </c:pt>
                <c:pt idx="2">
                  <c:v>30</c:v>
                </c:pt>
              </c:numCache>
            </c:numRef>
          </c:yVal>
          <c:smooth val="0"/>
          <c:extLst>
            <c:ext xmlns:c16="http://schemas.microsoft.com/office/drawing/2014/chart" uri="{C3380CC4-5D6E-409C-BE32-E72D297353CC}">
              <c16:uniqueId val="{00000003-2D04-4582-B2DE-5A4B6E99D396}"/>
            </c:ext>
          </c:extLst>
        </c:ser>
        <c:ser>
          <c:idx val="2"/>
          <c:order val="2"/>
          <c:tx>
            <c:strRef>
              <c:f>'Ejercicios 4.19-4.52'!$C$128</c:f>
              <c:strCache>
                <c:ptCount val="1"/>
                <c:pt idx="0">
                  <c:v>c</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ln>
              <a:effectLst/>
            </c:spPr>
            <c:trendlineType val="linear"/>
            <c:dispRSqr val="0"/>
            <c:dispEq val="0"/>
          </c:trendline>
          <c:xVal>
            <c:numRef>
              <c:f>'Ejercicios 4.19-4.52'!$A$128:$A$130</c:f>
              <c:numCache>
                <c:formatCode>General</c:formatCode>
                <c:ptCount val="3"/>
                <c:pt idx="0">
                  <c:v>0</c:v>
                </c:pt>
                <c:pt idx="1">
                  <c:v>3</c:v>
                </c:pt>
                <c:pt idx="2">
                  <c:v>5</c:v>
                </c:pt>
              </c:numCache>
            </c:numRef>
          </c:xVal>
          <c:yVal>
            <c:numRef>
              <c:f>'Ejercicios 4.19-4.52'!$B$128:$B$130</c:f>
              <c:numCache>
                <c:formatCode>General</c:formatCode>
                <c:ptCount val="3"/>
                <c:pt idx="0">
                  <c:v>30</c:v>
                </c:pt>
                <c:pt idx="1">
                  <c:v>33</c:v>
                </c:pt>
                <c:pt idx="2">
                  <c:v>35</c:v>
                </c:pt>
              </c:numCache>
            </c:numRef>
          </c:yVal>
          <c:smooth val="0"/>
          <c:extLst>
            <c:ext xmlns:c16="http://schemas.microsoft.com/office/drawing/2014/chart" uri="{C3380CC4-5D6E-409C-BE32-E72D297353CC}">
              <c16:uniqueId val="{00000005-2D04-4582-B2DE-5A4B6E99D39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layout>
        <c:manualLayout>
          <c:xMode val="edge"/>
          <c:yMode val="edge"/>
          <c:x val="0.20713167104111985"/>
          <c:y val="0.92187445319335082"/>
          <c:w val="0.6471183289588801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4.19-4.52'!$C$135</c:f>
              <c:strCache>
                <c:ptCount val="1"/>
                <c:pt idx="0">
                  <c:v>a</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4.19-4.52'!$A$136:$A$138</c:f>
              <c:numCache>
                <c:formatCode>General</c:formatCode>
                <c:ptCount val="3"/>
                <c:pt idx="0">
                  <c:v>1</c:v>
                </c:pt>
                <c:pt idx="1">
                  <c:v>3</c:v>
                </c:pt>
                <c:pt idx="2">
                  <c:v>9</c:v>
                </c:pt>
              </c:numCache>
            </c:numRef>
          </c:xVal>
          <c:yVal>
            <c:numRef>
              <c:f>'Ejercicios 4.19-4.52'!$B$136:$B$138</c:f>
              <c:numCache>
                <c:formatCode>General</c:formatCode>
                <c:ptCount val="3"/>
                <c:pt idx="0">
                  <c:v>1</c:v>
                </c:pt>
                <c:pt idx="1">
                  <c:v>0.33333333333333331</c:v>
                </c:pt>
                <c:pt idx="2">
                  <c:v>0.1111111111111111</c:v>
                </c:pt>
              </c:numCache>
            </c:numRef>
          </c:yVal>
          <c:smooth val="0"/>
          <c:extLst>
            <c:ext xmlns:c16="http://schemas.microsoft.com/office/drawing/2014/chart" uri="{C3380CC4-5D6E-409C-BE32-E72D297353CC}">
              <c16:uniqueId val="{00000001-AA84-47CC-9CF3-AEF6EA0474DA}"/>
            </c:ext>
          </c:extLst>
        </c:ser>
        <c:ser>
          <c:idx val="1"/>
          <c:order val="1"/>
          <c:tx>
            <c:strRef>
              <c:f>'Ejercicios 4.19-4.52'!$C$140</c:f>
              <c:strCache>
                <c:ptCount val="1"/>
                <c:pt idx="0">
                  <c:v>b</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4.19-4.52'!$A$140:$A$142</c:f>
              <c:numCache>
                <c:formatCode>General</c:formatCode>
                <c:ptCount val="3"/>
                <c:pt idx="0">
                  <c:v>1</c:v>
                </c:pt>
                <c:pt idx="1">
                  <c:v>3</c:v>
                </c:pt>
                <c:pt idx="2">
                  <c:v>9</c:v>
                </c:pt>
              </c:numCache>
            </c:numRef>
          </c:xVal>
          <c:yVal>
            <c:numRef>
              <c:f>'Ejercicios 4.19-4.52'!$B$140:$B$142</c:f>
              <c:numCache>
                <c:formatCode>General</c:formatCode>
                <c:ptCount val="3"/>
                <c:pt idx="0">
                  <c:v>3</c:v>
                </c:pt>
                <c:pt idx="1">
                  <c:v>1</c:v>
                </c:pt>
                <c:pt idx="2">
                  <c:v>0.33333333333333331</c:v>
                </c:pt>
              </c:numCache>
            </c:numRef>
          </c:yVal>
          <c:smooth val="0"/>
          <c:extLst>
            <c:ext xmlns:c16="http://schemas.microsoft.com/office/drawing/2014/chart" uri="{C3380CC4-5D6E-409C-BE32-E72D297353CC}">
              <c16:uniqueId val="{00000003-AA84-47CC-9CF3-AEF6EA0474DA}"/>
            </c:ext>
          </c:extLst>
        </c:ser>
        <c:ser>
          <c:idx val="2"/>
          <c:order val="2"/>
          <c:tx>
            <c:strRef>
              <c:f>'Ejercicios 4.19-4.52'!$C$144</c:f>
              <c:strCache>
                <c:ptCount val="1"/>
                <c:pt idx="0">
                  <c:v>c</c:v>
                </c:pt>
              </c:strCache>
            </c:strRef>
          </c:tx>
          <c:spPr>
            <a:ln w="22225" cap="rnd">
              <a:solidFill>
                <a:schemeClr val="accent3"/>
              </a:solidFill>
              <a:prstDash val="sysDot"/>
              <a:round/>
            </a:ln>
            <a:effectLst/>
          </c:spPr>
          <c:marker>
            <c:symbol val="circle"/>
            <c:size val="6"/>
            <c:spPr>
              <a:solidFill>
                <a:schemeClr val="lt1"/>
              </a:solidFill>
              <a:ln w="15875">
                <a:solidFill>
                  <a:schemeClr val="accent3"/>
                </a:solidFill>
                <a:round/>
              </a:ln>
              <a:effectLst/>
            </c:spPr>
          </c:marker>
          <c:xVal>
            <c:numRef>
              <c:f>'Ejercicios 4.19-4.52'!$A$144:$A$146</c:f>
              <c:numCache>
                <c:formatCode>General</c:formatCode>
                <c:ptCount val="3"/>
                <c:pt idx="0">
                  <c:v>1</c:v>
                </c:pt>
                <c:pt idx="1">
                  <c:v>3</c:v>
                </c:pt>
                <c:pt idx="2">
                  <c:v>9</c:v>
                </c:pt>
              </c:numCache>
            </c:numRef>
          </c:xVal>
          <c:yVal>
            <c:numRef>
              <c:f>'Ejercicios 4.19-4.52'!$B$144:$B$146</c:f>
              <c:numCache>
                <c:formatCode>General</c:formatCode>
                <c:ptCount val="3"/>
                <c:pt idx="0">
                  <c:v>6</c:v>
                </c:pt>
                <c:pt idx="1">
                  <c:v>2</c:v>
                </c:pt>
                <c:pt idx="2">
                  <c:v>0.66666666666666663</c:v>
                </c:pt>
              </c:numCache>
            </c:numRef>
          </c:yVal>
          <c:smooth val="0"/>
          <c:extLst>
            <c:ext xmlns:c16="http://schemas.microsoft.com/office/drawing/2014/chart" uri="{C3380CC4-5D6E-409C-BE32-E72D297353CC}">
              <c16:uniqueId val="{00000005-AA84-47CC-9CF3-AEF6EA0474D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4.19-4.52'!$C$150</c:f>
              <c:strCache>
                <c:ptCount val="1"/>
                <c:pt idx="0">
                  <c:v>a</c:v>
                </c:pt>
              </c:strCache>
            </c:strRef>
          </c:tx>
          <c:spPr>
            <a:ln w="22225" cap="rnd">
              <a:solidFill>
                <a:schemeClr val="accent1"/>
              </a:solidFill>
              <a:prstDash val="sysDash"/>
              <a:round/>
            </a:ln>
            <a:effectLst/>
          </c:spPr>
          <c:marker>
            <c:symbol val="circle"/>
            <c:size val="6"/>
            <c:spPr>
              <a:solidFill>
                <a:schemeClr val="lt1"/>
              </a:solidFill>
              <a:ln w="15875">
                <a:solidFill>
                  <a:schemeClr val="accent1"/>
                </a:solidFill>
                <a:round/>
              </a:ln>
              <a:effectLst/>
            </c:spPr>
          </c:marker>
          <c:xVal>
            <c:numRef>
              <c:f>'Ejercicios 4.19-4.52'!$A$151:$A$153</c:f>
              <c:numCache>
                <c:formatCode>General</c:formatCode>
                <c:ptCount val="3"/>
                <c:pt idx="0">
                  <c:v>1</c:v>
                </c:pt>
                <c:pt idx="1">
                  <c:v>3</c:v>
                </c:pt>
                <c:pt idx="2">
                  <c:v>6</c:v>
                </c:pt>
              </c:numCache>
            </c:numRef>
          </c:xVal>
          <c:yVal>
            <c:numRef>
              <c:f>'Ejercicios 4.19-4.52'!$B$151:$B$153</c:f>
              <c:numCache>
                <c:formatCode>General</c:formatCode>
                <c:ptCount val="3"/>
                <c:pt idx="0">
                  <c:v>1</c:v>
                </c:pt>
                <c:pt idx="1">
                  <c:v>0.33333333333333331</c:v>
                </c:pt>
                <c:pt idx="2">
                  <c:v>0.16666666666666666</c:v>
                </c:pt>
              </c:numCache>
            </c:numRef>
          </c:yVal>
          <c:smooth val="0"/>
          <c:extLst>
            <c:ext xmlns:c16="http://schemas.microsoft.com/office/drawing/2014/chart" uri="{C3380CC4-5D6E-409C-BE32-E72D297353CC}">
              <c16:uniqueId val="{00000001-6A22-4F88-8097-0430B9C59873}"/>
            </c:ext>
          </c:extLst>
        </c:ser>
        <c:ser>
          <c:idx val="1"/>
          <c:order val="1"/>
          <c:tx>
            <c:strRef>
              <c:f>'Ejercicios 4.19-4.52'!$C$155</c:f>
              <c:strCache>
                <c:ptCount val="1"/>
                <c:pt idx="0">
                  <c:v>b</c:v>
                </c:pt>
              </c:strCache>
            </c:strRef>
          </c:tx>
          <c:spPr>
            <a:ln w="22225" cap="rnd">
              <a:solidFill>
                <a:schemeClr val="accent2"/>
              </a:solidFill>
              <a:prstDash val="dash"/>
              <a:round/>
            </a:ln>
            <a:effectLst/>
          </c:spPr>
          <c:marker>
            <c:symbol val="circle"/>
            <c:size val="6"/>
            <c:spPr>
              <a:solidFill>
                <a:schemeClr val="lt1"/>
              </a:solidFill>
              <a:ln w="15875">
                <a:solidFill>
                  <a:schemeClr val="accent2"/>
                </a:solidFill>
                <a:round/>
              </a:ln>
              <a:effectLst/>
            </c:spPr>
          </c:marker>
          <c:xVal>
            <c:numRef>
              <c:f>'Ejercicios 4.19-4.52'!$A$155:$A$157</c:f>
              <c:numCache>
                <c:formatCode>General</c:formatCode>
                <c:ptCount val="3"/>
                <c:pt idx="0">
                  <c:v>1</c:v>
                </c:pt>
                <c:pt idx="1">
                  <c:v>3</c:v>
                </c:pt>
                <c:pt idx="2">
                  <c:v>6</c:v>
                </c:pt>
              </c:numCache>
            </c:numRef>
          </c:xVal>
          <c:yVal>
            <c:numRef>
              <c:f>'Ejercicios 4.19-4.52'!$B$155:$B$157</c:f>
              <c:numCache>
                <c:formatCode>General</c:formatCode>
                <c:ptCount val="3"/>
                <c:pt idx="0">
                  <c:v>1</c:v>
                </c:pt>
                <c:pt idx="1">
                  <c:v>0.1111111111111111</c:v>
                </c:pt>
                <c:pt idx="2">
                  <c:v>2.7777777777777776E-2</c:v>
                </c:pt>
              </c:numCache>
            </c:numRef>
          </c:yVal>
          <c:smooth val="0"/>
          <c:extLst>
            <c:ext xmlns:c16="http://schemas.microsoft.com/office/drawing/2014/chart" uri="{C3380CC4-5D6E-409C-BE32-E72D297353CC}">
              <c16:uniqueId val="{00000003-6A22-4F88-8097-0430B9C59873}"/>
            </c:ext>
          </c:extLst>
        </c:ser>
        <c:ser>
          <c:idx val="2"/>
          <c:order val="2"/>
          <c:tx>
            <c:strRef>
              <c:f>'Ejercicios 4.19-4.52'!$C$159</c:f>
              <c:strCache>
                <c:ptCount val="1"/>
                <c:pt idx="0">
                  <c:v>c</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4.19-4.52'!$A$159:$A$161</c:f>
              <c:numCache>
                <c:formatCode>General</c:formatCode>
                <c:ptCount val="3"/>
                <c:pt idx="0">
                  <c:v>1</c:v>
                </c:pt>
                <c:pt idx="1">
                  <c:v>3</c:v>
                </c:pt>
                <c:pt idx="2">
                  <c:v>6</c:v>
                </c:pt>
              </c:numCache>
            </c:numRef>
          </c:xVal>
          <c:yVal>
            <c:numRef>
              <c:f>'Ejercicios 4.19-4.52'!$B$159:$B$161</c:f>
              <c:numCache>
                <c:formatCode>General</c:formatCode>
                <c:ptCount val="3"/>
                <c:pt idx="0">
                  <c:v>1</c:v>
                </c:pt>
                <c:pt idx="1">
                  <c:v>3.7037037037037035E-2</c:v>
                </c:pt>
                <c:pt idx="2">
                  <c:v>4.6296296296296294E-3</c:v>
                </c:pt>
              </c:numCache>
            </c:numRef>
          </c:yVal>
          <c:smooth val="0"/>
          <c:extLst>
            <c:ext xmlns:c16="http://schemas.microsoft.com/office/drawing/2014/chart" uri="{C3380CC4-5D6E-409C-BE32-E72D297353CC}">
              <c16:uniqueId val="{00000005-6A22-4F88-8097-0430B9C5987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4.19-4.52'!$C$165</c:f>
              <c:strCache>
                <c:ptCount val="1"/>
                <c:pt idx="0">
                  <c:v>a</c:v>
                </c:pt>
              </c:strCache>
            </c:strRef>
          </c:tx>
          <c:spPr>
            <a:ln w="22225" cap="rnd">
              <a:solidFill>
                <a:schemeClr val="accent1"/>
              </a:solidFill>
              <a:prstDash val="dash"/>
              <a:round/>
            </a:ln>
            <a:effectLst/>
          </c:spPr>
          <c:marker>
            <c:symbol val="circle"/>
            <c:size val="6"/>
            <c:spPr>
              <a:solidFill>
                <a:schemeClr val="lt1"/>
              </a:solidFill>
              <a:ln w="15875">
                <a:solidFill>
                  <a:schemeClr val="accent1"/>
                </a:solidFill>
                <a:round/>
              </a:ln>
              <a:effectLst/>
            </c:spPr>
          </c:marker>
          <c:xVal>
            <c:numRef>
              <c:f>'Ejercicios 4.19-4.52'!$A$166:$A$168</c:f>
              <c:numCache>
                <c:formatCode>General</c:formatCode>
                <c:ptCount val="3"/>
                <c:pt idx="0">
                  <c:v>2</c:v>
                </c:pt>
                <c:pt idx="1">
                  <c:v>3</c:v>
                </c:pt>
                <c:pt idx="2">
                  <c:v>4</c:v>
                </c:pt>
              </c:numCache>
            </c:numRef>
          </c:xVal>
          <c:yVal>
            <c:numRef>
              <c:f>'Ejercicios 4.19-4.52'!$B$166:$B$168</c:f>
              <c:numCache>
                <c:formatCode>General</c:formatCode>
                <c:ptCount val="3"/>
                <c:pt idx="0">
                  <c:v>-1</c:v>
                </c:pt>
                <c:pt idx="1">
                  <c:v>-0.5</c:v>
                </c:pt>
                <c:pt idx="2">
                  <c:v>-0.33333333333333331</c:v>
                </c:pt>
              </c:numCache>
            </c:numRef>
          </c:yVal>
          <c:smooth val="0"/>
          <c:extLst>
            <c:ext xmlns:c16="http://schemas.microsoft.com/office/drawing/2014/chart" uri="{C3380CC4-5D6E-409C-BE32-E72D297353CC}">
              <c16:uniqueId val="{00000000-65B4-4001-8D02-1AC47DBB3AD9}"/>
            </c:ext>
          </c:extLst>
        </c:ser>
        <c:ser>
          <c:idx val="1"/>
          <c:order val="1"/>
          <c:tx>
            <c:strRef>
              <c:f>'Ejercicios 4.19-4.52'!$C$170</c:f>
              <c:strCache>
                <c:ptCount val="1"/>
                <c:pt idx="0">
                  <c:v>b</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4.19-4.52'!$A$170:$A$172</c:f>
              <c:numCache>
                <c:formatCode>General</c:formatCode>
                <c:ptCount val="3"/>
                <c:pt idx="0">
                  <c:v>2</c:v>
                </c:pt>
                <c:pt idx="1">
                  <c:v>3</c:v>
                </c:pt>
                <c:pt idx="2">
                  <c:v>4</c:v>
                </c:pt>
              </c:numCache>
            </c:numRef>
          </c:xVal>
          <c:yVal>
            <c:numRef>
              <c:f>'Ejercicios 4.19-4.52'!$B$170:$B$172</c:f>
              <c:numCache>
                <c:formatCode>General</c:formatCode>
                <c:ptCount val="3"/>
                <c:pt idx="0">
                  <c:v>-0.33333333333333331</c:v>
                </c:pt>
                <c:pt idx="1">
                  <c:v>-0.125</c:v>
                </c:pt>
                <c:pt idx="2">
                  <c:v>-6.6666666666666666E-2</c:v>
                </c:pt>
              </c:numCache>
            </c:numRef>
          </c:yVal>
          <c:smooth val="0"/>
          <c:extLst>
            <c:ext xmlns:c16="http://schemas.microsoft.com/office/drawing/2014/chart" uri="{C3380CC4-5D6E-409C-BE32-E72D297353CC}">
              <c16:uniqueId val="{00000001-65B4-4001-8D02-1AC47DBB3AD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4.19-4.52'!$C$181</c:f>
              <c:strCache>
                <c:ptCount val="1"/>
                <c:pt idx="0">
                  <c:v>a</c:v>
                </c:pt>
              </c:strCache>
            </c:strRef>
          </c:tx>
          <c:spPr>
            <a:ln w="22225" cap="rnd">
              <a:solidFill>
                <a:schemeClr val="accent1"/>
              </a:solidFill>
              <a:prstDash val="dashDot"/>
              <a:round/>
            </a:ln>
            <a:effectLst/>
          </c:spPr>
          <c:marker>
            <c:symbol val="circle"/>
            <c:size val="6"/>
            <c:spPr>
              <a:solidFill>
                <a:schemeClr val="lt1"/>
              </a:solidFill>
              <a:ln w="15875">
                <a:solidFill>
                  <a:schemeClr val="accent1"/>
                </a:solidFill>
                <a:round/>
              </a:ln>
              <a:effectLst/>
            </c:spPr>
          </c:marker>
          <c:xVal>
            <c:numRef>
              <c:f>'Ejercicios 4.19-4.52'!$A$182:$A$184</c:f>
              <c:numCache>
                <c:formatCode>General</c:formatCode>
                <c:ptCount val="3"/>
                <c:pt idx="0">
                  <c:v>2</c:v>
                </c:pt>
                <c:pt idx="1">
                  <c:v>3</c:v>
                </c:pt>
                <c:pt idx="2">
                  <c:v>4</c:v>
                </c:pt>
              </c:numCache>
            </c:numRef>
          </c:xVal>
          <c:yVal>
            <c:numRef>
              <c:f>'Ejercicios 4.19-4.52'!$B$182:$B$184</c:f>
              <c:numCache>
                <c:formatCode>General</c:formatCode>
                <c:ptCount val="3"/>
                <c:pt idx="0">
                  <c:v>0.25</c:v>
                </c:pt>
                <c:pt idx="1">
                  <c:v>0.1111111111111111</c:v>
                </c:pt>
                <c:pt idx="2">
                  <c:v>6.25E-2</c:v>
                </c:pt>
              </c:numCache>
            </c:numRef>
          </c:yVal>
          <c:smooth val="0"/>
          <c:extLst>
            <c:ext xmlns:c16="http://schemas.microsoft.com/office/drawing/2014/chart" uri="{C3380CC4-5D6E-409C-BE32-E72D297353CC}">
              <c16:uniqueId val="{00000000-1860-4A2F-A634-74CC9FA50282}"/>
            </c:ext>
          </c:extLst>
        </c:ser>
        <c:ser>
          <c:idx val="1"/>
          <c:order val="1"/>
          <c:tx>
            <c:strRef>
              <c:f>'Ejercicios 4.19-4.52'!$C$186</c:f>
              <c:strCache>
                <c:ptCount val="1"/>
                <c:pt idx="0">
                  <c:v>b</c:v>
                </c:pt>
              </c:strCache>
            </c:strRef>
          </c:tx>
          <c:spPr>
            <a:ln w="22225" cap="rnd">
              <a:solidFill>
                <a:schemeClr val="accent2"/>
              </a:solidFill>
              <a:prstDash val="sysDash"/>
              <a:round/>
            </a:ln>
            <a:effectLst/>
          </c:spPr>
          <c:marker>
            <c:symbol val="circle"/>
            <c:size val="6"/>
            <c:spPr>
              <a:solidFill>
                <a:schemeClr val="lt1"/>
              </a:solidFill>
              <a:ln w="15875">
                <a:solidFill>
                  <a:schemeClr val="accent2"/>
                </a:solidFill>
                <a:round/>
              </a:ln>
              <a:effectLst/>
            </c:spPr>
          </c:marker>
          <c:xVal>
            <c:numRef>
              <c:f>'Ejercicios 4.19-4.52'!$A$186:$A$188</c:f>
              <c:numCache>
                <c:formatCode>General</c:formatCode>
                <c:ptCount val="3"/>
                <c:pt idx="0">
                  <c:v>2</c:v>
                </c:pt>
                <c:pt idx="1">
                  <c:v>3</c:v>
                </c:pt>
                <c:pt idx="2">
                  <c:v>4</c:v>
                </c:pt>
              </c:numCache>
            </c:numRef>
          </c:xVal>
          <c:yVal>
            <c:numRef>
              <c:f>'Ejercicios 4.19-4.52'!$B$186:$B$189</c:f>
              <c:numCache>
                <c:formatCode>General</c:formatCode>
                <c:ptCount val="4"/>
                <c:pt idx="0">
                  <c:v>0.75</c:v>
                </c:pt>
                <c:pt idx="1">
                  <c:v>0.33333333333333331</c:v>
                </c:pt>
                <c:pt idx="2">
                  <c:v>0.1875</c:v>
                </c:pt>
              </c:numCache>
            </c:numRef>
          </c:yVal>
          <c:smooth val="0"/>
          <c:extLst>
            <c:ext xmlns:c16="http://schemas.microsoft.com/office/drawing/2014/chart" uri="{C3380CC4-5D6E-409C-BE32-E72D297353CC}">
              <c16:uniqueId val="{00000001-1860-4A2F-A634-74CC9FA50282}"/>
            </c:ext>
          </c:extLst>
        </c:ser>
        <c:ser>
          <c:idx val="2"/>
          <c:order val="2"/>
          <c:tx>
            <c:strRef>
              <c:f>'Ejercicios 4.19-4.52'!$C$190</c:f>
              <c:strCache>
                <c:ptCount val="1"/>
                <c:pt idx="0">
                  <c:v>c</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4.19-4.52'!$A$190:$A$192</c:f>
              <c:numCache>
                <c:formatCode>General</c:formatCode>
                <c:ptCount val="3"/>
                <c:pt idx="0">
                  <c:v>2</c:v>
                </c:pt>
                <c:pt idx="1">
                  <c:v>3</c:v>
                </c:pt>
                <c:pt idx="2">
                  <c:v>4</c:v>
                </c:pt>
              </c:numCache>
            </c:numRef>
          </c:xVal>
          <c:yVal>
            <c:numRef>
              <c:f>'Ejercicios 4.19-4.52'!$B$190:$B$192</c:f>
              <c:numCache>
                <c:formatCode>General</c:formatCode>
                <c:ptCount val="3"/>
                <c:pt idx="0">
                  <c:v>1.5</c:v>
                </c:pt>
                <c:pt idx="1">
                  <c:v>0.66666666666666663</c:v>
                </c:pt>
                <c:pt idx="2">
                  <c:v>0.375</c:v>
                </c:pt>
              </c:numCache>
            </c:numRef>
          </c:yVal>
          <c:smooth val="0"/>
          <c:extLst>
            <c:ext xmlns:c16="http://schemas.microsoft.com/office/drawing/2014/chart" uri="{C3380CC4-5D6E-409C-BE32-E72D297353CC}">
              <c16:uniqueId val="{00000002-1860-4A2F-A634-74CC9FA5028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x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0"/>
          <c:order val="0"/>
          <c:tx>
            <c:strRef>
              <c:f>'Ejercicios 4.19-4.52'!$C$197</c:f>
              <c:strCache>
                <c:ptCount val="1"/>
                <c:pt idx="0">
                  <c:v>DA</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4.19-4.52'!$A$197:$A$199</c:f>
              <c:numCache>
                <c:formatCode>General</c:formatCode>
                <c:ptCount val="3"/>
                <c:pt idx="0">
                  <c:v>3000</c:v>
                </c:pt>
                <c:pt idx="1">
                  <c:v>4000</c:v>
                </c:pt>
                <c:pt idx="2">
                  <c:v>5000</c:v>
                </c:pt>
              </c:numCache>
            </c:numRef>
          </c:xVal>
          <c:yVal>
            <c:numRef>
              <c:f>'Ejercicios 4.19-4.52'!$B$197:$B$199</c:f>
              <c:numCache>
                <c:formatCode>General</c:formatCode>
                <c:ptCount val="3"/>
                <c:pt idx="0">
                  <c:v>3700</c:v>
                </c:pt>
                <c:pt idx="1">
                  <c:v>4200</c:v>
                </c:pt>
                <c:pt idx="2">
                  <c:v>4700</c:v>
                </c:pt>
              </c:numCache>
            </c:numRef>
          </c:yVal>
          <c:smooth val="0"/>
          <c:extLst>
            <c:ext xmlns:c16="http://schemas.microsoft.com/office/drawing/2014/chart" uri="{C3380CC4-5D6E-409C-BE32-E72D297353CC}">
              <c16:uniqueId val="{00000000-FA7E-483C-9353-0A18434BEC39}"/>
            </c:ext>
          </c:extLst>
        </c:ser>
        <c:ser>
          <c:idx val="1"/>
          <c:order val="1"/>
          <c:tx>
            <c:strRef>
              <c:f>'Ejercicios 4.19-4.52'!$C$201</c:f>
              <c:strCache>
                <c:ptCount val="1"/>
                <c:pt idx="0">
                  <c:v>C</c:v>
                </c:pt>
              </c:strCache>
            </c:strRef>
          </c:tx>
          <c:spPr>
            <a:ln w="22225" cap="rnd">
              <a:solidFill>
                <a:schemeClr val="accent2"/>
              </a:solidFill>
              <a:prstDash val="sysDash"/>
              <a:round/>
            </a:ln>
            <a:effectLst/>
          </c:spPr>
          <c:marker>
            <c:symbol val="circle"/>
            <c:size val="6"/>
            <c:spPr>
              <a:solidFill>
                <a:schemeClr val="lt1"/>
              </a:solidFill>
              <a:ln w="15875">
                <a:solidFill>
                  <a:schemeClr val="accent2"/>
                </a:solidFill>
                <a:round/>
              </a:ln>
              <a:effectLst/>
            </c:spPr>
          </c:marker>
          <c:xVal>
            <c:numRef>
              <c:f>'Ejercicios 4.19-4.52'!$A$201:$A$203</c:f>
              <c:numCache>
                <c:formatCode>General</c:formatCode>
                <c:ptCount val="3"/>
                <c:pt idx="0">
                  <c:v>3000</c:v>
                </c:pt>
                <c:pt idx="1">
                  <c:v>4000</c:v>
                </c:pt>
                <c:pt idx="2">
                  <c:v>5000</c:v>
                </c:pt>
              </c:numCache>
            </c:numRef>
          </c:xVal>
          <c:yVal>
            <c:numRef>
              <c:f>'Ejercicios 4.19-4.52'!$B$201:$B$203</c:f>
              <c:numCache>
                <c:formatCode>General</c:formatCode>
                <c:ptCount val="3"/>
                <c:pt idx="0">
                  <c:v>3000</c:v>
                </c:pt>
                <c:pt idx="1">
                  <c:v>3500</c:v>
                </c:pt>
                <c:pt idx="2">
                  <c:v>4000</c:v>
                </c:pt>
              </c:numCache>
            </c:numRef>
          </c:yVal>
          <c:smooth val="0"/>
          <c:extLst>
            <c:ext xmlns:c16="http://schemas.microsoft.com/office/drawing/2014/chart" uri="{C3380CC4-5D6E-409C-BE32-E72D297353CC}">
              <c16:uniqueId val="{00000001-FA7E-483C-9353-0A18434BEC39}"/>
            </c:ext>
          </c:extLst>
        </c:ser>
        <c:ser>
          <c:idx val="2"/>
          <c:order val="2"/>
          <c:tx>
            <c:strRef>
              <c:f>'Ejercicios 4.19-4.52'!$C$205</c:f>
              <c:strCache>
                <c:ptCount val="1"/>
                <c:pt idx="0">
                  <c:v>A</c:v>
                </c:pt>
              </c:strCache>
            </c:strRef>
          </c:tx>
          <c:spPr>
            <a:ln w="22225" cap="rnd">
              <a:solidFill>
                <a:schemeClr val="accent3"/>
              </a:solidFill>
              <a:prstDash val="lgDashDotDot"/>
              <a:round/>
            </a:ln>
            <a:effectLst/>
          </c:spPr>
          <c:marker>
            <c:symbol val="circle"/>
            <c:size val="6"/>
            <c:spPr>
              <a:solidFill>
                <a:schemeClr val="lt1"/>
              </a:solidFill>
              <a:ln w="15875">
                <a:solidFill>
                  <a:schemeClr val="accent3"/>
                </a:solidFill>
                <a:round/>
              </a:ln>
              <a:effectLst/>
            </c:spPr>
          </c:marker>
          <c:xVal>
            <c:numRef>
              <c:f>'Ejercicios 4.19-4.52'!$A$205:$A$207</c:f>
              <c:numCache>
                <c:formatCode>General</c:formatCode>
                <c:ptCount val="3"/>
                <c:pt idx="0">
                  <c:v>3000</c:v>
                </c:pt>
                <c:pt idx="1">
                  <c:v>4000</c:v>
                </c:pt>
                <c:pt idx="2">
                  <c:v>5000</c:v>
                </c:pt>
              </c:numCache>
            </c:numRef>
          </c:xVal>
          <c:yVal>
            <c:numRef>
              <c:f>'Ejercicios 4.19-4.52'!$B$205:$B$207</c:f>
              <c:numCache>
                <c:formatCode>General</c:formatCode>
                <c:ptCount val="3"/>
                <c:pt idx="0">
                  <c:v>700</c:v>
                </c:pt>
                <c:pt idx="1">
                  <c:v>700</c:v>
                </c:pt>
                <c:pt idx="2">
                  <c:v>700</c:v>
                </c:pt>
              </c:numCache>
            </c:numRef>
          </c:yVal>
          <c:smooth val="0"/>
          <c:extLst>
            <c:ext xmlns:c16="http://schemas.microsoft.com/office/drawing/2014/chart" uri="{C3380CC4-5D6E-409C-BE32-E72D297353CC}">
              <c16:uniqueId val="{00000002-FA7E-483C-9353-0A18434BEC39}"/>
            </c:ext>
          </c:extLst>
        </c:ser>
        <c:dLbls>
          <c:showLegendKey val="0"/>
          <c:showVal val="0"/>
          <c:showCatName val="0"/>
          <c:showSerName val="0"/>
          <c:showPercent val="0"/>
          <c:showBubbleSize val="0"/>
        </c:dLbls>
        <c:axId val="689605439"/>
        <c:axId val="634792095"/>
      </c:scatterChart>
      <c:valAx>
        <c:axId val="689605439"/>
        <c:scaling>
          <c:orientation val="minMax"/>
          <c:min val="250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0"/>
          <c:order val="0"/>
          <c:tx>
            <c:strRef>
              <c:f>'Ejercicios 4.19-4.52'!$C$214</c:f>
              <c:strCache>
                <c:ptCount val="1"/>
                <c:pt idx="0">
                  <c:v>DA</c:v>
                </c:pt>
              </c:strCache>
            </c:strRef>
          </c:tx>
          <c:spPr>
            <a:ln w="22225" cap="rnd">
              <a:solidFill>
                <a:schemeClr val="accent1"/>
              </a:solidFill>
              <a:prstDash val="dash"/>
              <a:round/>
            </a:ln>
            <a:effectLst/>
          </c:spPr>
          <c:marker>
            <c:symbol val="circle"/>
            <c:size val="6"/>
            <c:spPr>
              <a:solidFill>
                <a:schemeClr val="lt1"/>
              </a:solidFill>
              <a:ln w="15875">
                <a:solidFill>
                  <a:schemeClr val="accent1"/>
                </a:solidFill>
                <a:round/>
              </a:ln>
              <a:effectLst/>
            </c:spPr>
          </c:marker>
          <c:xVal>
            <c:numRef>
              <c:f>'Ejercicios 4.19-4.52'!$A$214:$A$216</c:f>
              <c:numCache>
                <c:formatCode>General</c:formatCode>
                <c:ptCount val="3"/>
                <c:pt idx="0">
                  <c:v>0</c:v>
                </c:pt>
                <c:pt idx="1">
                  <c:v>1500</c:v>
                </c:pt>
                <c:pt idx="2">
                  <c:v>2500</c:v>
                </c:pt>
              </c:numCache>
            </c:numRef>
          </c:xVal>
          <c:yVal>
            <c:numRef>
              <c:f>'Ejercicios 4.19-4.52'!$B$214:$B$216</c:f>
              <c:numCache>
                <c:formatCode>General</c:formatCode>
                <c:ptCount val="3"/>
                <c:pt idx="0">
                  <c:v>1350</c:v>
                </c:pt>
                <c:pt idx="1">
                  <c:v>2100</c:v>
                </c:pt>
                <c:pt idx="2">
                  <c:v>2600</c:v>
                </c:pt>
              </c:numCache>
            </c:numRef>
          </c:yVal>
          <c:smooth val="0"/>
          <c:extLst>
            <c:ext xmlns:c16="http://schemas.microsoft.com/office/drawing/2014/chart" uri="{C3380CC4-5D6E-409C-BE32-E72D297353CC}">
              <c16:uniqueId val="{00000000-83AD-48F0-888C-8D7728D25428}"/>
            </c:ext>
          </c:extLst>
        </c:ser>
        <c:ser>
          <c:idx val="1"/>
          <c:order val="1"/>
          <c:tx>
            <c:strRef>
              <c:f>'Ejercicios 4.19-4.52'!$C$218</c:f>
              <c:strCache>
                <c:ptCount val="1"/>
                <c:pt idx="0">
                  <c:v>C</c:v>
                </c:pt>
              </c:strCache>
            </c:strRef>
          </c:tx>
          <c:spPr>
            <a:ln w="22225" cap="rnd">
              <a:solidFill>
                <a:schemeClr val="accent2"/>
              </a:solidFill>
              <a:prstDash val="lgDash"/>
              <a:round/>
            </a:ln>
            <a:effectLst/>
          </c:spPr>
          <c:marker>
            <c:symbol val="circle"/>
            <c:size val="6"/>
            <c:spPr>
              <a:solidFill>
                <a:schemeClr val="lt1"/>
              </a:solidFill>
              <a:ln w="15875">
                <a:solidFill>
                  <a:schemeClr val="accent2"/>
                </a:solidFill>
                <a:round/>
              </a:ln>
              <a:effectLst/>
            </c:spPr>
          </c:marker>
          <c:xVal>
            <c:numRef>
              <c:f>'Ejercicios 4.19-4.52'!$A$218:$A$220</c:f>
              <c:numCache>
                <c:formatCode>General</c:formatCode>
                <c:ptCount val="3"/>
                <c:pt idx="0">
                  <c:v>0</c:v>
                </c:pt>
                <c:pt idx="1">
                  <c:v>1500</c:v>
                </c:pt>
                <c:pt idx="2">
                  <c:v>2500</c:v>
                </c:pt>
              </c:numCache>
            </c:numRef>
          </c:xVal>
          <c:yVal>
            <c:numRef>
              <c:f>'Ejercicios 4.19-4.52'!$B$218:$B$220</c:f>
              <c:numCache>
                <c:formatCode>General</c:formatCode>
                <c:ptCount val="3"/>
                <c:pt idx="0">
                  <c:v>600</c:v>
                </c:pt>
                <c:pt idx="1">
                  <c:v>1350</c:v>
                </c:pt>
                <c:pt idx="2">
                  <c:v>1850</c:v>
                </c:pt>
              </c:numCache>
            </c:numRef>
          </c:yVal>
          <c:smooth val="0"/>
          <c:extLst>
            <c:ext xmlns:c16="http://schemas.microsoft.com/office/drawing/2014/chart" uri="{C3380CC4-5D6E-409C-BE32-E72D297353CC}">
              <c16:uniqueId val="{00000001-83AD-48F0-888C-8D7728D25428}"/>
            </c:ext>
          </c:extLst>
        </c:ser>
        <c:ser>
          <c:idx val="2"/>
          <c:order val="2"/>
          <c:tx>
            <c:strRef>
              <c:f>'Ejercicios 4.19-4.52'!$C$222</c:f>
              <c:strCache>
                <c:ptCount val="1"/>
                <c:pt idx="0">
                  <c:v>A</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4.19-4.52'!$A$222:$A$224</c:f>
              <c:numCache>
                <c:formatCode>General</c:formatCode>
                <c:ptCount val="3"/>
                <c:pt idx="0">
                  <c:v>0</c:v>
                </c:pt>
                <c:pt idx="1">
                  <c:v>1500</c:v>
                </c:pt>
                <c:pt idx="2">
                  <c:v>2500</c:v>
                </c:pt>
              </c:numCache>
            </c:numRef>
          </c:xVal>
          <c:yVal>
            <c:numRef>
              <c:f>'Ejercicios 4.19-4.52'!$B$222:$B$224</c:f>
              <c:numCache>
                <c:formatCode>General</c:formatCode>
                <c:ptCount val="3"/>
                <c:pt idx="0">
                  <c:v>750</c:v>
                </c:pt>
                <c:pt idx="1">
                  <c:v>750</c:v>
                </c:pt>
                <c:pt idx="2">
                  <c:v>750</c:v>
                </c:pt>
              </c:numCache>
            </c:numRef>
          </c:yVal>
          <c:smooth val="0"/>
          <c:extLst>
            <c:ext xmlns:c16="http://schemas.microsoft.com/office/drawing/2014/chart" uri="{C3380CC4-5D6E-409C-BE32-E72D297353CC}">
              <c16:uniqueId val="{00000002-83AD-48F0-888C-8D7728D25428}"/>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0"/>
          <c:order val="0"/>
          <c:tx>
            <c:strRef>
              <c:f>'Ejercicios 4.19-4.52'!$C$230</c:f>
              <c:strCache>
                <c:ptCount val="1"/>
                <c:pt idx="0">
                  <c:v>DA</c:v>
                </c:pt>
              </c:strCache>
            </c:strRef>
          </c:tx>
          <c:spPr>
            <a:ln w="22225" cap="rnd">
              <a:solidFill>
                <a:schemeClr val="accent1"/>
              </a:solidFill>
              <a:prstDash val="sysDash"/>
              <a:round/>
            </a:ln>
            <a:effectLst/>
          </c:spPr>
          <c:marker>
            <c:symbol val="circle"/>
            <c:size val="6"/>
            <c:spPr>
              <a:solidFill>
                <a:schemeClr val="lt1"/>
              </a:solidFill>
              <a:ln w="15875">
                <a:solidFill>
                  <a:schemeClr val="accent1"/>
                </a:solidFill>
                <a:round/>
              </a:ln>
              <a:effectLst/>
            </c:spPr>
          </c:marker>
          <c:xVal>
            <c:numRef>
              <c:f>'Ejercicios 4.19-4.52'!$A$230:$A$232</c:f>
              <c:numCache>
                <c:formatCode>General</c:formatCode>
                <c:ptCount val="3"/>
                <c:pt idx="0">
                  <c:v>0</c:v>
                </c:pt>
                <c:pt idx="1">
                  <c:v>1750</c:v>
                </c:pt>
                <c:pt idx="2">
                  <c:v>3500</c:v>
                </c:pt>
              </c:numCache>
            </c:numRef>
          </c:xVal>
          <c:yVal>
            <c:numRef>
              <c:f>'Ejercicios 4.19-4.52'!$B$230:$B$232</c:f>
              <c:numCache>
                <c:formatCode>General</c:formatCode>
                <c:ptCount val="3"/>
                <c:pt idx="0">
                  <c:v>1300</c:v>
                </c:pt>
                <c:pt idx="1">
                  <c:v>1562.5</c:v>
                </c:pt>
                <c:pt idx="2">
                  <c:v>1825</c:v>
                </c:pt>
              </c:numCache>
            </c:numRef>
          </c:yVal>
          <c:smooth val="0"/>
          <c:extLst>
            <c:ext xmlns:c16="http://schemas.microsoft.com/office/drawing/2014/chart" uri="{C3380CC4-5D6E-409C-BE32-E72D297353CC}">
              <c16:uniqueId val="{00000000-BBC5-4841-B81C-284C51A32346}"/>
            </c:ext>
          </c:extLst>
        </c:ser>
        <c:ser>
          <c:idx val="1"/>
          <c:order val="1"/>
          <c:tx>
            <c:strRef>
              <c:f>'Ejercicios 4.19-4.52'!$C$234</c:f>
              <c:strCache>
                <c:ptCount val="1"/>
                <c:pt idx="0">
                  <c:v>C</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4.19-4.52'!$A$234:$A$236</c:f>
              <c:numCache>
                <c:formatCode>General</c:formatCode>
                <c:ptCount val="3"/>
                <c:pt idx="0">
                  <c:v>0</c:v>
                </c:pt>
                <c:pt idx="1">
                  <c:v>1750</c:v>
                </c:pt>
                <c:pt idx="2">
                  <c:v>3500</c:v>
                </c:pt>
              </c:numCache>
            </c:numRef>
          </c:xVal>
          <c:yVal>
            <c:numRef>
              <c:f>'Ejercicios 4.19-4.52'!$B$234:$B$236</c:f>
              <c:numCache>
                <c:formatCode>General</c:formatCode>
                <c:ptCount val="3"/>
                <c:pt idx="0">
                  <c:v>800</c:v>
                </c:pt>
                <c:pt idx="1">
                  <c:v>1062.5</c:v>
                </c:pt>
                <c:pt idx="2">
                  <c:v>1325</c:v>
                </c:pt>
              </c:numCache>
            </c:numRef>
          </c:yVal>
          <c:smooth val="0"/>
          <c:extLst>
            <c:ext xmlns:c16="http://schemas.microsoft.com/office/drawing/2014/chart" uri="{C3380CC4-5D6E-409C-BE32-E72D297353CC}">
              <c16:uniqueId val="{00000001-BBC5-4841-B81C-284C51A32346}"/>
            </c:ext>
          </c:extLst>
        </c:ser>
        <c:ser>
          <c:idx val="2"/>
          <c:order val="2"/>
          <c:tx>
            <c:strRef>
              <c:f>'Ejercicios 4.19-4.52'!$C$238</c:f>
              <c:strCache>
                <c:ptCount val="1"/>
                <c:pt idx="0">
                  <c:v>A</c:v>
                </c:pt>
              </c:strCache>
            </c:strRef>
          </c:tx>
          <c:spPr>
            <a:ln w="22225" cap="rnd">
              <a:solidFill>
                <a:schemeClr val="accent3"/>
              </a:solidFill>
              <a:prstDash val="lgDashDotDot"/>
              <a:round/>
            </a:ln>
            <a:effectLst/>
          </c:spPr>
          <c:marker>
            <c:symbol val="circle"/>
            <c:size val="6"/>
            <c:spPr>
              <a:solidFill>
                <a:schemeClr val="lt1"/>
              </a:solidFill>
              <a:ln w="15875">
                <a:solidFill>
                  <a:schemeClr val="accent3"/>
                </a:solidFill>
                <a:round/>
              </a:ln>
              <a:effectLst/>
            </c:spPr>
          </c:marker>
          <c:xVal>
            <c:numRef>
              <c:f>'Ejercicios 4.19-4.52'!$A$238:$A$240</c:f>
              <c:numCache>
                <c:formatCode>General</c:formatCode>
                <c:ptCount val="3"/>
                <c:pt idx="0">
                  <c:v>0</c:v>
                </c:pt>
                <c:pt idx="1">
                  <c:v>1750</c:v>
                </c:pt>
                <c:pt idx="2">
                  <c:v>3500</c:v>
                </c:pt>
              </c:numCache>
            </c:numRef>
          </c:xVal>
          <c:yVal>
            <c:numRef>
              <c:f>'Ejercicios 4.19-4.52'!$B$238:$B$240</c:f>
              <c:numCache>
                <c:formatCode>General</c:formatCode>
                <c:ptCount val="3"/>
                <c:pt idx="0">
                  <c:v>500</c:v>
                </c:pt>
                <c:pt idx="1">
                  <c:v>500</c:v>
                </c:pt>
                <c:pt idx="2">
                  <c:v>500</c:v>
                </c:pt>
              </c:numCache>
            </c:numRef>
          </c:yVal>
          <c:smooth val="0"/>
          <c:extLst>
            <c:ext xmlns:c16="http://schemas.microsoft.com/office/drawing/2014/chart" uri="{C3380CC4-5D6E-409C-BE32-E72D297353CC}">
              <c16:uniqueId val="{00000002-BBC5-4841-B81C-284C51A32346}"/>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0"/>
          <c:order val="0"/>
          <c:tx>
            <c:strRef>
              <c:f>'Ejercicios 4.19-4.52'!$C$245</c:f>
              <c:strCache>
                <c:ptCount val="1"/>
                <c:pt idx="0">
                  <c:v>DA</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4.19-4.52'!$A$245:$A$247</c:f>
              <c:numCache>
                <c:formatCode>General</c:formatCode>
                <c:ptCount val="3"/>
                <c:pt idx="0">
                  <c:v>0</c:v>
                </c:pt>
                <c:pt idx="1">
                  <c:v>1700</c:v>
                </c:pt>
                <c:pt idx="2">
                  <c:v>3400</c:v>
                </c:pt>
              </c:numCache>
            </c:numRef>
          </c:xVal>
          <c:yVal>
            <c:numRef>
              <c:f>'Ejercicios 4.19-4.52'!$B$245:$B$247</c:f>
              <c:numCache>
                <c:formatCode>General</c:formatCode>
                <c:ptCount val="3"/>
                <c:pt idx="0">
                  <c:v>1300</c:v>
                </c:pt>
                <c:pt idx="1">
                  <c:v>1555</c:v>
                </c:pt>
                <c:pt idx="2">
                  <c:v>1810</c:v>
                </c:pt>
              </c:numCache>
            </c:numRef>
          </c:yVal>
          <c:smooth val="0"/>
          <c:extLst>
            <c:ext xmlns:c16="http://schemas.microsoft.com/office/drawing/2014/chart" uri="{C3380CC4-5D6E-409C-BE32-E72D297353CC}">
              <c16:uniqueId val="{00000000-62AC-4D21-AAF3-03563592056D}"/>
            </c:ext>
          </c:extLst>
        </c:ser>
        <c:ser>
          <c:idx val="1"/>
          <c:order val="1"/>
          <c:tx>
            <c:strRef>
              <c:f>'Ejercicios 4.19-4.52'!$C$249</c:f>
              <c:strCache>
                <c:ptCount val="1"/>
                <c:pt idx="0">
                  <c:v>C</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4.19-4.52'!$A$249:$A$251</c:f>
              <c:numCache>
                <c:formatCode>General</c:formatCode>
                <c:ptCount val="3"/>
                <c:pt idx="0">
                  <c:v>0</c:v>
                </c:pt>
                <c:pt idx="1">
                  <c:v>1700</c:v>
                </c:pt>
                <c:pt idx="2">
                  <c:v>3400</c:v>
                </c:pt>
              </c:numCache>
            </c:numRef>
          </c:xVal>
          <c:yVal>
            <c:numRef>
              <c:f>'Ejercicios 4.19-4.52'!$B$249:$B$251</c:f>
              <c:numCache>
                <c:formatCode>General</c:formatCode>
                <c:ptCount val="3"/>
                <c:pt idx="0">
                  <c:v>850</c:v>
                </c:pt>
                <c:pt idx="1">
                  <c:v>1105</c:v>
                </c:pt>
                <c:pt idx="2">
                  <c:v>1360</c:v>
                </c:pt>
              </c:numCache>
            </c:numRef>
          </c:yVal>
          <c:smooth val="0"/>
          <c:extLst>
            <c:ext xmlns:c16="http://schemas.microsoft.com/office/drawing/2014/chart" uri="{C3380CC4-5D6E-409C-BE32-E72D297353CC}">
              <c16:uniqueId val="{00000001-62AC-4D21-AAF3-03563592056D}"/>
            </c:ext>
          </c:extLst>
        </c:ser>
        <c:ser>
          <c:idx val="2"/>
          <c:order val="2"/>
          <c:tx>
            <c:strRef>
              <c:f>'Ejercicios 4.19-4.52'!$C$253</c:f>
              <c:strCache>
                <c:ptCount val="1"/>
                <c:pt idx="0">
                  <c:v>A</c:v>
                </c:pt>
              </c:strCache>
            </c:strRef>
          </c:tx>
          <c:spPr>
            <a:ln w="22225" cap="rnd">
              <a:solidFill>
                <a:schemeClr val="accent3"/>
              </a:solidFill>
              <a:prstDash val="dash"/>
              <a:round/>
            </a:ln>
            <a:effectLst/>
          </c:spPr>
          <c:marker>
            <c:symbol val="circle"/>
            <c:size val="6"/>
            <c:spPr>
              <a:solidFill>
                <a:schemeClr val="lt1"/>
              </a:solidFill>
              <a:ln w="15875">
                <a:solidFill>
                  <a:schemeClr val="accent3"/>
                </a:solidFill>
                <a:round/>
              </a:ln>
              <a:effectLst/>
            </c:spPr>
          </c:marker>
          <c:xVal>
            <c:numRef>
              <c:f>'Ejercicios 4.19-4.52'!$A$253:$A$255</c:f>
              <c:numCache>
                <c:formatCode>General</c:formatCode>
                <c:ptCount val="3"/>
                <c:pt idx="0">
                  <c:v>0</c:v>
                </c:pt>
                <c:pt idx="1">
                  <c:v>1700</c:v>
                </c:pt>
                <c:pt idx="2">
                  <c:v>3400</c:v>
                </c:pt>
              </c:numCache>
            </c:numRef>
          </c:xVal>
          <c:yVal>
            <c:numRef>
              <c:f>'Ejercicios 4.19-4.52'!$B$253:$B$255</c:f>
              <c:numCache>
                <c:formatCode>General</c:formatCode>
                <c:ptCount val="3"/>
                <c:pt idx="0">
                  <c:v>450</c:v>
                </c:pt>
                <c:pt idx="1">
                  <c:v>450</c:v>
                </c:pt>
                <c:pt idx="2">
                  <c:v>450</c:v>
                </c:pt>
              </c:numCache>
            </c:numRef>
          </c:yVal>
          <c:smooth val="0"/>
          <c:extLst>
            <c:ext xmlns:c16="http://schemas.microsoft.com/office/drawing/2014/chart" uri="{C3380CC4-5D6E-409C-BE32-E72D297353CC}">
              <c16:uniqueId val="{00000002-62AC-4D21-AAF3-03563592056D}"/>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2"/>
          <c:order val="0"/>
          <c:tx>
            <c:strRef>
              <c:f>'Ejercicios 4.19-4.52'!$C$261</c:f>
              <c:strCache>
                <c:ptCount val="1"/>
                <c:pt idx="0">
                  <c:v>A</c:v>
                </c:pt>
              </c:strCache>
            </c:strRef>
          </c:tx>
          <c:spPr>
            <a:ln w="22225" cap="rnd">
              <a:solidFill>
                <a:schemeClr val="accent3"/>
              </a:solidFill>
              <a:prstDash val="lgDashDot"/>
              <a:round/>
            </a:ln>
            <a:effectLst/>
          </c:spPr>
          <c:marker>
            <c:symbol val="circle"/>
            <c:size val="6"/>
            <c:spPr>
              <a:solidFill>
                <a:schemeClr val="lt1"/>
              </a:solidFill>
              <a:ln w="15875">
                <a:solidFill>
                  <a:schemeClr val="accent3"/>
                </a:solidFill>
                <a:round/>
              </a:ln>
              <a:effectLst/>
            </c:spPr>
          </c:marker>
          <c:xVal>
            <c:numRef>
              <c:f>'Ejercicios 4.19-4.52'!$A$261:$A$263</c:f>
              <c:numCache>
                <c:formatCode>General</c:formatCode>
                <c:ptCount val="3"/>
                <c:pt idx="0">
                  <c:v>0</c:v>
                </c:pt>
                <c:pt idx="1">
                  <c:v>687.5</c:v>
                </c:pt>
                <c:pt idx="2">
                  <c:v>1000</c:v>
                </c:pt>
              </c:numCache>
            </c:numRef>
          </c:xVal>
          <c:yVal>
            <c:numRef>
              <c:f>'Ejercicios 4.19-4.52'!$B$261:$B$263</c:f>
              <c:numCache>
                <c:formatCode>General</c:formatCode>
                <c:ptCount val="3"/>
                <c:pt idx="0">
                  <c:v>550</c:v>
                </c:pt>
                <c:pt idx="1">
                  <c:v>550</c:v>
                </c:pt>
                <c:pt idx="2">
                  <c:v>550</c:v>
                </c:pt>
              </c:numCache>
            </c:numRef>
          </c:yVal>
          <c:smooth val="0"/>
          <c:extLst>
            <c:ext xmlns:c16="http://schemas.microsoft.com/office/drawing/2014/chart" uri="{C3380CC4-5D6E-409C-BE32-E72D297353CC}">
              <c16:uniqueId val="{00000002-4C61-46BD-86FA-FC61BD04AD14}"/>
            </c:ext>
          </c:extLst>
        </c:ser>
        <c:ser>
          <c:idx val="0"/>
          <c:order val="1"/>
          <c:tx>
            <c:strRef>
              <c:f>'Ejercicios 4.19-4.52'!$C$266</c:f>
              <c:strCache>
                <c:ptCount val="1"/>
                <c:pt idx="0">
                  <c:v>DA</c:v>
                </c:pt>
              </c:strCache>
            </c:strRef>
          </c:tx>
          <c:spPr>
            <a:ln w="22225" cap="rnd">
              <a:solidFill>
                <a:schemeClr val="accent1"/>
              </a:solidFill>
              <a:prstDash val="dash"/>
              <a:round/>
            </a:ln>
            <a:effectLst/>
          </c:spPr>
          <c:marker>
            <c:symbol val="circle"/>
            <c:size val="6"/>
            <c:spPr>
              <a:solidFill>
                <a:schemeClr val="lt1"/>
              </a:solidFill>
              <a:ln w="15875">
                <a:solidFill>
                  <a:schemeClr val="accent1"/>
                </a:solidFill>
                <a:round/>
              </a:ln>
              <a:effectLst/>
            </c:spPr>
          </c:marker>
          <c:xVal>
            <c:numRef>
              <c:f>'Ejercicios 4.19-4.52'!$A$265:$A$267</c:f>
              <c:numCache>
                <c:formatCode>General</c:formatCode>
                <c:ptCount val="3"/>
                <c:pt idx="0">
                  <c:v>0</c:v>
                </c:pt>
                <c:pt idx="1">
                  <c:v>687.5</c:v>
                </c:pt>
                <c:pt idx="2">
                  <c:v>1000</c:v>
                </c:pt>
              </c:numCache>
            </c:numRef>
          </c:xVal>
          <c:yVal>
            <c:numRef>
              <c:f>'Ejercicios 4.19-4.52'!$B$265:$B$267</c:f>
              <c:numCache>
                <c:formatCode>General</c:formatCode>
                <c:ptCount val="3"/>
                <c:pt idx="0">
                  <c:v>550</c:v>
                </c:pt>
                <c:pt idx="1">
                  <c:v>687.5</c:v>
                </c:pt>
                <c:pt idx="2">
                  <c:v>750</c:v>
                </c:pt>
              </c:numCache>
            </c:numRef>
          </c:yVal>
          <c:smooth val="0"/>
          <c:extLst>
            <c:ext xmlns:c16="http://schemas.microsoft.com/office/drawing/2014/chart" uri="{C3380CC4-5D6E-409C-BE32-E72D297353CC}">
              <c16:uniqueId val="{00000003-4C61-46BD-86FA-FC61BD04AD14}"/>
            </c:ext>
          </c:extLst>
        </c:ser>
        <c:ser>
          <c:idx val="1"/>
          <c:order val="2"/>
          <c:tx>
            <c:strRef>
              <c:f>'Ejercicios 4.19-4.52'!$C$269</c:f>
              <c:strCache>
                <c:ptCount val="1"/>
                <c:pt idx="0">
                  <c:v>Distancia</c:v>
                </c:pt>
              </c:strCache>
            </c:strRef>
          </c:tx>
          <c:spPr>
            <a:ln w="22225" cap="rnd">
              <a:solidFill>
                <a:schemeClr val="accent2"/>
              </a:solidFill>
              <a:prstDash val="sysDot"/>
              <a:round/>
            </a:ln>
            <a:effectLst/>
          </c:spPr>
          <c:marker>
            <c:symbol val="circle"/>
            <c:size val="6"/>
            <c:spPr>
              <a:solidFill>
                <a:schemeClr val="lt1"/>
              </a:solidFill>
              <a:ln w="15875">
                <a:solidFill>
                  <a:schemeClr val="accent2"/>
                </a:solidFill>
                <a:round/>
              </a:ln>
              <a:effectLst/>
            </c:spPr>
          </c:marker>
          <c:xVal>
            <c:numRef>
              <c:f>'Ejercicios 4.19-4.52'!$A$269:$A$270</c:f>
              <c:numCache>
                <c:formatCode>General</c:formatCode>
                <c:ptCount val="2"/>
                <c:pt idx="0">
                  <c:v>687.5</c:v>
                </c:pt>
                <c:pt idx="1">
                  <c:v>687.5</c:v>
                </c:pt>
              </c:numCache>
            </c:numRef>
          </c:xVal>
          <c:yVal>
            <c:numRef>
              <c:f>'Ejercicios 4.19-4.52'!$B$269:$B$270</c:f>
              <c:numCache>
                <c:formatCode>General</c:formatCode>
                <c:ptCount val="2"/>
                <c:pt idx="0">
                  <c:v>550</c:v>
                </c:pt>
                <c:pt idx="1">
                  <c:v>687.5</c:v>
                </c:pt>
              </c:numCache>
            </c:numRef>
          </c:yVal>
          <c:smooth val="0"/>
          <c:extLst>
            <c:ext xmlns:c16="http://schemas.microsoft.com/office/drawing/2014/chart" uri="{C3380CC4-5D6E-409C-BE32-E72D297353CC}">
              <c16:uniqueId val="{00000004-4C61-46BD-86FA-FC61BD04AD14}"/>
            </c:ext>
          </c:extLst>
        </c:ser>
        <c:ser>
          <c:idx val="3"/>
          <c:order val="3"/>
          <c:tx>
            <c:strRef>
              <c:f>'Ejercicios 4.19-4.52'!$C$272</c:f>
              <c:strCache>
                <c:ptCount val="1"/>
                <c:pt idx="0">
                  <c:v>Equilibrio</c:v>
                </c:pt>
              </c:strCache>
            </c:strRef>
          </c:tx>
          <c:spPr>
            <a:ln w="22225" cap="rnd">
              <a:solidFill>
                <a:schemeClr val="accent4"/>
              </a:solidFill>
              <a:round/>
            </a:ln>
            <a:effectLst/>
          </c:spPr>
          <c:marker>
            <c:symbol val="circle"/>
            <c:size val="6"/>
            <c:spPr>
              <a:solidFill>
                <a:schemeClr val="lt1"/>
              </a:solidFill>
              <a:ln w="15875">
                <a:solidFill>
                  <a:schemeClr val="accent4"/>
                </a:solidFill>
                <a:round/>
              </a:ln>
              <a:effectLst/>
            </c:spPr>
          </c:marker>
          <c:xVal>
            <c:numRef>
              <c:f>'Ejercicios 4.19-4.52'!$A$272:$A$273</c:f>
              <c:numCache>
                <c:formatCode>General</c:formatCode>
                <c:ptCount val="2"/>
                <c:pt idx="0">
                  <c:v>0</c:v>
                </c:pt>
                <c:pt idx="1">
                  <c:v>1000</c:v>
                </c:pt>
              </c:numCache>
            </c:numRef>
          </c:xVal>
          <c:yVal>
            <c:numRef>
              <c:f>'Ejercicios 4.19-4.52'!$B$272:$B$273</c:f>
              <c:numCache>
                <c:formatCode>General</c:formatCode>
                <c:ptCount val="2"/>
                <c:pt idx="0">
                  <c:v>0</c:v>
                </c:pt>
                <c:pt idx="1">
                  <c:v>1000</c:v>
                </c:pt>
              </c:numCache>
            </c:numRef>
          </c:yVal>
          <c:smooth val="0"/>
          <c:extLst>
            <c:ext xmlns:c16="http://schemas.microsoft.com/office/drawing/2014/chart" uri="{C3380CC4-5D6E-409C-BE32-E72D297353CC}">
              <c16:uniqueId val="{00000000-97F8-4999-B648-96FA9599048D}"/>
            </c:ext>
          </c:extLst>
        </c:ser>
        <c:dLbls>
          <c:showLegendKey val="0"/>
          <c:showVal val="0"/>
          <c:showCatName val="0"/>
          <c:showSerName val="0"/>
          <c:showPercent val="0"/>
          <c:showBubbleSize val="0"/>
        </c:dLbls>
        <c:axId val="689605439"/>
        <c:axId val="634792095"/>
      </c:scatterChart>
      <c:valAx>
        <c:axId val="689605439"/>
        <c:scaling>
          <c:orientation val="minMax"/>
          <c:min val="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2"/>
          <c:order val="0"/>
          <c:tx>
            <c:strRef>
              <c:f>'Ejercicios 4.19-4.52'!$C$284</c:f>
              <c:strCache>
                <c:ptCount val="1"/>
                <c:pt idx="0">
                  <c:v>A</c:v>
                </c:pt>
              </c:strCache>
            </c:strRef>
          </c:tx>
          <c:spPr>
            <a:ln w="22225" cap="rnd">
              <a:solidFill>
                <a:schemeClr val="accent3"/>
              </a:solidFill>
              <a:prstDash val="lgDashDotDot"/>
              <a:round/>
            </a:ln>
            <a:effectLst/>
          </c:spPr>
          <c:marker>
            <c:symbol val="circle"/>
            <c:size val="6"/>
            <c:spPr>
              <a:solidFill>
                <a:schemeClr val="lt1"/>
              </a:solidFill>
              <a:ln w="15875">
                <a:solidFill>
                  <a:schemeClr val="accent3"/>
                </a:solidFill>
                <a:round/>
              </a:ln>
              <a:effectLst/>
            </c:spPr>
          </c:marker>
          <c:xVal>
            <c:numRef>
              <c:f>'Ejercicios 4.19-4.52'!$A$284:$A$286</c:f>
              <c:numCache>
                <c:formatCode>General</c:formatCode>
                <c:ptCount val="3"/>
                <c:pt idx="0">
                  <c:v>0</c:v>
                </c:pt>
                <c:pt idx="1">
                  <c:v>450</c:v>
                </c:pt>
                <c:pt idx="2">
                  <c:v>800</c:v>
                </c:pt>
              </c:numCache>
            </c:numRef>
          </c:xVal>
          <c:yVal>
            <c:numRef>
              <c:f>'Ejercicios 4.19-4.52'!$B$284:$B$286</c:f>
              <c:numCache>
                <c:formatCode>General</c:formatCode>
                <c:ptCount val="3"/>
                <c:pt idx="0">
                  <c:v>350</c:v>
                </c:pt>
                <c:pt idx="1">
                  <c:v>350</c:v>
                </c:pt>
                <c:pt idx="2">
                  <c:v>350</c:v>
                </c:pt>
              </c:numCache>
            </c:numRef>
          </c:yVal>
          <c:smooth val="0"/>
          <c:extLst>
            <c:ext xmlns:c16="http://schemas.microsoft.com/office/drawing/2014/chart" uri="{C3380CC4-5D6E-409C-BE32-E72D297353CC}">
              <c16:uniqueId val="{00000000-FF70-47AB-B4CC-16686A9E3433}"/>
            </c:ext>
          </c:extLst>
        </c:ser>
        <c:ser>
          <c:idx val="0"/>
          <c:order val="1"/>
          <c:tx>
            <c:strRef>
              <c:f>'Ejercicios 4.19-4.52'!$C$280</c:f>
              <c:strCache>
                <c:ptCount val="1"/>
                <c:pt idx="0">
                  <c:v>DA</c:v>
                </c:pt>
              </c:strCache>
            </c:strRef>
          </c:tx>
          <c:spPr>
            <a:ln w="22225" cap="rnd">
              <a:solidFill>
                <a:schemeClr val="accent1"/>
              </a:solidFill>
              <a:prstDash val="solid"/>
              <a:round/>
            </a:ln>
            <a:effectLst/>
          </c:spPr>
          <c:marker>
            <c:symbol val="circle"/>
            <c:size val="6"/>
            <c:spPr>
              <a:solidFill>
                <a:schemeClr val="lt1"/>
              </a:solidFill>
              <a:ln w="15875">
                <a:solidFill>
                  <a:schemeClr val="accent1"/>
                </a:solidFill>
                <a:round/>
              </a:ln>
              <a:effectLst/>
            </c:spPr>
          </c:marker>
          <c:xVal>
            <c:numRef>
              <c:f>'Ejercicios 4.19-4.52'!$A$280:$A$282</c:f>
              <c:numCache>
                <c:formatCode>General</c:formatCode>
                <c:ptCount val="3"/>
                <c:pt idx="0">
                  <c:v>0</c:v>
                </c:pt>
                <c:pt idx="1">
                  <c:v>450</c:v>
                </c:pt>
                <c:pt idx="2">
                  <c:v>800</c:v>
                </c:pt>
              </c:numCache>
            </c:numRef>
          </c:xVal>
          <c:yVal>
            <c:numRef>
              <c:f>'Ejercicios 4.19-4.52'!$B$280:$B$282</c:f>
              <c:numCache>
                <c:formatCode>General</c:formatCode>
                <c:ptCount val="3"/>
                <c:pt idx="0">
                  <c:v>350</c:v>
                </c:pt>
                <c:pt idx="1">
                  <c:v>575</c:v>
                </c:pt>
                <c:pt idx="2">
                  <c:v>750</c:v>
                </c:pt>
              </c:numCache>
            </c:numRef>
          </c:yVal>
          <c:smooth val="0"/>
          <c:extLst>
            <c:ext xmlns:c16="http://schemas.microsoft.com/office/drawing/2014/chart" uri="{C3380CC4-5D6E-409C-BE32-E72D297353CC}">
              <c16:uniqueId val="{00000001-FF70-47AB-B4CC-16686A9E3433}"/>
            </c:ext>
          </c:extLst>
        </c:ser>
        <c:ser>
          <c:idx val="1"/>
          <c:order val="2"/>
          <c:tx>
            <c:strRef>
              <c:f>'Ejercicios 4.19-4.52'!$C$288</c:f>
              <c:strCache>
                <c:ptCount val="1"/>
                <c:pt idx="0">
                  <c:v>G</c:v>
                </c:pt>
              </c:strCache>
            </c:strRef>
          </c:tx>
          <c:spPr>
            <a:ln w="22225" cap="rnd">
              <a:solidFill>
                <a:schemeClr val="accent2"/>
              </a:solidFill>
              <a:prstDash val="sysDot"/>
              <a:round/>
            </a:ln>
            <a:effectLst/>
          </c:spPr>
          <c:marker>
            <c:symbol val="circle"/>
            <c:size val="6"/>
            <c:spPr>
              <a:solidFill>
                <a:schemeClr val="lt1"/>
              </a:solidFill>
              <a:ln w="15875">
                <a:solidFill>
                  <a:schemeClr val="accent2"/>
                </a:solidFill>
                <a:round/>
              </a:ln>
              <a:effectLst/>
            </c:spPr>
          </c:marker>
          <c:xVal>
            <c:numRef>
              <c:f>'Ejercicios 4.19-4.52'!$A$288:$A$290</c:f>
              <c:numCache>
                <c:formatCode>General</c:formatCode>
                <c:ptCount val="3"/>
                <c:pt idx="0">
                  <c:v>0</c:v>
                </c:pt>
                <c:pt idx="1">
                  <c:v>450</c:v>
                </c:pt>
                <c:pt idx="2">
                  <c:v>800</c:v>
                </c:pt>
              </c:numCache>
            </c:numRef>
          </c:xVal>
          <c:yVal>
            <c:numRef>
              <c:f>'Ejercicios 4.19-4.52'!$B$288:$B$290</c:f>
              <c:numCache>
                <c:formatCode>General</c:formatCode>
                <c:ptCount val="3"/>
                <c:pt idx="0">
                  <c:v>150</c:v>
                </c:pt>
                <c:pt idx="1">
                  <c:v>150</c:v>
                </c:pt>
                <c:pt idx="2">
                  <c:v>150</c:v>
                </c:pt>
              </c:numCache>
            </c:numRef>
          </c:yVal>
          <c:smooth val="0"/>
          <c:extLst>
            <c:ext xmlns:c16="http://schemas.microsoft.com/office/drawing/2014/chart" uri="{C3380CC4-5D6E-409C-BE32-E72D297353CC}">
              <c16:uniqueId val="{00000002-FF70-47AB-B4CC-16686A9E3433}"/>
            </c:ext>
          </c:extLst>
        </c:ser>
        <c:ser>
          <c:idx val="3"/>
          <c:order val="3"/>
          <c:tx>
            <c:strRef>
              <c:f>'Ejercicios 4.19-4.52'!$C$292</c:f>
              <c:strCache>
                <c:ptCount val="1"/>
                <c:pt idx="0">
                  <c:v>I0+C0</c:v>
                </c:pt>
              </c:strCache>
            </c:strRef>
          </c:tx>
          <c:spPr>
            <a:ln w="22225" cap="rnd">
              <a:solidFill>
                <a:schemeClr val="accent4"/>
              </a:solidFill>
              <a:prstDash val="dash"/>
              <a:round/>
            </a:ln>
            <a:effectLst/>
          </c:spPr>
          <c:marker>
            <c:symbol val="circle"/>
            <c:size val="6"/>
            <c:spPr>
              <a:solidFill>
                <a:schemeClr val="lt1"/>
              </a:solidFill>
              <a:ln w="15875">
                <a:solidFill>
                  <a:schemeClr val="accent4"/>
                </a:solidFill>
                <a:round/>
              </a:ln>
              <a:effectLst/>
            </c:spPr>
          </c:marker>
          <c:xVal>
            <c:numRef>
              <c:f>'Ejercicios 4.19-4.52'!$A$292:$A$294</c:f>
              <c:numCache>
                <c:formatCode>General</c:formatCode>
                <c:ptCount val="3"/>
                <c:pt idx="0">
                  <c:v>0</c:v>
                </c:pt>
                <c:pt idx="1">
                  <c:v>450</c:v>
                </c:pt>
                <c:pt idx="2">
                  <c:v>800</c:v>
                </c:pt>
              </c:numCache>
            </c:numRef>
          </c:xVal>
          <c:yVal>
            <c:numRef>
              <c:f>'Ejercicios 4.19-4.52'!$B$292:$B$294</c:f>
              <c:numCache>
                <c:formatCode>General</c:formatCode>
                <c:ptCount val="3"/>
                <c:pt idx="0">
                  <c:v>200</c:v>
                </c:pt>
                <c:pt idx="1">
                  <c:v>200</c:v>
                </c:pt>
                <c:pt idx="2">
                  <c:v>200</c:v>
                </c:pt>
              </c:numCache>
            </c:numRef>
          </c:yVal>
          <c:smooth val="0"/>
          <c:extLst>
            <c:ext xmlns:c16="http://schemas.microsoft.com/office/drawing/2014/chart" uri="{C3380CC4-5D6E-409C-BE32-E72D297353CC}">
              <c16:uniqueId val="{00000003-FF70-47AB-B4CC-16686A9E343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Ingreso o producto nacional</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2"/>
          <c:order val="0"/>
          <c:tx>
            <c:strRef>
              <c:f>'Ejercicios 4.19-4.52'!$C$306</c:f>
              <c:strCache>
                <c:ptCount val="1"/>
                <c:pt idx="0">
                  <c:v>A</c:v>
                </c:pt>
              </c:strCache>
            </c:strRef>
          </c:tx>
          <c:spPr>
            <a:ln w="22225" cap="rnd">
              <a:solidFill>
                <a:schemeClr val="accent3"/>
              </a:solidFill>
              <a:prstDash val="lgDashDot"/>
              <a:round/>
            </a:ln>
            <a:effectLst/>
          </c:spPr>
          <c:marker>
            <c:symbol val="circle"/>
            <c:size val="6"/>
            <c:spPr>
              <a:solidFill>
                <a:schemeClr val="lt1"/>
              </a:solidFill>
              <a:ln w="15875">
                <a:solidFill>
                  <a:schemeClr val="accent3"/>
                </a:solidFill>
                <a:round/>
              </a:ln>
              <a:effectLst/>
            </c:spPr>
          </c:marker>
          <c:xVal>
            <c:numRef>
              <c:f>'Ejercicios 4.19-4.52'!$A$306:$A$308</c:f>
              <c:numCache>
                <c:formatCode>General</c:formatCode>
                <c:ptCount val="3"/>
                <c:pt idx="0">
                  <c:v>0</c:v>
                </c:pt>
                <c:pt idx="1">
                  <c:v>450</c:v>
                </c:pt>
                <c:pt idx="2">
                  <c:v>800</c:v>
                </c:pt>
              </c:numCache>
            </c:numRef>
          </c:xVal>
          <c:yVal>
            <c:numRef>
              <c:f>'Ejercicios 4.19-4.52'!$B$306:$B$308</c:f>
              <c:numCache>
                <c:formatCode>General</c:formatCode>
                <c:ptCount val="3"/>
                <c:pt idx="0">
                  <c:v>350</c:v>
                </c:pt>
                <c:pt idx="1">
                  <c:v>350</c:v>
                </c:pt>
                <c:pt idx="2">
                  <c:v>350</c:v>
                </c:pt>
              </c:numCache>
            </c:numRef>
          </c:yVal>
          <c:smooth val="0"/>
          <c:extLst>
            <c:ext xmlns:c16="http://schemas.microsoft.com/office/drawing/2014/chart" uri="{C3380CC4-5D6E-409C-BE32-E72D297353CC}">
              <c16:uniqueId val="{00000000-FE4A-4A0E-95D1-0C85784BFF5B}"/>
            </c:ext>
          </c:extLst>
        </c:ser>
        <c:ser>
          <c:idx val="0"/>
          <c:order val="1"/>
          <c:tx>
            <c:strRef>
              <c:f>'Ejercicios 4.19-4.52'!$C$302</c:f>
              <c:strCache>
                <c:ptCount val="1"/>
                <c:pt idx="0">
                  <c:v>DA</c:v>
                </c:pt>
              </c:strCache>
            </c:strRef>
          </c:tx>
          <c:spPr>
            <a:ln w="22225" cap="rnd">
              <a:solidFill>
                <a:schemeClr val="accent1"/>
              </a:solidFill>
              <a:prstDash val="sysDash"/>
              <a:round/>
            </a:ln>
            <a:effectLst/>
          </c:spPr>
          <c:marker>
            <c:symbol val="circle"/>
            <c:size val="6"/>
            <c:spPr>
              <a:solidFill>
                <a:schemeClr val="lt1"/>
              </a:solidFill>
              <a:ln w="15875">
                <a:solidFill>
                  <a:schemeClr val="accent1"/>
                </a:solidFill>
                <a:round/>
              </a:ln>
              <a:effectLst/>
            </c:spPr>
          </c:marker>
          <c:xVal>
            <c:numRef>
              <c:f>'Ejercicios 4.19-4.52'!$A$302:$A$304</c:f>
              <c:numCache>
                <c:formatCode>General</c:formatCode>
                <c:ptCount val="3"/>
                <c:pt idx="0">
                  <c:v>0</c:v>
                </c:pt>
                <c:pt idx="1">
                  <c:v>450</c:v>
                </c:pt>
                <c:pt idx="2">
                  <c:v>800</c:v>
                </c:pt>
              </c:numCache>
            </c:numRef>
          </c:xVal>
          <c:yVal>
            <c:numRef>
              <c:f>'Ejercicios 4.19-4.52'!$B$302:$B$304</c:f>
              <c:numCache>
                <c:formatCode>General</c:formatCode>
                <c:ptCount val="3"/>
                <c:pt idx="0">
                  <c:v>350</c:v>
                </c:pt>
                <c:pt idx="1">
                  <c:v>575</c:v>
                </c:pt>
                <c:pt idx="2">
                  <c:v>750</c:v>
                </c:pt>
              </c:numCache>
            </c:numRef>
          </c:yVal>
          <c:smooth val="0"/>
          <c:extLst>
            <c:ext xmlns:c16="http://schemas.microsoft.com/office/drawing/2014/chart" uri="{C3380CC4-5D6E-409C-BE32-E72D297353CC}">
              <c16:uniqueId val="{00000001-FE4A-4A0E-95D1-0C85784BFF5B}"/>
            </c:ext>
          </c:extLst>
        </c:ser>
        <c:ser>
          <c:idx val="1"/>
          <c:order val="2"/>
          <c:tx>
            <c:strRef>
              <c:f>'Ejercicios 4.19-4.52'!$C$310</c:f>
              <c:strCache>
                <c:ptCount val="1"/>
                <c:pt idx="0">
                  <c:v>G</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4.19-4.52'!$A$310:$A$312</c:f>
              <c:numCache>
                <c:formatCode>General</c:formatCode>
                <c:ptCount val="3"/>
                <c:pt idx="0">
                  <c:v>0</c:v>
                </c:pt>
                <c:pt idx="1">
                  <c:v>450</c:v>
                </c:pt>
                <c:pt idx="2">
                  <c:v>800</c:v>
                </c:pt>
              </c:numCache>
            </c:numRef>
          </c:xVal>
          <c:yVal>
            <c:numRef>
              <c:f>'Ejercicios 4.19-4.52'!$B$310:$B$312</c:f>
              <c:numCache>
                <c:formatCode>General</c:formatCode>
                <c:ptCount val="3"/>
                <c:pt idx="0">
                  <c:v>150</c:v>
                </c:pt>
                <c:pt idx="1">
                  <c:v>150</c:v>
                </c:pt>
                <c:pt idx="2">
                  <c:v>150</c:v>
                </c:pt>
              </c:numCache>
            </c:numRef>
          </c:yVal>
          <c:smooth val="0"/>
          <c:extLst>
            <c:ext xmlns:c16="http://schemas.microsoft.com/office/drawing/2014/chart" uri="{C3380CC4-5D6E-409C-BE32-E72D297353CC}">
              <c16:uniqueId val="{00000002-FE4A-4A0E-95D1-0C85784BFF5B}"/>
            </c:ext>
          </c:extLst>
        </c:ser>
        <c:ser>
          <c:idx val="3"/>
          <c:order val="3"/>
          <c:tx>
            <c:strRef>
              <c:f>'Ejercicios 4.19-4.52'!$C$314</c:f>
              <c:strCache>
                <c:ptCount val="1"/>
                <c:pt idx="0">
                  <c:v>I0+C0</c:v>
                </c:pt>
              </c:strCache>
            </c:strRef>
          </c:tx>
          <c:spPr>
            <a:ln w="22225" cap="rnd">
              <a:solidFill>
                <a:schemeClr val="accent4"/>
              </a:solidFill>
              <a:prstDash val="dash"/>
              <a:round/>
            </a:ln>
            <a:effectLst/>
          </c:spPr>
          <c:marker>
            <c:symbol val="circle"/>
            <c:size val="6"/>
            <c:spPr>
              <a:solidFill>
                <a:schemeClr val="lt1"/>
              </a:solidFill>
              <a:ln w="15875">
                <a:solidFill>
                  <a:schemeClr val="accent4"/>
                </a:solidFill>
                <a:round/>
              </a:ln>
              <a:effectLst/>
            </c:spPr>
          </c:marker>
          <c:xVal>
            <c:numRef>
              <c:f>'Ejercicios 4.19-4.52'!$A$314:$A$316</c:f>
              <c:numCache>
                <c:formatCode>General</c:formatCode>
                <c:ptCount val="3"/>
                <c:pt idx="0">
                  <c:v>0</c:v>
                </c:pt>
                <c:pt idx="1">
                  <c:v>450</c:v>
                </c:pt>
                <c:pt idx="2">
                  <c:v>800</c:v>
                </c:pt>
              </c:numCache>
            </c:numRef>
          </c:xVal>
          <c:yVal>
            <c:numRef>
              <c:f>'Ejercicios 4.19-4.52'!$B$314:$B$316</c:f>
              <c:numCache>
                <c:formatCode>General</c:formatCode>
                <c:ptCount val="3"/>
                <c:pt idx="0">
                  <c:v>200</c:v>
                </c:pt>
                <c:pt idx="1">
                  <c:v>200</c:v>
                </c:pt>
                <c:pt idx="2">
                  <c:v>200</c:v>
                </c:pt>
              </c:numCache>
            </c:numRef>
          </c:yVal>
          <c:smooth val="0"/>
          <c:extLst>
            <c:ext xmlns:c16="http://schemas.microsoft.com/office/drawing/2014/chart" uri="{C3380CC4-5D6E-409C-BE32-E72D297353CC}">
              <c16:uniqueId val="{00000003-FE4A-4A0E-95D1-0C85784BFF5B}"/>
            </c:ext>
          </c:extLst>
        </c:ser>
        <c:ser>
          <c:idx val="4"/>
          <c:order val="4"/>
          <c:tx>
            <c:strRef>
              <c:f>'Ejercicios 4.19-4.52'!$C$318</c:f>
              <c:strCache>
                <c:ptCount val="1"/>
                <c:pt idx="0">
                  <c:v>Equilibrio</c:v>
                </c:pt>
              </c:strCache>
            </c:strRef>
          </c:tx>
          <c:spPr>
            <a:ln w="22225" cap="rnd">
              <a:solidFill>
                <a:schemeClr val="accent5"/>
              </a:solidFill>
              <a:round/>
            </a:ln>
            <a:effectLst/>
          </c:spPr>
          <c:marker>
            <c:symbol val="circle"/>
            <c:size val="6"/>
            <c:spPr>
              <a:solidFill>
                <a:schemeClr val="lt1"/>
              </a:solidFill>
              <a:ln w="15875">
                <a:solidFill>
                  <a:schemeClr val="accent5"/>
                </a:solidFill>
                <a:round/>
              </a:ln>
              <a:effectLst/>
            </c:spPr>
          </c:marker>
          <c:xVal>
            <c:numRef>
              <c:f>'Ejercicios 4.19-4.52'!$A$318:$A$320</c:f>
              <c:numCache>
                <c:formatCode>General</c:formatCode>
                <c:ptCount val="3"/>
                <c:pt idx="0">
                  <c:v>0</c:v>
                </c:pt>
                <c:pt idx="1">
                  <c:v>700</c:v>
                </c:pt>
                <c:pt idx="2">
                  <c:v>800</c:v>
                </c:pt>
              </c:numCache>
            </c:numRef>
          </c:xVal>
          <c:yVal>
            <c:numRef>
              <c:f>'Ejercicios 4.19-4.52'!$B$318:$B$320</c:f>
              <c:numCache>
                <c:formatCode>General</c:formatCode>
                <c:ptCount val="3"/>
                <c:pt idx="0">
                  <c:v>0</c:v>
                </c:pt>
                <c:pt idx="1">
                  <c:v>700</c:v>
                </c:pt>
                <c:pt idx="2">
                  <c:v>800</c:v>
                </c:pt>
              </c:numCache>
            </c:numRef>
          </c:yVal>
          <c:smooth val="0"/>
          <c:extLst>
            <c:ext xmlns:c16="http://schemas.microsoft.com/office/drawing/2014/chart" uri="{C3380CC4-5D6E-409C-BE32-E72D297353CC}">
              <c16:uniqueId val="{00000004-FE4A-4A0E-95D1-0C85784BFF5B}"/>
            </c:ext>
          </c:extLst>
        </c:ser>
        <c:ser>
          <c:idx val="5"/>
          <c:order val="5"/>
          <c:tx>
            <c:strRef>
              <c:f>'Ejercicios 4.19-4.52'!$C$322</c:f>
              <c:strCache>
                <c:ptCount val="1"/>
                <c:pt idx="0">
                  <c:v>Distancia</c:v>
                </c:pt>
              </c:strCache>
            </c:strRef>
          </c:tx>
          <c:spPr>
            <a:ln w="22225" cap="rnd">
              <a:solidFill>
                <a:schemeClr val="accent6"/>
              </a:solidFill>
              <a:prstDash val="sysDot"/>
              <a:round/>
            </a:ln>
            <a:effectLst/>
          </c:spPr>
          <c:marker>
            <c:symbol val="circle"/>
            <c:size val="6"/>
            <c:spPr>
              <a:solidFill>
                <a:schemeClr val="lt1"/>
              </a:solidFill>
              <a:ln w="15875">
                <a:solidFill>
                  <a:schemeClr val="accent6"/>
                </a:solidFill>
                <a:round/>
              </a:ln>
              <a:effectLst/>
            </c:spPr>
          </c:marker>
          <c:xVal>
            <c:numRef>
              <c:f>'Ejercicios 4.19-4.52'!$A$322:$A$324</c:f>
              <c:numCache>
                <c:formatCode>General</c:formatCode>
                <c:ptCount val="3"/>
                <c:pt idx="0">
                  <c:v>450</c:v>
                </c:pt>
                <c:pt idx="1">
                  <c:v>450</c:v>
                </c:pt>
                <c:pt idx="2">
                  <c:v>450</c:v>
                </c:pt>
              </c:numCache>
            </c:numRef>
          </c:xVal>
          <c:yVal>
            <c:numRef>
              <c:f>'Ejercicios 4.19-4.52'!$B$322:$B$324</c:f>
              <c:numCache>
                <c:formatCode>General</c:formatCode>
                <c:ptCount val="3"/>
                <c:pt idx="0">
                  <c:v>575</c:v>
                </c:pt>
                <c:pt idx="1">
                  <c:v>450</c:v>
                </c:pt>
                <c:pt idx="2">
                  <c:v>350</c:v>
                </c:pt>
              </c:numCache>
            </c:numRef>
          </c:yVal>
          <c:smooth val="0"/>
          <c:extLst>
            <c:ext xmlns:c16="http://schemas.microsoft.com/office/drawing/2014/chart" uri="{C3380CC4-5D6E-409C-BE32-E72D297353CC}">
              <c16:uniqueId val="{00000005-FE4A-4A0E-95D1-0C85784BFF5B}"/>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4.19-4.52'!$A$329</c:f>
              <c:strCache>
                <c:ptCount val="1"/>
                <c:pt idx="0">
                  <c:v>Situación 1</c:v>
                </c:pt>
              </c:strCache>
            </c:strRef>
          </c:tx>
          <c:spPr>
            <a:ln w="22225" cap="rnd">
              <a:solidFill>
                <a:srgbClr val="FF0000"/>
              </a:solidFill>
              <a:round/>
            </a:ln>
            <a:effectLst/>
          </c:spPr>
          <c:marker>
            <c:symbol val="circle"/>
            <c:size val="6"/>
            <c:spPr>
              <a:solidFill>
                <a:schemeClr val="lt1"/>
              </a:solidFill>
              <a:ln w="15875">
                <a:solidFill>
                  <a:srgbClr val="FF0000"/>
                </a:solidFill>
                <a:round/>
              </a:ln>
              <a:effectLst/>
            </c:spPr>
          </c:marker>
          <c:xVal>
            <c:numRef>
              <c:f>'Ejercicios 4.19-4.52'!$A$330:$A$333</c:f>
              <c:numCache>
                <c:formatCode>General</c:formatCode>
                <c:ptCount val="4"/>
                <c:pt idx="0">
                  <c:v>0</c:v>
                </c:pt>
                <c:pt idx="1">
                  <c:v>2000</c:v>
                </c:pt>
                <c:pt idx="2">
                  <c:v>4000</c:v>
                </c:pt>
                <c:pt idx="3">
                  <c:v>8000</c:v>
                </c:pt>
              </c:numCache>
            </c:numRef>
          </c:xVal>
          <c:yVal>
            <c:numRef>
              <c:f>'Ejercicios 4.19-4.52'!$B$330:$B$333</c:f>
              <c:numCache>
                <c:formatCode>General</c:formatCode>
                <c:ptCount val="4"/>
                <c:pt idx="0">
                  <c:v>1600</c:v>
                </c:pt>
                <c:pt idx="1">
                  <c:v>2800</c:v>
                </c:pt>
                <c:pt idx="2">
                  <c:v>4000</c:v>
                </c:pt>
                <c:pt idx="3">
                  <c:v>6400</c:v>
                </c:pt>
              </c:numCache>
            </c:numRef>
          </c:yVal>
          <c:smooth val="0"/>
          <c:extLst>
            <c:ext xmlns:c16="http://schemas.microsoft.com/office/drawing/2014/chart" uri="{C3380CC4-5D6E-409C-BE32-E72D297353CC}">
              <c16:uniqueId val="{00000003-45A6-4705-B9F8-39BA995B6314}"/>
            </c:ext>
          </c:extLst>
        </c:ser>
        <c:ser>
          <c:idx val="4"/>
          <c:order val="1"/>
          <c:tx>
            <c:strRef>
              <c:f>'Ejercicios 4.19-4.52'!$C$318</c:f>
              <c:strCache>
                <c:ptCount val="1"/>
                <c:pt idx="0">
                  <c:v>Equilibrio</c:v>
                </c:pt>
              </c:strCache>
            </c:strRef>
          </c:tx>
          <c:spPr>
            <a:ln w="22225" cap="rnd">
              <a:solidFill>
                <a:schemeClr val="accent5"/>
              </a:solidFill>
              <a:round/>
            </a:ln>
            <a:effectLst/>
          </c:spPr>
          <c:marker>
            <c:symbol val="circle"/>
            <c:size val="6"/>
            <c:spPr>
              <a:solidFill>
                <a:schemeClr val="lt1"/>
              </a:solidFill>
              <a:ln w="15875">
                <a:solidFill>
                  <a:schemeClr val="accent5"/>
                </a:solidFill>
                <a:round/>
              </a:ln>
              <a:effectLst/>
            </c:spPr>
          </c:marker>
          <c:xVal>
            <c:numRef>
              <c:f>'Ejercicios 4.19-4.52'!$A$335:$A$336</c:f>
              <c:numCache>
                <c:formatCode>General</c:formatCode>
                <c:ptCount val="2"/>
                <c:pt idx="0">
                  <c:v>0</c:v>
                </c:pt>
                <c:pt idx="1">
                  <c:v>8000</c:v>
                </c:pt>
              </c:numCache>
            </c:numRef>
          </c:xVal>
          <c:yVal>
            <c:numRef>
              <c:f>'Ejercicios 4.19-4.52'!$B$335:$B$336</c:f>
              <c:numCache>
                <c:formatCode>General</c:formatCode>
                <c:ptCount val="2"/>
                <c:pt idx="0">
                  <c:v>0</c:v>
                </c:pt>
                <c:pt idx="1">
                  <c:v>8000</c:v>
                </c:pt>
              </c:numCache>
            </c:numRef>
          </c:yVal>
          <c:smooth val="0"/>
          <c:extLst>
            <c:ext xmlns:c16="http://schemas.microsoft.com/office/drawing/2014/chart" uri="{C3380CC4-5D6E-409C-BE32-E72D297353CC}">
              <c16:uniqueId val="{00000004-45A6-4705-B9F8-39BA995B6314}"/>
            </c:ext>
          </c:extLst>
        </c:ser>
        <c:ser>
          <c:idx val="5"/>
          <c:order val="2"/>
          <c:tx>
            <c:strRef>
              <c:f>'Ejercicios 4.19-4.52'!$C$329</c:f>
              <c:strCache>
                <c:ptCount val="1"/>
                <c:pt idx="0">
                  <c:v>Situación 2</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xVal>
            <c:numRef>
              <c:f>'Ejercicios 4.19-4.52'!$C$330:$C$333</c:f>
              <c:numCache>
                <c:formatCode>General</c:formatCode>
                <c:ptCount val="4"/>
                <c:pt idx="0">
                  <c:v>0</c:v>
                </c:pt>
                <c:pt idx="1">
                  <c:v>2000</c:v>
                </c:pt>
                <c:pt idx="2">
                  <c:v>4571.4285714285716</c:v>
                </c:pt>
                <c:pt idx="3">
                  <c:v>8000</c:v>
                </c:pt>
              </c:numCache>
            </c:numRef>
          </c:xVal>
          <c:yVal>
            <c:numRef>
              <c:f>'Ejercicios 4.19-4.52'!$D$330:$D$333</c:f>
              <c:numCache>
                <c:formatCode>General</c:formatCode>
                <c:ptCount val="4"/>
                <c:pt idx="0">
                  <c:v>1600</c:v>
                </c:pt>
                <c:pt idx="1">
                  <c:v>2900</c:v>
                </c:pt>
                <c:pt idx="2">
                  <c:v>4571.4285714285716</c:v>
                </c:pt>
                <c:pt idx="3">
                  <c:v>6800</c:v>
                </c:pt>
              </c:numCache>
            </c:numRef>
          </c:yVal>
          <c:smooth val="0"/>
          <c:extLst>
            <c:ext xmlns:c16="http://schemas.microsoft.com/office/drawing/2014/chart" uri="{C3380CC4-5D6E-409C-BE32-E72D297353CC}">
              <c16:uniqueId val="{00000005-45A6-4705-B9F8-39BA995B631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Gasto agregado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4.19-4.52'!$B$340</c:f>
              <c:strCache>
                <c:ptCount val="1"/>
                <c:pt idx="0">
                  <c:v>X</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4.19-4.52'!$A$341:$A$346</c:f>
              <c:numCache>
                <c:formatCode>General</c:formatCode>
                <c:ptCount val="6"/>
                <c:pt idx="0">
                  <c:v>300</c:v>
                </c:pt>
                <c:pt idx="1">
                  <c:v>320</c:v>
                </c:pt>
                <c:pt idx="2">
                  <c:v>340</c:v>
                </c:pt>
                <c:pt idx="3">
                  <c:v>360</c:v>
                </c:pt>
                <c:pt idx="4">
                  <c:v>380</c:v>
                </c:pt>
                <c:pt idx="5">
                  <c:v>400</c:v>
                </c:pt>
              </c:numCache>
            </c:numRef>
          </c:xVal>
          <c:yVal>
            <c:numRef>
              <c:f>'Ejercicios 4.19-4.52'!$B$341:$B$346</c:f>
              <c:numCache>
                <c:formatCode>General</c:formatCode>
                <c:ptCount val="6"/>
                <c:pt idx="0">
                  <c:v>50</c:v>
                </c:pt>
                <c:pt idx="1">
                  <c:v>50</c:v>
                </c:pt>
                <c:pt idx="2">
                  <c:v>50</c:v>
                </c:pt>
                <c:pt idx="3">
                  <c:v>50</c:v>
                </c:pt>
                <c:pt idx="4">
                  <c:v>50</c:v>
                </c:pt>
                <c:pt idx="5">
                  <c:v>50</c:v>
                </c:pt>
              </c:numCache>
            </c:numRef>
          </c:yVal>
          <c:smooth val="0"/>
          <c:extLst>
            <c:ext xmlns:c16="http://schemas.microsoft.com/office/drawing/2014/chart" uri="{C3380CC4-5D6E-409C-BE32-E72D297353CC}">
              <c16:uniqueId val="{00000000-4361-4DB7-B34F-728DD6086864}"/>
            </c:ext>
          </c:extLst>
        </c:ser>
        <c:ser>
          <c:idx val="4"/>
          <c:order val="1"/>
          <c:tx>
            <c:strRef>
              <c:f>'Ejercicios 4.19-4.52'!$C$340</c:f>
              <c:strCache>
                <c:ptCount val="1"/>
                <c:pt idx="0">
                  <c:v>M</c:v>
                </c:pt>
              </c:strCache>
            </c:strRef>
          </c:tx>
          <c:spPr>
            <a:ln w="22225" cap="rnd">
              <a:solidFill>
                <a:schemeClr val="accent5"/>
              </a:solidFill>
              <a:prstDash val="lgDash"/>
              <a:round/>
            </a:ln>
            <a:effectLst/>
          </c:spPr>
          <c:marker>
            <c:symbol val="circle"/>
            <c:size val="6"/>
            <c:spPr>
              <a:solidFill>
                <a:schemeClr val="lt1"/>
              </a:solidFill>
              <a:ln w="15875">
                <a:solidFill>
                  <a:schemeClr val="accent5"/>
                </a:solidFill>
                <a:round/>
              </a:ln>
              <a:effectLst/>
            </c:spPr>
          </c:marker>
          <c:xVal>
            <c:numRef>
              <c:f>'Ejercicios 4.19-4.52'!$A$341:$A$346</c:f>
              <c:numCache>
                <c:formatCode>General</c:formatCode>
                <c:ptCount val="6"/>
                <c:pt idx="0">
                  <c:v>300</c:v>
                </c:pt>
                <c:pt idx="1">
                  <c:v>320</c:v>
                </c:pt>
                <c:pt idx="2">
                  <c:v>340</c:v>
                </c:pt>
                <c:pt idx="3">
                  <c:v>360</c:v>
                </c:pt>
                <c:pt idx="4">
                  <c:v>380</c:v>
                </c:pt>
                <c:pt idx="5">
                  <c:v>400</c:v>
                </c:pt>
              </c:numCache>
            </c:numRef>
          </c:xVal>
          <c:yVal>
            <c:numRef>
              <c:f>'Ejercicios 4.19-4.52'!$C$341:$C$346</c:f>
              <c:numCache>
                <c:formatCode>General</c:formatCode>
                <c:ptCount val="6"/>
                <c:pt idx="0">
                  <c:v>35</c:v>
                </c:pt>
                <c:pt idx="1">
                  <c:v>40</c:v>
                </c:pt>
                <c:pt idx="2">
                  <c:v>45</c:v>
                </c:pt>
                <c:pt idx="3">
                  <c:v>50</c:v>
                </c:pt>
                <c:pt idx="4">
                  <c:v>55</c:v>
                </c:pt>
                <c:pt idx="5">
                  <c:v>60</c:v>
                </c:pt>
              </c:numCache>
            </c:numRef>
          </c:yVal>
          <c:smooth val="0"/>
          <c:extLst>
            <c:ext xmlns:c16="http://schemas.microsoft.com/office/drawing/2014/chart" uri="{C3380CC4-5D6E-409C-BE32-E72D297353CC}">
              <c16:uniqueId val="{00000001-4361-4DB7-B34F-728DD6086864}"/>
            </c:ext>
          </c:extLst>
        </c:ser>
        <c:ser>
          <c:idx val="5"/>
          <c:order val="2"/>
          <c:tx>
            <c:strRef>
              <c:f>'Ejercicios 4.19-4.52'!$D$340</c:f>
              <c:strCache>
                <c:ptCount val="1"/>
                <c:pt idx="0">
                  <c:v>X-M</c:v>
                </c:pt>
              </c:strCache>
            </c:strRef>
          </c:tx>
          <c:spPr>
            <a:ln w="22225" cap="rnd">
              <a:solidFill>
                <a:schemeClr val="accent6"/>
              </a:solidFill>
              <a:prstDash val="lgDashDotDot"/>
              <a:round/>
            </a:ln>
            <a:effectLst/>
          </c:spPr>
          <c:marker>
            <c:symbol val="circle"/>
            <c:size val="6"/>
            <c:spPr>
              <a:solidFill>
                <a:schemeClr val="lt1"/>
              </a:solidFill>
              <a:ln w="15875">
                <a:solidFill>
                  <a:schemeClr val="accent6"/>
                </a:solidFill>
                <a:round/>
              </a:ln>
              <a:effectLst/>
            </c:spPr>
          </c:marker>
          <c:xVal>
            <c:numRef>
              <c:f>'Ejercicios 4.19-4.52'!$A$341:$A$346</c:f>
              <c:numCache>
                <c:formatCode>General</c:formatCode>
                <c:ptCount val="6"/>
                <c:pt idx="0">
                  <c:v>300</c:v>
                </c:pt>
                <c:pt idx="1">
                  <c:v>320</c:v>
                </c:pt>
                <c:pt idx="2">
                  <c:v>340</c:v>
                </c:pt>
                <c:pt idx="3">
                  <c:v>360</c:v>
                </c:pt>
                <c:pt idx="4">
                  <c:v>380</c:v>
                </c:pt>
                <c:pt idx="5">
                  <c:v>400</c:v>
                </c:pt>
              </c:numCache>
            </c:numRef>
          </c:xVal>
          <c:yVal>
            <c:numRef>
              <c:f>'Ejercicios 4.19-4.52'!$D$341:$D$346</c:f>
              <c:numCache>
                <c:formatCode>General</c:formatCode>
                <c:ptCount val="6"/>
                <c:pt idx="0">
                  <c:v>15</c:v>
                </c:pt>
                <c:pt idx="1">
                  <c:v>10</c:v>
                </c:pt>
                <c:pt idx="2">
                  <c:v>5</c:v>
                </c:pt>
                <c:pt idx="3">
                  <c:v>0</c:v>
                </c:pt>
                <c:pt idx="4">
                  <c:v>-5</c:v>
                </c:pt>
                <c:pt idx="5">
                  <c:v>-10</c:v>
                </c:pt>
              </c:numCache>
            </c:numRef>
          </c:yVal>
          <c:smooth val="0"/>
          <c:extLst>
            <c:ext xmlns:c16="http://schemas.microsoft.com/office/drawing/2014/chart" uri="{C3380CC4-5D6E-409C-BE32-E72D297353CC}">
              <c16:uniqueId val="{00000002-4361-4DB7-B34F-728DD6086864}"/>
            </c:ext>
          </c:extLst>
        </c:ser>
        <c:dLbls>
          <c:showLegendKey val="0"/>
          <c:showVal val="0"/>
          <c:showCatName val="0"/>
          <c:showSerName val="0"/>
          <c:showPercent val="0"/>
          <c:showBubbleSize val="0"/>
        </c:dLbls>
        <c:axId val="689605439"/>
        <c:axId val="634792095"/>
      </c:scatterChart>
      <c:valAx>
        <c:axId val="689605439"/>
        <c:scaling>
          <c:orientation val="minMax"/>
          <c:min val="30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2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4.19-4.52'!$B$355</c:f>
              <c:strCache>
                <c:ptCount val="1"/>
                <c:pt idx="0">
                  <c:v>X</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4.19-4.52'!$A$356:$A$361</c:f>
              <c:numCache>
                <c:formatCode>General</c:formatCode>
                <c:ptCount val="6"/>
                <c:pt idx="0">
                  <c:v>800</c:v>
                </c:pt>
                <c:pt idx="1">
                  <c:v>810</c:v>
                </c:pt>
                <c:pt idx="2">
                  <c:v>820</c:v>
                </c:pt>
                <c:pt idx="3">
                  <c:v>830</c:v>
                </c:pt>
                <c:pt idx="4">
                  <c:v>840</c:v>
                </c:pt>
                <c:pt idx="5">
                  <c:v>850</c:v>
                </c:pt>
              </c:numCache>
            </c:numRef>
          </c:xVal>
          <c:yVal>
            <c:numRef>
              <c:f>'Ejercicios 4.19-4.52'!$B$356:$B$361</c:f>
              <c:numCache>
                <c:formatCode>General</c:formatCode>
                <c:ptCount val="6"/>
                <c:pt idx="0">
                  <c:v>200</c:v>
                </c:pt>
                <c:pt idx="1">
                  <c:v>200</c:v>
                </c:pt>
                <c:pt idx="2">
                  <c:v>200</c:v>
                </c:pt>
                <c:pt idx="3">
                  <c:v>200</c:v>
                </c:pt>
                <c:pt idx="4">
                  <c:v>200</c:v>
                </c:pt>
                <c:pt idx="5">
                  <c:v>200</c:v>
                </c:pt>
              </c:numCache>
            </c:numRef>
          </c:yVal>
          <c:smooth val="0"/>
          <c:extLst>
            <c:ext xmlns:c16="http://schemas.microsoft.com/office/drawing/2014/chart" uri="{C3380CC4-5D6E-409C-BE32-E72D297353CC}">
              <c16:uniqueId val="{00000000-E576-4E90-A0C4-5380A89CABA7}"/>
            </c:ext>
          </c:extLst>
        </c:ser>
        <c:ser>
          <c:idx val="4"/>
          <c:order val="1"/>
          <c:tx>
            <c:strRef>
              <c:f>'Ejercicios 4.19-4.52'!$C$355</c:f>
              <c:strCache>
                <c:ptCount val="1"/>
                <c:pt idx="0">
                  <c:v>M</c:v>
                </c:pt>
              </c:strCache>
            </c:strRef>
          </c:tx>
          <c:spPr>
            <a:ln w="22225" cap="rnd">
              <a:solidFill>
                <a:schemeClr val="accent5"/>
              </a:solidFill>
              <a:prstDash val="lgDash"/>
              <a:round/>
            </a:ln>
            <a:effectLst/>
          </c:spPr>
          <c:marker>
            <c:symbol val="circle"/>
            <c:size val="6"/>
            <c:spPr>
              <a:solidFill>
                <a:schemeClr val="lt1"/>
              </a:solidFill>
              <a:ln w="15875">
                <a:solidFill>
                  <a:schemeClr val="accent5"/>
                </a:solidFill>
                <a:round/>
              </a:ln>
              <a:effectLst/>
            </c:spPr>
          </c:marker>
          <c:xVal>
            <c:numRef>
              <c:f>'Ejercicios 4.19-4.52'!$A$356:$A$361</c:f>
              <c:numCache>
                <c:formatCode>General</c:formatCode>
                <c:ptCount val="6"/>
                <c:pt idx="0">
                  <c:v>800</c:v>
                </c:pt>
                <c:pt idx="1">
                  <c:v>810</c:v>
                </c:pt>
                <c:pt idx="2">
                  <c:v>820</c:v>
                </c:pt>
                <c:pt idx="3">
                  <c:v>830</c:v>
                </c:pt>
                <c:pt idx="4">
                  <c:v>840</c:v>
                </c:pt>
                <c:pt idx="5">
                  <c:v>850</c:v>
                </c:pt>
              </c:numCache>
            </c:numRef>
          </c:xVal>
          <c:yVal>
            <c:numRef>
              <c:f>'Ejercicios 4.19-4.52'!$C$356:$C$361</c:f>
              <c:numCache>
                <c:formatCode>General</c:formatCode>
                <c:ptCount val="6"/>
                <c:pt idx="0">
                  <c:v>150</c:v>
                </c:pt>
                <c:pt idx="1">
                  <c:v>175</c:v>
                </c:pt>
                <c:pt idx="2">
                  <c:v>200</c:v>
                </c:pt>
                <c:pt idx="3">
                  <c:v>225</c:v>
                </c:pt>
                <c:pt idx="4">
                  <c:v>250</c:v>
                </c:pt>
                <c:pt idx="5">
                  <c:v>275</c:v>
                </c:pt>
              </c:numCache>
            </c:numRef>
          </c:yVal>
          <c:smooth val="0"/>
          <c:extLst>
            <c:ext xmlns:c16="http://schemas.microsoft.com/office/drawing/2014/chart" uri="{C3380CC4-5D6E-409C-BE32-E72D297353CC}">
              <c16:uniqueId val="{00000001-E576-4E90-A0C4-5380A89CABA7}"/>
            </c:ext>
          </c:extLst>
        </c:ser>
        <c:ser>
          <c:idx val="5"/>
          <c:order val="2"/>
          <c:tx>
            <c:strRef>
              <c:f>'Ejercicios 4.19-4.52'!$D$355</c:f>
              <c:strCache>
                <c:ptCount val="1"/>
                <c:pt idx="0">
                  <c:v>X-M</c:v>
                </c:pt>
              </c:strCache>
            </c:strRef>
          </c:tx>
          <c:spPr>
            <a:ln w="22225" cap="rnd">
              <a:solidFill>
                <a:schemeClr val="accent6"/>
              </a:solidFill>
              <a:prstDash val="lgDashDotDot"/>
              <a:round/>
            </a:ln>
            <a:effectLst/>
          </c:spPr>
          <c:marker>
            <c:symbol val="circle"/>
            <c:size val="6"/>
            <c:spPr>
              <a:solidFill>
                <a:schemeClr val="lt1"/>
              </a:solidFill>
              <a:ln w="15875">
                <a:solidFill>
                  <a:schemeClr val="accent6"/>
                </a:solidFill>
                <a:round/>
              </a:ln>
              <a:effectLst/>
            </c:spPr>
          </c:marker>
          <c:xVal>
            <c:numRef>
              <c:f>'Ejercicios 4.19-4.52'!$A$356:$A$361</c:f>
              <c:numCache>
                <c:formatCode>General</c:formatCode>
                <c:ptCount val="6"/>
                <c:pt idx="0">
                  <c:v>800</c:v>
                </c:pt>
                <c:pt idx="1">
                  <c:v>810</c:v>
                </c:pt>
                <c:pt idx="2">
                  <c:v>820</c:v>
                </c:pt>
                <c:pt idx="3">
                  <c:v>830</c:v>
                </c:pt>
                <c:pt idx="4">
                  <c:v>840</c:v>
                </c:pt>
                <c:pt idx="5">
                  <c:v>850</c:v>
                </c:pt>
              </c:numCache>
            </c:numRef>
          </c:xVal>
          <c:yVal>
            <c:numRef>
              <c:f>'Ejercicios 4.19-4.52'!$D$356:$D$361</c:f>
              <c:numCache>
                <c:formatCode>General</c:formatCode>
                <c:ptCount val="6"/>
                <c:pt idx="0">
                  <c:v>50</c:v>
                </c:pt>
                <c:pt idx="1">
                  <c:v>25</c:v>
                </c:pt>
                <c:pt idx="2">
                  <c:v>0</c:v>
                </c:pt>
                <c:pt idx="3">
                  <c:v>-25</c:v>
                </c:pt>
                <c:pt idx="4">
                  <c:v>-50</c:v>
                </c:pt>
                <c:pt idx="5">
                  <c:v>-75</c:v>
                </c:pt>
              </c:numCache>
            </c:numRef>
          </c:yVal>
          <c:smooth val="0"/>
          <c:extLst>
            <c:ext xmlns:c16="http://schemas.microsoft.com/office/drawing/2014/chart" uri="{C3380CC4-5D6E-409C-BE32-E72D297353CC}">
              <c16:uniqueId val="{00000002-E576-4E90-A0C4-5380A89CABA7}"/>
            </c:ext>
          </c:extLst>
        </c:ser>
        <c:dLbls>
          <c:showLegendKey val="0"/>
          <c:showVal val="0"/>
          <c:showCatName val="0"/>
          <c:showSerName val="0"/>
          <c:showPercent val="0"/>
          <c:showBubbleSize val="0"/>
        </c:dLbls>
        <c:axId val="689605439"/>
        <c:axId val="634792095"/>
      </c:scatterChart>
      <c:valAx>
        <c:axId val="689605439"/>
        <c:scaling>
          <c:orientation val="minMax"/>
          <c:min val="800"/>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4.19-4.52'!$A$372</c:f>
              <c:strCache>
                <c:ptCount val="1"/>
                <c:pt idx="0">
                  <c:v>DA</c:v>
                </c:pt>
              </c:strCache>
            </c:strRef>
          </c:tx>
          <c:spPr>
            <a:ln w="22225" cap="rnd">
              <a:solidFill>
                <a:schemeClr val="accent4"/>
              </a:solidFill>
              <a:prstDash val="dash"/>
              <a:round/>
            </a:ln>
            <a:effectLst/>
          </c:spPr>
          <c:marker>
            <c:symbol val="circle"/>
            <c:size val="6"/>
            <c:spPr>
              <a:solidFill>
                <a:schemeClr val="lt1"/>
              </a:solidFill>
              <a:ln w="15875">
                <a:solidFill>
                  <a:srgbClr val="FF0000"/>
                </a:solidFill>
                <a:round/>
              </a:ln>
              <a:effectLst/>
            </c:spPr>
          </c:marker>
          <c:xVal>
            <c:numRef>
              <c:f>'Ejercicios 4.19-4.52'!$B$373:$B$375</c:f>
              <c:numCache>
                <c:formatCode>General</c:formatCode>
                <c:ptCount val="3"/>
                <c:pt idx="0">
                  <c:v>0</c:v>
                </c:pt>
                <c:pt idx="1">
                  <c:v>933.33333333333337</c:v>
                </c:pt>
                <c:pt idx="2">
                  <c:v>1800</c:v>
                </c:pt>
              </c:numCache>
            </c:numRef>
          </c:xVal>
          <c:yVal>
            <c:numRef>
              <c:f>'Ejercicios 4.19-4.52'!$A$373:$A$375</c:f>
              <c:numCache>
                <c:formatCode>General</c:formatCode>
                <c:ptCount val="3"/>
                <c:pt idx="0">
                  <c:v>700</c:v>
                </c:pt>
                <c:pt idx="1">
                  <c:v>933.33333333333337</c:v>
                </c:pt>
                <c:pt idx="2">
                  <c:v>1150</c:v>
                </c:pt>
              </c:numCache>
            </c:numRef>
          </c:yVal>
          <c:smooth val="0"/>
          <c:extLst>
            <c:ext xmlns:c16="http://schemas.microsoft.com/office/drawing/2014/chart" uri="{C3380CC4-5D6E-409C-BE32-E72D297353CC}">
              <c16:uniqueId val="{00000000-DFB7-4105-961F-A67E41E4B85F}"/>
            </c:ext>
          </c:extLst>
        </c:ser>
        <c:ser>
          <c:idx val="4"/>
          <c:order val="1"/>
          <c:tx>
            <c:strRef>
              <c:f>'Ejercicios 4.19-4.52'!$C$372</c:f>
              <c:strCache>
                <c:ptCount val="1"/>
                <c:pt idx="0">
                  <c:v>C</c:v>
                </c:pt>
              </c:strCache>
            </c:strRef>
          </c:tx>
          <c:spPr>
            <a:ln w="22225" cap="rnd">
              <a:solidFill>
                <a:schemeClr val="accent5"/>
              </a:solidFill>
              <a:prstDash val="lgDash"/>
              <a:round/>
            </a:ln>
            <a:effectLst/>
          </c:spPr>
          <c:marker>
            <c:symbol val="circle"/>
            <c:size val="6"/>
            <c:spPr>
              <a:solidFill>
                <a:schemeClr val="lt1"/>
              </a:solidFill>
              <a:ln w="15875">
                <a:solidFill>
                  <a:schemeClr val="accent5"/>
                </a:solidFill>
                <a:round/>
              </a:ln>
              <a:effectLst/>
            </c:spPr>
          </c:marker>
          <c:xVal>
            <c:numRef>
              <c:f>'Ejercicios 4.19-4.52'!$B$373:$B$375</c:f>
              <c:numCache>
                <c:formatCode>General</c:formatCode>
                <c:ptCount val="3"/>
                <c:pt idx="0">
                  <c:v>0</c:v>
                </c:pt>
                <c:pt idx="1">
                  <c:v>933.33333333333337</c:v>
                </c:pt>
                <c:pt idx="2">
                  <c:v>1800</c:v>
                </c:pt>
              </c:numCache>
            </c:numRef>
          </c:xVal>
          <c:yVal>
            <c:numRef>
              <c:f>'Ejercicios 4.19-4.52'!$C$373:$C$375</c:f>
              <c:numCache>
                <c:formatCode>General</c:formatCode>
                <c:ptCount val="3"/>
                <c:pt idx="0">
                  <c:v>500</c:v>
                </c:pt>
                <c:pt idx="1">
                  <c:v>733.33333333333337</c:v>
                </c:pt>
                <c:pt idx="2">
                  <c:v>950</c:v>
                </c:pt>
              </c:numCache>
            </c:numRef>
          </c:yVal>
          <c:smooth val="0"/>
          <c:extLst>
            <c:ext xmlns:c16="http://schemas.microsoft.com/office/drawing/2014/chart" uri="{C3380CC4-5D6E-409C-BE32-E72D297353CC}">
              <c16:uniqueId val="{00000001-DFB7-4105-961F-A67E41E4B85F}"/>
            </c:ext>
          </c:extLst>
        </c:ser>
        <c:ser>
          <c:idx val="5"/>
          <c:order val="2"/>
          <c:tx>
            <c:strRef>
              <c:f>'Ejercicios 4.19-4.52'!$D$370</c:f>
              <c:strCache>
                <c:ptCount val="1"/>
                <c:pt idx="0">
                  <c:v>A</c:v>
                </c:pt>
              </c:strCache>
            </c:strRef>
          </c:tx>
          <c:spPr>
            <a:ln w="22225" cap="rnd">
              <a:solidFill>
                <a:schemeClr val="accent6"/>
              </a:solidFill>
              <a:prstDash val="solid"/>
              <a:round/>
            </a:ln>
            <a:effectLst/>
          </c:spPr>
          <c:marker>
            <c:symbol val="circle"/>
            <c:size val="6"/>
            <c:spPr>
              <a:solidFill>
                <a:schemeClr val="lt1"/>
              </a:solidFill>
              <a:ln w="15875">
                <a:solidFill>
                  <a:schemeClr val="accent6"/>
                </a:solidFill>
                <a:round/>
              </a:ln>
              <a:effectLst/>
            </c:spPr>
          </c:marker>
          <c:xVal>
            <c:numRef>
              <c:f>'Ejercicios 4.19-4.52'!$B$373:$B$375</c:f>
              <c:numCache>
                <c:formatCode>General</c:formatCode>
                <c:ptCount val="3"/>
                <c:pt idx="0">
                  <c:v>0</c:v>
                </c:pt>
                <c:pt idx="1">
                  <c:v>933.33333333333337</c:v>
                </c:pt>
                <c:pt idx="2">
                  <c:v>1800</c:v>
                </c:pt>
              </c:numCache>
            </c:numRef>
          </c:xVal>
          <c:yVal>
            <c:numRef>
              <c:f>'Ejercicios 4.19-4.52'!$D$373:$D$375</c:f>
              <c:numCache>
                <c:formatCode>General</c:formatCode>
                <c:ptCount val="3"/>
                <c:pt idx="0">
                  <c:v>700</c:v>
                </c:pt>
                <c:pt idx="1">
                  <c:v>700</c:v>
                </c:pt>
                <c:pt idx="2">
                  <c:v>700</c:v>
                </c:pt>
              </c:numCache>
            </c:numRef>
          </c:yVal>
          <c:smooth val="0"/>
          <c:extLst>
            <c:ext xmlns:c16="http://schemas.microsoft.com/office/drawing/2014/chart" uri="{C3380CC4-5D6E-409C-BE32-E72D297353CC}">
              <c16:uniqueId val="{00000002-DFB7-4105-961F-A67E41E4B85F}"/>
            </c:ext>
          </c:extLst>
        </c:ser>
        <c:ser>
          <c:idx val="0"/>
          <c:order val="3"/>
          <c:tx>
            <c:strRef>
              <c:f>'Ejercicios 4.19-4.52'!$E$372</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4.19-4.52'!$B$373:$B$375</c:f>
              <c:numCache>
                <c:formatCode>General</c:formatCode>
                <c:ptCount val="3"/>
                <c:pt idx="0">
                  <c:v>0</c:v>
                </c:pt>
                <c:pt idx="1">
                  <c:v>933.33333333333337</c:v>
                </c:pt>
                <c:pt idx="2">
                  <c:v>1800</c:v>
                </c:pt>
              </c:numCache>
            </c:numRef>
          </c:xVal>
          <c:yVal>
            <c:numRef>
              <c:f>'Ejercicios 4.19-4.52'!$E$373:$E$375</c:f>
              <c:numCache>
                <c:formatCode>General</c:formatCode>
                <c:ptCount val="3"/>
                <c:pt idx="0">
                  <c:v>0</c:v>
                </c:pt>
                <c:pt idx="1">
                  <c:v>933.33333333333337</c:v>
                </c:pt>
                <c:pt idx="2">
                  <c:v>1800</c:v>
                </c:pt>
              </c:numCache>
            </c:numRef>
          </c:yVal>
          <c:smooth val="0"/>
          <c:extLst>
            <c:ext xmlns:c16="http://schemas.microsoft.com/office/drawing/2014/chart" uri="{C3380CC4-5D6E-409C-BE32-E72D297353CC}">
              <c16:uniqueId val="{00000003-DFB7-4105-961F-A67E41E4B85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4.19-4.52'!$A$387</c:f>
              <c:strCache>
                <c:ptCount val="1"/>
                <c:pt idx="0">
                  <c:v>DA</c:v>
                </c:pt>
              </c:strCache>
            </c:strRef>
          </c:tx>
          <c:spPr>
            <a:ln w="22225" cap="rnd">
              <a:solidFill>
                <a:schemeClr val="accent4"/>
              </a:solidFill>
              <a:prstDash val="dash"/>
              <a:round/>
            </a:ln>
            <a:effectLst/>
          </c:spPr>
          <c:marker>
            <c:symbol val="circle"/>
            <c:size val="6"/>
            <c:spPr>
              <a:solidFill>
                <a:schemeClr val="lt1"/>
              </a:solidFill>
              <a:ln w="15875">
                <a:solidFill>
                  <a:srgbClr val="FF0000"/>
                </a:solidFill>
                <a:round/>
              </a:ln>
              <a:effectLst/>
            </c:spPr>
          </c:marker>
          <c:xVal>
            <c:numRef>
              <c:f>'Ejercicios 4.19-4.52'!$B$388:$B$390</c:f>
              <c:numCache>
                <c:formatCode>General</c:formatCode>
                <c:ptCount val="3"/>
                <c:pt idx="0">
                  <c:v>0</c:v>
                </c:pt>
                <c:pt idx="1">
                  <c:v>1400</c:v>
                </c:pt>
                <c:pt idx="2">
                  <c:v>2800</c:v>
                </c:pt>
              </c:numCache>
            </c:numRef>
          </c:xVal>
          <c:yVal>
            <c:numRef>
              <c:f>'Ejercicios 4.19-4.52'!$A$388:$A$390</c:f>
              <c:numCache>
                <c:formatCode>General</c:formatCode>
                <c:ptCount val="3"/>
                <c:pt idx="0">
                  <c:v>700</c:v>
                </c:pt>
                <c:pt idx="1">
                  <c:v>1400</c:v>
                </c:pt>
                <c:pt idx="2">
                  <c:v>2100</c:v>
                </c:pt>
              </c:numCache>
            </c:numRef>
          </c:yVal>
          <c:smooth val="0"/>
          <c:extLst>
            <c:ext xmlns:c16="http://schemas.microsoft.com/office/drawing/2014/chart" uri="{C3380CC4-5D6E-409C-BE32-E72D297353CC}">
              <c16:uniqueId val="{00000000-E664-4C3C-951D-DCFAB1F951DF}"/>
            </c:ext>
          </c:extLst>
        </c:ser>
        <c:ser>
          <c:idx val="4"/>
          <c:order val="1"/>
          <c:tx>
            <c:strRef>
              <c:f>'Ejercicios 4.19-4.52'!$C$387</c:f>
              <c:strCache>
                <c:ptCount val="1"/>
                <c:pt idx="0">
                  <c:v>C</c:v>
                </c:pt>
              </c:strCache>
            </c:strRef>
          </c:tx>
          <c:spPr>
            <a:ln w="22225" cap="rnd">
              <a:solidFill>
                <a:schemeClr val="accent5"/>
              </a:solidFill>
              <a:prstDash val="lgDash"/>
              <a:round/>
            </a:ln>
            <a:effectLst/>
          </c:spPr>
          <c:marker>
            <c:symbol val="circle"/>
            <c:size val="6"/>
            <c:spPr>
              <a:solidFill>
                <a:schemeClr val="lt1"/>
              </a:solidFill>
              <a:ln w="15875">
                <a:solidFill>
                  <a:schemeClr val="accent5"/>
                </a:solidFill>
                <a:round/>
              </a:ln>
              <a:effectLst/>
            </c:spPr>
          </c:marker>
          <c:xVal>
            <c:numRef>
              <c:f>'Ejercicios 4.19-4.52'!$B$388:$B$390</c:f>
              <c:numCache>
                <c:formatCode>General</c:formatCode>
                <c:ptCount val="3"/>
                <c:pt idx="0">
                  <c:v>0</c:v>
                </c:pt>
                <c:pt idx="1">
                  <c:v>1400</c:v>
                </c:pt>
                <c:pt idx="2">
                  <c:v>2800</c:v>
                </c:pt>
              </c:numCache>
            </c:numRef>
          </c:xVal>
          <c:yVal>
            <c:numRef>
              <c:f>'Ejercicios 4.19-4.52'!$C$388:$C$390</c:f>
              <c:numCache>
                <c:formatCode>General</c:formatCode>
                <c:ptCount val="3"/>
                <c:pt idx="0">
                  <c:v>500</c:v>
                </c:pt>
                <c:pt idx="1">
                  <c:v>1200</c:v>
                </c:pt>
                <c:pt idx="2">
                  <c:v>1900</c:v>
                </c:pt>
              </c:numCache>
            </c:numRef>
          </c:yVal>
          <c:smooth val="0"/>
          <c:extLst>
            <c:ext xmlns:c16="http://schemas.microsoft.com/office/drawing/2014/chart" uri="{C3380CC4-5D6E-409C-BE32-E72D297353CC}">
              <c16:uniqueId val="{00000001-E664-4C3C-951D-DCFAB1F951DF}"/>
            </c:ext>
          </c:extLst>
        </c:ser>
        <c:ser>
          <c:idx val="5"/>
          <c:order val="2"/>
          <c:tx>
            <c:strRef>
              <c:f>'Ejercicios 4.19-4.52'!$D$385</c:f>
              <c:strCache>
                <c:ptCount val="1"/>
                <c:pt idx="0">
                  <c:v>A</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xVal>
            <c:numRef>
              <c:f>'Ejercicios 4.19-4.52'!$B$388:$B$390</c:f>
              <c:numCache>
                <c:formatCode>General</c:formatCode>
                <c:ptCount val="3"/>
                <c:pt idx="0">
                  <c:v>0</c:v>
                </c:pt>
                <c:pt idx="1">
                  <c:v>1400</c:v>
                </c:pt>
                <c:pt idx="2">
                  <c:v>2800</c:v>
                </c:pt>
              </c:numCache>
            </c:numRef>
          </c:xVal>
          <c:yVal>
            <c:numRef>
              <c:f>'Ejercicios 4.19-4.52'!$D$388:$D$390</c:f>
              <c:numCache>
                <c:formatCode>General</c:formatCode>
                <c:ptCount val="3"/>
                <c:pt idx="0">
                  <c:v>700</c:v>
                </c:pt>
                <c:pt idx="1">
                  <c:v>700</c:v>
                </c:pt>
                <c:pt idx="2">
                  <c:v>700</c:v>
                </c:pt>
              </c:numCache>
            </c:numRef>
          </c:yVal>
          <c:smooth val="0"/>
          <c:extLst>
            <c:ext xmlns:c16="http://schemas.microsoft.com/office/drawing/2014/chart" uri="{C3380CC4-5D6E-409C-BE32-E72D297353CC}">
              <c16:uniqueId val="{00000002-E664-4C3C-951D-DCFAB1F951DF}"/>
            </c:ext>
          </c:extLst>
        </c:ser>
        <c:ser>
          <c:idx val="0"/>
          <c:order val="3"/>
          <c:tx>
            <c:strRef>
              <c:f>'Ejercicios 4.19-4.52'!$E$387</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4.19-4.52'!$B$388:$B$390</c:f>
              <c:numCache>
                <c:formatCode>General</c:formatCode>
                <c:ptCount val="3"/>
                <c:pt idx="0">
                  <c:v>0</c:v>
                </c:pt>
                <c:pt idx="1">
                  <c:v>1400</c:v>
                </c:pt>
                <c:pt idx="2">
                  <c:v>2800</c:v>
                </c:pt>
              </c:numCache>
            </c:numRef>
          </c:xVal>
          <c:yVal>
            <c:numRef>
              <c:f>'Ejercicios 4.19-4.52'!$E$388:$E$390</c:f>
              <c:numCache>
                <c:formatCode>General</c:formatCode>
                <c:ptCount val="3"/>
                <c:pt idx="0">
                  <c:v>0</c:v>
                </c:pt>
                <c:pt idx="1">
                  <c:v>1400</c:v>
                </c:pt>
                <c:pt idx="2">
                  <c:v>2800</c:v>
                </c:pt>
              </c:numCache>
            </c:numRef>
          </c:yVal>
          <c:smooth val="0"/>
          <c:extLst>
            <c:ext xmlns:c16="http://schemas.microsoft.com/office/drawing/2014/chart" uri="{C3380CC4-5D6E-409C-BE32-E72D297353CC}">
              <c16:uniqueId val="{00000003-E664-4C3C-951D-DCFAB1F951D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4.19-4.52'!$A$402</c:f>
              <c:strCache>
                <c:ptCount val="1"/>
                <c:pt idx="0">
                  <c:v>DA</c:v>
                </c:pt>
              </c:strCache>
            </c:strRef>
          </c:tx>
          <c:spPr>
            <a:ln w="22225" cap="rnd">
              <a:solidFill>
                <a:schemeClr val="accent4"/>
              </a:solidFill>
              <a:prstDash val="dash"/>
              <a:round/>
            </a:ln>
            <a:effectLst/>
          </c:spPr>
          <c:marker>
            <c:symbol val="circle"/>
            <c:size val="6"/>
            <c:spPr>
              <a:solidFill>
                <a:schemeClr val="lt1"/>
              </a:solidFill>
              <a:ln w="15875">
                <a:solidFill>
                  <a:srgbClr val="FF0000"/>
                </a:solidFill>
                <a:round/>
              </a:ln>
              <a:effectLst/>
            </c:spPr>
          </c:marker>
          <c:xVal>
            <c:numRef>
              <c:f>'Ejercicios 4.19-4.52'!$B$403:$B$405</c:f>
              <c:numCache>
                <c:formatCode>General</c:formatCode>
                <c:ptCount val="3"/>
                <c:pt idx="0">
                  <c:v>0</c:v>
                </c:pt>
                <c:pt idx="1">
                  <c:v>2800</c:v>
                </c:pt>
                <c:pt idx="2">
                  <c:v>5600</c:v>
                </c:pt>
              </c:numCache>
            </c:numRef>
          </c:xVal>
          <c:yVal>
            <c:numRef>
              <c:f>'Ejercicios 4.19-4.52'!$A$403:$A$405</c:f>
              <c:numCache>
                <c:formatCode>General</c:formatCode>
                <c:ptCount val="3"/>
                <c:pt idx="0">
                  <c:v>700</c:v>
                </c:pt>
                <c:pt idx="1">
                  <c:v>2800</c:v>
                </c:pt>
                <c:pt idx="2">
                  <c:v>4900</c:v>
                </c:pt>
              </c:numCache>
            </c:numRef>
          </c:yVal>
          <c:smooth val="0"/>
          <c:extLst>
            <c:ext xmlns:c16="http://schemas.microsoft.com/office/drawing/2014/chart" uri="{C3380CC4-5D6E-409C-BE32-E72D297353CC}">
              <c16:uniqueId val="{00000000-877A-4495-8643-53B11CF89759}"/>
            </c:ext>
          </c:extLst>
        </c:ser>
        <c:ser>
          <c:idx val="4"/>
          <c:order val="1"/>
          <c:tx>
            <c:strRef>
              <c:f>'Ejercicios 4.19-4.52'!$C$402</c:f>
              <c:strCache>
                <c:ptCount val="1"/>
                <c:pt idx="0">
                  <c:v>C</c:v>
                </c:pt>
              </c:strCache>
            </c:strRef>
          </c:tx>
          <c:spPr>
            <a:ln w="22225" cap="rnd">
              <a:solidFill>
                <a:schemeClr val="accent5"/>
              </a:solidFill>
              <a:prstDash val="lgDash"/>
              <a:round/>
            </a:ln>
            <a:effectLst/>
          </c:spPr>
          <c:marker>
            <c:symbol val="circle"/>
            <c:size val="6"/>
            <c:spPr>
              <a:solidFill>
                <a:schemeClr val="lt1"/>
              </a:solidFill>
              <a:ln w="15875">
                <a:solidFill>
                  <a:schemeClr val="accent5"/>
                </a:solidFill>
                <a:round/>
              </a:ln>
              <a:effectLst/>
            </c:spPr>
          </c:marker>
          <c:xVal>
            <c:numRef>
              <c:f>'Ejercicios 4.19-4.52'!$B$403:$B$405</c:f>
              <c:numCache>
                <c:formatCode>General</c:formatCode>
                <c:ptCount val="3"/>
                <c:pt idx="0">
                  <c:v>0</c:v>
                </c:pt>
                <c:pt idx="1">
                  <c:v>2800</c:v>
                </c:pt>
                <c:pt idx="2">
                  <c:v>5600</c:v>
                </c:pt>
              </c:numCache>
            </c:numRef>
          </c:xVal>
          <c:yVal>
            <c:numRef>
              <c:f>'Ejercicios 4.19-4.52'!$C$403:$C$405</c:f>
              <c:numCache>
                <c:formatCode>General</c:formatCode>
                <c:ptCount val="3"/>
                <c:pt idx="0">
                  <c:v>500</c:v>
                </c:pt>
                <c:pt idx="1">
                  <c:v>2600</c:v>
                </c:pt>
                <c:pt idx="2">
                  <c:v>4700</c:v>
                </c:pt>
              </c:numCache>
            </c:numRef>
          </c:yVal>
          <c:smooth val="0"/>
          <c:extLst>
            <c:ext xmlns:c16="http://schemas.microsoft.com/office/drawing/2014/chart" uri="{C3380CC4-5D6E-409C-BE32-E72D297353CC}">
              <c16:uniqueId val="{00000001-877A-4495-8643-53B11CF89759}"/>
            </c:ext>
          </c:extLst>
        </c:ser>
        <c:ser>
          <c:idx val="5"/>
          <c:order val="2"/>
          <c:tx>
            <c:strRef>
              <c:f>'Ejercicios 4.19-4.52'!$D$400</c:f>
              <c:strCache>
                <c:ptCount val="1"/>
                <c:pt idx="0">
                  <c:v>A</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xVal>
            <c:numRef>
              <c:f>'Ejercicios 4.19-4.52'!$B$403:$B$405</c:f>
              <c:numCache>
                <c:formatCode>General</c:formatCode>
                <c:ptCount val="3"/>
                <c:pt idx="0">
                  <c:v>0</c:v>
                </c:pt>
                <c:pt idx="1">
                  <c:v>2800</c:v>
                </c:pt>
                <c:pt idx="2">
                  <c:v>5600</c:v>
                </c:pt>
              </c:numCache>
            </c:numRef>
          </c:xVal>
          <c:yVal>
            <c:numRef>
              <c:f>'Ejercicios 4.19-4.52'!$D$403:$D$406</c:f>
              <c:numCache>
                <c:formatCode>General</c:formatCode>
                <c:ptCount val="4"/>
                <c:pt idx="0">
                  <c:v>700</c:v>
                </c:pt>
                <c:pt idx="1">
                  <c:v>700</c:v>
                </c:pt>
                <c:pt idx="2">
                  <c:v>700</c:v>
                </c:pt>
              </c:numCache>
            </c:numRef>
          </c:yVal>
          <c:smooth val="0"/>
          <c:extLst>
            <c:ext xmlns:c16="http://schemas.microsoft.com/office/drawing/2014/chart" uri="{C3380CC4-5D6E-409C-BE32-E72D297353CC}">
              <c16:uniqueId val="{00000002-877A-4495-8643-53B11CF89759}"/>
            </c:ext>
          </c:extLst>
        </c:ser>
        <c:ser>
          <c:idx val="0"/>
          <c:order val="3"/>
          <c:tx>
            <c:strRef>
              <c:f>'Ejercicios 4.19-4.52'!$E$402</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4.19-4.52'!$B$403:$B$405</c:f>
              <c:numCache>
                <c:formatCode>General</c:formatCode>
                <c:ptCount val="3"/>
                <c:pt idx="0">
                  <c:v>0</c:v>
                </c:pt>
                <c:pt idx="1">
                  <c:v>2800</c:v>
                </c:pt>
                <c:pt idx="2">
                  <c:v>5600</c:v>
                </c:pt>
              </c:numCache>
            </c:numRef>
          </c:xVal>
          <c:yVal>
            <c:numRef>
              <c:f>'Ejercicios 4.19-4.52'!$E$403:$E$405</c:f>
              <c:numCache>
                <c:formatCode>General</c:formatCode>
                <c:ptCount val="3"/>
                <c:pt idx="0">
                  <c:v>0</c:v>
                </c:pt>
                <c:pt idx="1">
                  <c:v>2800</c:v>
                </c:pt>
                <c:pt idx="2">
                  <c:v>5600</c:v>
                </c:pt>
              </c:numCache>
            </c:numRef>
          </c:yVal>
          <c:smooth val="0"/>
          <c:extLst>
            <c:ext xmlns:c16="http://schemas.microsoft.com/office/drawing/2014/chart" uri="{C3380CC4-5D6E-409C-BE32-E72D297353CC}">
              <c16:uniqueId val="{00000003-877A-4495-8643-53B11CF8975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4.19-4.52'!$A$417</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4.19-4.52'!$B$418:$B$420</c:f>
              <c:numCache>
                <c:formatCode>General</c:formatCode>
                <c:ptCount val="3"/>
                <c:pt idx="0">
                  <c:v>0</c:v>
                </c:pt>
                <c:pt idx="1">
                  <c:v>1046.1538461538462</c:v>
                </c:pt>
                <c:pt idx="2">
                  <c:v>2092</c:v>
                </c:pt>
              </c:numCache>
            </c:numRef>
          </c:xVal>
          <c:yVal>
            <c:numRef>
              <c:f>'Ejercicios 4.19-4.52'!$A$418:$A$420</c:f>
              <c:numCache>
                <c:formatCode>General</c:formatCode>
                <c:ptCount val="3"/>
                <c:pt idx="0">
                  <c:v>850</c:v>
                </c:pt>
                <c:pt idx="1">
                  <c:v>1046.1538461538462</c:v>
                </c:pt>
                <c:pt idx="2">
                  <c:v>1242.25</c:v>
                </c:pt>
              </c:numCache>
            </c:numRef>
          </c:yVal>
          <c:smooth val="0"/>
          <c:extLst>
            <c:ext xmlns:c16="http://schemas.microsoft.com/office/drawing/2014/chart" uri="{C3380CC4-5D6E-409C-BE32-E72D297353CC}">
              <c16:uniqueId val="{00000000-9035-4605-96C5-A402FE41925B}"/>
            </c:ext>
          </c:extLst>
        </c:ser>
        <c:ser>
          <c:idx val="0"/>
          <c:order val="1"/>
          <c:tx>
            <c:strRef>
              <c:f>'Ejercicios 4.19-4.52'!$D$417</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4.19-4.52'!$B$418:$B$420</c:f>
              <c:numCache>
                <c:formatCode>General</c:formatCode>
                <c:ptCount val="3"/>
                <c:pt idx="0">
                  <c:v>0</c:v>
                </c:pt>
                <c:pt idx="1">
                  <c:v>1046.1538461538462</c:v>
                </c:pt>
                <c:pt idx="2">
                  <c:v>2092</c:v>
                </c:pt>
              </c:numCache>
            </c:numRef>
          </c:xVal>
          <c:yVal>
            <c:numRef>
              <c:f>'Ejercicios 4.19-4.52'!$C$418:$C$420</c:f>
              <c:numCache>
                <c:formatCode>General</c:formatCode>
                <c:ptCount val="3"/>
                <c:pt idx="0">
                  <c:v>0</c:v>
                </c:pt>
                <c:pt idx="1">
                  <c:v>1046.1538461538462</c:v>
                </c:pt>
                <c:pt idx="2">
                  <c:v>2092</c:v>
                </c:pt>
              </c:numCache>
            </c:numRef>
          </c:yVal>
          <c:smooth val="0"/>
          <c:extLst>
            <c:ext xmlns:c16="http://schemas.microsoft.com/office/drawing/2014/chart" uri="{C3380CC4-5D6E-409C-BE32-E72D297353CC}">
              <c16:uniqueId val="{00000003-9035-4605-96C5-A402FE41925B}"/>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4.19-4.52'!$A$434</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4.19-4.52'!$B$435:$B$437</c:f>
              <c:numCache>
                <c:formatCode>General</c:formatCode>
                <c:ptCount val="3"/>
                <c:pt idx="0">
                  <c:v>0</c:v>
                </c:pt>
                <c:pt idx="1">
                  <c:v>1014.9253731343283</c:v>
                </c:pt>
                <c:pt idx="2">
                  <c:v>2030</c:v>
                </c:pt>
              </c:numCache>
            </c:numRef>
          </c:xVal>
          <c:yVal>
            <c:numRef>
              <c:f>'Ejercicios 4.19-4.52'!$A$435:$A$437</c:f>
              <c:numCache>
                <c:formatCode>General</c:formatCode>
                <c:ptCount val="3"/>
                <c:pt idx="0">
                  <c:v>850</c:v>
                </c:pt>
                <c:pt idx="1">
                  <c:v>1014.9253731343283</c:v>
                </c:pt>
                <c:pt idx="2">
                  <c:v>1179.875</c:v>
                </c:pt>
              </c:numCache>
            </c:numRef>
          </c:yVal>
          <c:smooth val="0"/>
          <c:extLst>
            <c:ext xmlns:c16="http://schemas.microsoft.com/office/drawing/2014/chart" uri="{C3380CC4-5D6E-409C-BE32-E72D297353CC}">
              <c16:uniqueId val="{00000000-82C5-4795-8561-7C5F10DDB079}"/>
            </c:ext>
          </c:extLst>
        </c:ser>
        <c:ser>
          <c:idx val="0"/>
          <c:order val="1"/>
          <c:tx>
            <c:strRef>
              <c:f>'Ejercicios 4.19-4.52'!$D$434</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4.19-4.52'!$B$435:$B$437</c:f>
              <c:numCache>
                <c:formatCode>General</c:formatCode>
                <c:ptCount val="3"/>
                <c:pt idx="0">
                  <c:v>0</c:v>
                </c:pt>
                <c:pt idx="1">
                  <c:v>1014.9253731343283</c:v>
                </c:pt>
                <c:pt idx="2">
                  <c:v>2030</c:v>
                </c:pt>
              </c:numCache>
            </c:numRef>
          </c:xVal>
          <c:yVal>
            <c:numRef>
              <c:f>'Ejercicios 4.19-4.52'!$C$435:$C$437</c:f>
              <c:numCache>
                <c:formatCode>General</c:formatCode>
                <c:ptCount val="3"/>
                <c:pt idx="0">
                  <c:v>0</c:v>
                </c:pt>
                <c:pt idx="1">
                  <c:v>1014.9253731343283</c:v>
                </c:pt>
                <c:pt idx="2">
                  <c:v>2030</c:v>
                </c:pt>
              </c:numCache>
            </c:numRef>
          </c:yVal>
          <c:smooth val="0"/>
          <c:extLst>
            <c:ext xmlns:c16="http://schemas.microsoft.com/office/drawing/2014/chart" uri="{C3380CC4-5D6E-409C-BE32-E72D297353CC}">
              <c16:uniqueId val="{00000001-82C5-4795-8561-7C5F10DDB07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4.19-4.52'!$A$448</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4.19-4.52'!$B$449:$B$451</c:f>
              <c:numCache>
                <c:formatCode>General</c:formatCode>
                <c:ptCount val="3"/>
                <c:pt idx="0">
                  <c:v>0</c:v>
                </c:pt>
                <c:pt idx="1">
                  <c:v>1000</c:v>
                </c:pt>
                <c:pt idx="2">
                  <c:v>2000</c:v>
                </c:pt>
              </c:numCache>
            </c:numRef>
          </c:xVal>
          <c:yVal>
            <c:numRef>
              <c:f>'Ejercicios 4.19-4.52'!$A$449:$A$451</c:f>
              <c:numCache>
                <c:formatCode>General</c:formatCode>
                <c:ptCount val="3"/>
                <c:pt idx="0">
                  <c:v>850</c:v>
                </c:pt>
                <c:pt idx="1">
                  <c:v>1000</c:v>
                </c:pt>
                <c:pt idx="2">
                  <c:v>1150</c:v>
                </c:pt>
              </c:numCache>
            </c:numRef>
          </c:yVal>
          <c:smooth val="0"/>
          <c:extLst>
            <c:ext xmlns:c16="http://schemas.microsoft.com/office/drawing/2014/chart" uri="{C3380CC4-5D6E-409C-BE32-E72D297353CC}">
              <c16:uniqueId val="{00000000-1DF5-4C84-822F-8EC6C2AF2E08}"/>
            </c:ext>
          </c:extLst>
        </c:ser>
        <c:ser>
          <c:idx val="0"/>
          <c:order val="1"/>
          <c:tx>
            <c:strRef>
              <c:f>'Ejercicios 4.19-4.52'!$D$448</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4.19-4.52'!$B$449:$B$451</c:f>
              <c:numCache>
                <c:formatCode>General</c:formatCode>
                <c:ptCount val="3"/>
                <c:pt idx="0">
                  <c:v>0</c:v>
                </c:pt>
                <c:pt idx="1">
                  <c:v>1000</c:v>
                </c:pt>
                <c:pt idx="2">
                  <c:v>2000</c:v>
                </c:pt>
              </c:numCache>
            </c:numRef>
          </c:xVal>
          <c:yVal>
            <c:numRef>
              <c:f>'Ejercicios 4.19-4.52'!$C$449:$C$451</c:f>
              <c:numCache>
                <c:formatCode>General</c:formatCode>
                <c:ptCount val="3"/>
                <c:pt idx="0">
                  <c:v>0</c:v>
                </c:pt>
                <c:pt idx="1">
                  <c:v>1000</c:v>
                </c:pt>
                <c:pt idx="2">
                  <c:v>2000</c:v>
                </c:pt>
              </c:numCache>
            </c:numRef>
          </c:yVal>
          <c:smooth val="0"/>
          <c:extLst>
            <c:ext xmlns:c16="http://schemas.microsoft.com/office/drawing/2014/chart" uri="{C3380CC4-5D6E-409C-BE32-E72D297353CC}">
              <c16:uniqueId val="{00000001-1DF5-4C84-822F-8EC6C2AF2E0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4.19-4.52'!$A$476</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4.19-4.52'!$B$481:$B$483</c:f>
              <c:numCache>
                <c:formatCode>General</c:formatCode>
                <c:ptCount val="3"/>
                <c:pt idx="0">
                  <c:v>0</c:v>
                </c:pt>
                <c:pt idx="1">
                  <c:v>109.37500000000001</c:v>
                </c:pt>
                <c:pt idx="2">
                  <c:v>218.75000000000003</c:v>
                </c:pt>
              </c:numCache>
            </c:numRef>
          </c:xVal>
          <c:yVal>
            <c:numRef>
              <c:f>'Ejercicios 4.19-4.52'!$B$477:$B$479</c:f>
              <c:numCache>
                <c:formatCode>General</c:formatCode>
                <c:ptCount val="3"/>
                <c:pt idx="0">
                  <c:v>72.1875</c:v>
                </c:pt>
                <c:pt idx="1">
                  <c:v>109.375</c:v>
                </c:pt>
                <c:pt idx="2">
                  <c:v>146.5625</c:v>
                </c:pt>
              </c:numCache>
            </c:numRef>
          </c:yVal>
          <c:smooth val="0"/>
          <c:extLst>
            <c:ext xmlns:c16="http://schemas.microsoft.com/office/drawing/2014/chart" uri="{C3380CC4-5D6E-409C-BE32-E72D297353CC}">
              <c16:uniqueId val="{00000000-A98E-45E5-B500-EE54B60248B0}"/>
            </c:ext>
          </c:extLst>
        </c:ser>
        <c:ser>
          <c:idx val="0"/>
          <c:order val="1"/>
          <c:tx>
            <c:strRef>
              <c:f>'Ejercicios 4.19-4.52'!$A$471</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4.19-4.52'!$B$481:$B$483</c:f>
              <c:numCache>
                <c:formatCode>General</c:formatCode>
                <c:ptCount val="3"/>
                <c:pt idx="0">
                  <c:v>0</c:v>
                </c:pt>
                <c:pt idx="1">
                  <c:v>109.37500000000001</c:v>
                </c:pt>
                <c:pt idx="2">
                  <c:v>218.75000000000003</c:v>
                </c:pt>
              </c:numCache>
            </c:numRef>
          </c:xVal>
          <c:yVal>
            <c:numRef>
              <c:f>'Ejercicios 4.19-4.52'!$B$481:$B$483</c:f>
              <c:numCache>
                <c:formatCode>General</c:formatCode>
                <c:ptCount val="3"/>
                <c:pt idx="0">
                  <c:v>0</c:v>
                </c:pt>
                <c:pt idx="1">
                  <c:v>109.37500000000001</c:v>
                </c:pt>
                <c:pt idx="2">
                  <c:v>218.75000000000003</c:v>
                </c:pt>
              </c:numCache>
            </c:numRef>
          </c:yVal>
          <c:smooth val="0"/>
          <c:extLst>
            <c:ext xmlns:c16="http://schemas.microsoft.com/office/drawing/2014/chart" uri="{C3380CC4-5D6E-409C-BE32-E72D297353CC}">
              <c16:uniqueId val="{00000001-A98E-45E5-B500-EE54B60248B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4.19-4.52'!$A$476</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4.19-4.52'!$C$481:$C$483</c:f>
              <c:numCache>
                <c:formatCode>0</c:formatCode>
                <c:ptCount val="3"/>
                <c:pt idx="0" formatCode="General">
                  <c:v>0</c:v>
                </c:pt>
                <c:pt idx="1">
                  <c:v>103.96039603960396</c:v>
                </c:pt>
                <c:pt idx="2">
                  <c:v>207.92079207920793</c:v>
                </c:pt>
              </c:numCache>
            </c:numRef>
          </c:xVal>
          <c:yVal>
            <c:numRef>
              <c:f>'Ejercicios 4.19-4.52'!$C$477:$C$479</c:f>
              <c:numCache>
                <c:formatCode>0</c:formatCode>
                <c:ptCount val="3"/>
                <c:pt idx="0" formatCode="General">
                  <c:v>73.8</c:v>
                </c:pt>
                <c:pt idx="1">
                  <c:v>103.94851485148514</c:v>
                </c:pt>
                <c:pt idx="2">
                  <c:v>134.09702970297027</c:v>
                </c:pt>
              </c:numCache>
            </c:numRef>
          </c:yVal>
          <c:smooth val="0"/>
          <c:extLst>
            <c:ext xmlns:c16="http://schemas.microsoft.com/office/drawing/2014/chart" uri="{C3380CC4-5D6E-409C-BE32-E72D297353CC}">
              <c16:uniqueId val="{00000000-46EA-4868-9C91-C3327DAAFE5C}"/>
            </c:ext>
          </c:extLst>
        </c:ser>
        <c:ser>
          <c:idx val="0"/>
          <c:order val="1"/>
          <c:tx>
            <c:strRef>
              <c:f>'Ejercicios 4.19-4.52'!$A$471</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4.19-4.52'!$C$481:$C$483</c:f>
              <c:numCache>
                <c:formatCode>0</c:formatCode>
                <c:ptCount val="3"/>
                <c:pt idx="0" formatCode="General">
                  <c:v>0</c:v>
                </c:pt>
                <c:pt idx="1">
                  <c:v>103.96039603960396</c:v>
                </c:pt>
                <c:pt idx="2">
                  <c:v>207.92079207920793</c:v>
                </c:pt>
              </c:numCache>
            </c:numRef>
          </c:xVal>
          <c:yVal>
            <c:numRef>
              <c:f>'Ejercicios 4.19-4.52'!$C$481:$C$483</c:f>
              <c:numCache>
                <c:formatCode>0</c:formatCode>
                <c:ptCount val="3"/>
                <c:pt idx="0" formatCode="General">
                  <c:v>0</c:v>
                </c:pt>
                <c:pt idx="1">
                  <c:v>103.96039603960396</c:v>
                </c:pt>
                <c:pt idx="2">
                  <c:v>207.92079207920793</c:v>
                </c:pt>
              </c:numCache>
            </c:numRef>
          </c:yVal>
          <c:smooth val="0"/>
          <c:extLst>
            <c:ext xmlns:c16="http://schemas.microsoft.com/office/drawing/2014/chart" uri="{C3380CC4-5D6E-409C-BE32-E72D297353CC}">
              <c16:uniqueId val="{00000001-46EA-4868-9C91-C3327DAAFE5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4.19-4.52'!$A$476</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4.19-4.52'!$D$481:$D$483</c:f>
              <c:numCache>
                <c:formatCode>0</c:formatCode>
                <c:ptCount val="3"/>
                <c:pt idx="0" formatCode="General">
                  <c:v>0</c:v>
                </c:pt>
                <c:pt idx="1">
                  <c:v>99.056603773584897</c:v>
                </c:pt>
                <c:pt idx="2">
                  <c:v>198.11320754716979</c:v>
                </c:pt>
              </c:numCache>
            </c:numRef>
          </c:xVal>
          <c:yVal>
            <c:numRef>
              <c:f>'Ejercicios 4.19-4.52'!$D$477:$D$479</c:f>
              <c:numCache>
                <c:formatCode>0</c:formatCode>
                <c:ptCount val="3"/>
                <c:pt idx="0" formatCode="General">
                  <c:v>75.3</c:v>
                </c:pt>
                <c:pt idx="1">
                  <c:v>99.073584905660368</c:v>
                </c:pt>
                <c:pt idx="2">
                  <c:v>122.84716981132077</c:v>
                </c:pt>
              </c:numCache>
            </c:numRef>
          </c:yVal>
          <c:smooth val="0"/>
          <c:extLst>
            <c:ext xmlns:c16="http://schemas.microsoft.com/office/drawing/2014/chart" uri="{C3380CC4-5D6E-409C-BE32-E72D297353CC}">
              <c16:uniqueId val="{00000000-478F-41EE-BE4B-7C7490600F21}"/>
            </c:ext>
          </c:extLst>
        </c:ser>
        <c:ser>
          <c:idx val="0"/>
          <c:order val="1"/>
          <c:tx>
            <c:strRef>
              <c:f>'Ejercicios 4.19-4.52'!$A$471</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4.19-4.52'!$D$481:$D$483</c:f>
              <c:numCache>
                <c:formatCode>0</c:formatCode>
                <c:ptCount val="3"/>
                <c:pt idx="0" formatCode="General">
                  <c:v>0</c:v>
                </c:pt>
                <c:pt idx="1">
                  <c:v>99.056603773584897</c:v>
                </c:pt>
                <c:pt idx="2">
                  <c:v>198.11320754716979</c:v>
                </c:pt>
              </c:numCache>
            </c:numRef>
          </c:xVal>
          <c:yVal>
            <c:numRef>
              <c:f>'Ejercicios 4.19-4.52'!$D$481:$D$483</c:f>
              <c:numCache>
                <c:formatCode>0</c:formatCode>
                <c:ptCount val="3"/>
                <c:pt idx="0" formatCode="General">
                  <c:v>0</c:v>
                </c:pt>
                <c:pt idx="1">
                  <c:v>99.056603773584897</c:v>
                </c:pt>
                <c:pt idx="2">
                  <c:v>198.11320754716979</c:v>
                </c:pt>
              </c:numCache>
            </c:numRef>
          </c:yVal>
          <c:smooth val="0"/>
          <c:extLst>
            <c:ext xmlns:c16="http://schemas.microsoft.com/office/drawing/2014/chart" uri="{C3380CC4-5D6E-409C-BE32-E72D297353CC}">
              <c16:uniqueId val="{00000001-478F-41EE-BE4B-7C7490600F2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4.19-4.52'!$A$494</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4.19-4.52'!$B$499:$B$501</c:f>
              <c:numCache>
                <c:formatCode>General</c:formatCode>
                <c:ptCount val="3"/>
                <c:pt idx="0">
                  <c:v>0</c:v>
                </c:pt>
                <c:pt idx="1">
                  <c:v>600</c:v>
                </c:pt>
                <c:pt idx="2">
                  <c:v>1200</c:v>
                </c:pt>
              </c:numCache>
            </c:numRef>
          </c:xVal>
          <c:yVal>
            <c:numRef>
              <c:f>'Ejercicios 4.19-4.52'!$B$495:$B$497</c:f>
              <c:numCache>
                <c:formatCode>General</c:formatCode>
                <c:ptCount val="3"/>
                <c:pt idx="0">
                  <c:v>400</c:v>
                </c:pt>
                <c:pt idx="1">
                  <c:v>600</c:v>
                </c:pt>
                <c:pt idx="2">
                  <c:v>800</c:v>
                </c:pt>
              </c:numCache>
            </c:numRef>
          </c:yVal>
          <c:smooth val="0"/>
          <c:extLst>
            <c:ext xmlns:c16="http://schemas.microsoft.com/office/drawing/2014/chart" uri="{C3380CC4-5D6E-409C-BE32-E72D297353CC}">
              <c16:uniqueId val="{00000000-B3CA-4D6A-AE4A-99DCF598E17A}"/>
            </c:ext>
          </c:extLst>
        </c:ser>
        <c:ser>
          <c:idx val="0"/>
          <c:order val="1"/>
          <c:tx>
            <c:strRef>
              <c:f>'Ejercicios 4.19-4.52'!$A$500</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4.19-4.52'!$B$499:$B$501</c:f>
              <c:numCache>
                <c:formatCode>General</c:formatCode>
                <c:ptCount val="3"/>
                <c:pt idx="0">
                  <c:v>0</c:v>
                </c:pt>
                <c:pt idx="1">
                  <c:v>600</c:v>
                </c:pt>
                <c:pt idx="2">
                  <c:v>1200</c:v>
                </c:pt>
              </c:numCache>
            </c:numRef>
          </c:xVal>
          <c:yVal>
            <c:numRef>
              <c:f>'Ejercicios 4.19-4.52'!$B$499:$B$501</c:f>
              <c:numCache>
                <c:formatCode>General</c:formatCode>
                <c:ptCount val="3"/>
                <c:pt idx="0">
                  <c:v>0</c:v>
                </c:pt>
                <c:pt idx="1">
                  <c:v>600</c:v>
                </c:pt>
                <c:pt idx="2">
                  <c:v>1200</c:v>
                </c:pt>
              </c:numCache>
            </c:numRef>
          </c:yVal>
          <c:smooth val="0"/>
          <c:extLst>
            <c:ext xmlns:c16="http://schemas.microsoft.com/office/drawing/2014/chart" uri="{C3380CC4-5D6E-409C-BE32-E72D297353CC}">
              <c16:uniqueId val="{00000001-B3CA-4D6A-AE4A-99DCF598E17A}"/>
            </c:ext>
          </c:extLst>
        </c:ser>
        <c:ser>
          <c:idx val="1"/>
          <c:order val="2"/>
          <c:tx>
            <c:strRef>
              <c:f>'Ejercicios 4.19-4.52'!$A$502</c:f>
              <c:strCache>
                <c:ptCount val="1"/>
                <c:pt idx="0">
                  <c:v>C</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4.19-4.52'!$B$499:$B$501</c:f>
              <c:numCache>
                <c:formatCode>General</c:formatCode>
                <c:ptCount val="3"/>
                <c:pt idx="0">
                  <c:v>0</c:v>
                </c:pt>
                <c:pt idx="1">
                  <c:v>600</c:v>
                </c:pt>
                <c:pt idx="2">
                  <c:v>1200</c:v>
                </c:pt>
              </c:numCache>
            </c:numRef>
          </c:xVal>
          <c:yVal>
            <c:numRef>
              <c:f>'Ejercicios 4.19-4.52'!$B$503:$B$505</c:f>
              <c:numCache>
                <c:formatCode>General</c:formatCode>
                <c:ptCount val="3"/>
                <c:pt idx="0">
                  <c:v>300</c:v>
                </c:pt>
                <c:pt idx="1">
                  <c:v>500</c:v>
                </c:pt>
                <c:pt idx="2">
                  <c:v>700</c:v>
                </c:pt>
              </c:numCache>
            </c:numRef>
          </c:yVal>
          <c:smooth val="0"/>
          <c:extLst>
            <c:ext xmlns:c16="http://schemas.microsoft.com/office/drawing/2014/chart" uri="{C3380CC4-5D6E-409C-BE32-E72D297353CC}">
              <c16:uniqueId val="{00000002-B3CA-4D6A-AE4A-99DCF598E17A}"/>
            </c:ext>
          </c:extLst>
        </c:ser>
        <c:ser>
          <c:idx val="2"/>
          <c:order val="3"/>
          <c:tx>
            <c:strRef>
              <c:f>'Ejercicios 4.19-4.52'!$A$487</c:f>
              <c:strCache>
                <c:ptCount val="1"/>
                <c:pt idx="0">
                  <c:v>A</c:v>
                </c:pt>
              </c:strCache>
            </c:strRef>
          </c:tx>
          <c:spPr>
            <a:ln w="22225" cap="rnd">
              <a:solidFill>
                <a:schemeClr val="accent3"/>
              </a:solidFill>
              <a:prstDash val="lgDash"/>
              <a:round/>
            </a:ln>
            <a:effectLst/>
          </c:spPr>
          <c:marker>
            <c:symbol val="circle"/>
            <c:size val="6"/>
            <c:spPr>
              <a:solidFill>
                <a:schemeClr val="lt1"/>
              </a:solidFill>
              <a:ln w="15875">
                <a:solidFill>
                  <a:schemeClr val="accent3"/>
                </a:solidFill>
                <a:round/>
              </a:ln>
              <a:effectLst/>
            </c:spPr>
          </c:marker>
          <c:xVal>
            <c:numRef>
              <c:f>'Ejercicios 4.19-4.52'!$B$499:$B$501</c:f>
              <c:numCache>
                <c:formatCode>General</c:formatCode>
                <c:ptCount val="3"/>
                <c:pt idx="0">
                  <c:v>0</c:v>
                </c:pt>
                <c:pt idx="1">
                  <c:v>600</c:v>
                </c:pt>
                <c:pt idx="2">
                  <c:v>1200</c:v>
                </c:pt>
              </c:numCache>
            </c:numRef>
          </c:xVal>
          <c:yVal>
            <c:numRef>
              <c:f>'Ejercicios 4.19-4.52'!$B$487:$B$489</c:f>
              <c:numCache>
                <c:formatCode>General</c:formatCode>
                <c:ptCount val="3"/>
                <c:pt idx="0">
                  <c:v>400</c:v>
                </c:pt>
                <c:pt idx="1">
                  <c:v>400</c:v>
                </c:pt>
                <c:pt idx="2">
                  <c:v>400</c:v>
                </c:pt>
              </c:numCache>
            </c:numRef>
          </c:yVal>
          <c:smooth val="0"/>
          <c:extLst>
            <c:ext xmlns:c16="http://schemas.microsoft.com/office/drawing/2014/chart" uri="{C3380CC4-5D6E-409C-BE32-E72D297353CC}">
              <c16:uniqueId val="{00000003-B3CA-4D6A-AE4A-99DCF598E17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4.19-4.52'!$A$494</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4.19-4.52'!$C$499:$C$501</c:f>
              <c:numCache>
                <c:formatCode>General</c:formatCode>
                <c:ptCount val="3"/>
                <c:pt idx="0">
                  <c:v>0</c:v>
                </c:pt>
                <c:pt idx="1">
                  <c:v>800</c:v>
                </c:pt>
                <c:pt idx="2">
                  <c:v>1600</c:v>
                </c:pt>
              </c:numCache>
            </c:numRef>
          </c:xVal>
          <c:yVal>
            <c:numRef>
              <c:f>'Ejercicios 4.19-4.52'!$C$495:$C$497</c:f>
              <c:numCache>
                <c:formatCode>General</c:formatCode>
                <c:ptCount val="3"/>
                <c:pt idx="0">
                  <c:v>450</c:v>
                </c:pt>
                <c:pt idx="1">
                  <c:v>800</c:v>
                </c:pt>
                <c:pt idx="2">
                  <c:v>1150</c:v>
                </c:pt>
              </c:numCache>
            </c:numRef>
          </c:yVal>
          <c:smooth val="0"/>
          <c:extLst>
            <c:ext xmlns:c16="http://schemas.microsoft.com/office/drawing/2014/chart" uri="{C3380CC4-5D6E-409C-BE32-E72D297353CC}">
              <c16:uniqueId val="{00000000-3F90-420E-B247-1D5457BB7C19}"/>
            </c:ext>
          </c:extLst>
        </c:ser>
        <c:ser>
          <c:idx val="0"/>
          <c:order val="1"/>
          <c:tx>
            <c:strRef>
              <c:f>'Ejercicios 4.19-4.52'!$A$500</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4.19-4.52'!$C$499:$C$501</c:f>
              <c:numCache>
                <c:formatCode>General</c:formatCode>
                <c:ptCount val="3"/>
                <c:pt idx="0">
                  <c:v>0</c:v>
                </c:pt>
                <c:pt idx="1">
                  <c:v>800</c:v>
                </c:pt>
                <c:pt idx="2">
                  <c:v>1600</c:v>
                </c:pt>
              </c:numCache>
            </c:numRef>
          </c:xVal>
          <c:yVal>
            <c:numRef>
              <c:f>'Ejercicios 4.19-4.52'!$C$499:$C$501</c:f>
              <c:numCache>
                <c:formatCode>General</c:formatCode>
                <c:ptCount val="3"/>
                <c:pt idx="0">
                  <c:v>0</c:v>
                </c:pt>
                <c:pt idx="1">
                  <c:v>800</c:v>
                </c:pt>
                <c:pt idx="2">
                  <c:v>1600</c:v>
                </c:pt>
              </c:numCache>
            </c:numRef>
          </c:yVal>
          <c:smooth val="0"/>
          <c:extLst>
            <c:ext xmlns:c16="http://schemas.microsoft.com/office/drawing/2014/chart" uri="{C3380CC4-5D6E-409C-BE32-E72D297353CC}">
              <c16:uniqueId val="{00000001-3F90-420E-B247-1D5457BB7C19}"/>
            </c:ext>
          </c:extLst>
        </c:ser>
        <c:ser>
          <c:idx val="1"/>
          <c:order val="2"/>
          <c:tx>
            <c:strRef>
              <c:f>'Ejercicios 4.19-4.52'!$A$502</c:f>
              <c:strCache>
                <c:ptCount val="1"/>
                <c:pt idx="0">
                  <c:v>C</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4.19-4.52'!$C$499:$C$501</c:f>
              <c:numCache>
                <c:formatCode>General</c:formatCode>
                <c:ptCount val="3"/>
                <c:pt idx="0">
                  <c:v>0</c:v>
                </c:pt>
                <c:pt idx="1">
                  <c:v>800</c:v>
                </c:pt>
                <c:pt idx="2">
                  <c:v>1600</c:v>
                </c:pt>
              </c:numCache>
            </c:numRef>
          </c:xVal>
          <c:yVal>
            <c:numRef>
              <c:f>'Ejercicios 4.19-4.52'!$C$503:$C$505</c:f>
              <c:numCache>
                <c:formatCode>General</c:formatCode>
                <c:ptCount val="3"/>
                <c:pt idx="0">
                  <c:v>292.5</c:v>
                </c:pt>
                <c:pt idx="1">
                  <c:v>642.5</c:v>
                </c:pt>
                <c:pt idx="2">
                  <c:v>992.5</c:v>
                </c:pt>
              </c:numCache>
            </c:numRef>
          </c:yVal>
          <c:smooth val="0"/>
          <c:extLst>
            <c:ext xmlns:c16="http://schemas.microsoft.com/office/drawing/2014/chart" uri="{C3380CC4-5D6E-409C-BE32-E72D297353CC}">
              <c16:uniqueId val="{00000002-3F90-420E-B247-1D5457BB7C19}"/>
            </c:ext>
          </c:extLst>
        </c:ser>
        <c:ser>
          <c:idx val="2"/>
          <c:order val="3"/>
          <c:tx>
            <c:strRef>
              <c:f>'Ejercicios 4.19-4.52'!$A$487</c:f>
              <c:strCache>
                <c:ptCount val="1"/>
                <c:pt idx="0">
                  <c:v>A</c:v>
                </c:pt>
              </c:strCache>
            </c:strRef>
          </c:tx>
          <c:spPr>
            <a:ln w="22225" cap="rnd">
              <a:solidFill>
                <a:schemeClr val="accent3"/>
              </a:solidFill>
              <a:prstDash val="lgDash"/>
              <a:round/>
            </a:ln>
            <a:effectLst/>
          </c:spPr>
          <c:marker>
            <c:symbol val="circle"/>
            <c:size val="6"/>
            <c:spPr>
              <a:solidFill>
                <a:schemeClr val="lt1"/>
              </a:solidFill>
              <a:ln w="15875">
                <a:solidFill>
                  <a:schemeClr val="accent3"/>
                </a:solidFill>
                <a:round/>
              </a:ln>
              <a:effectLst/>
            </c:spPr>
          </c:marker>
          <c:xVal>
            <c:numRef>
              <c:f>'Ejercicios 4.19-4.52'!$C$499:$C$501</c:f>
              <c:numCache>
                <c:formatCode>General</c:formatCode>
                <c:ptCount val="3"/>
                <c:pt idx="0">
                  <c:v>0</c:v>
                </c:pt>
                <c:pt idx="1">
                  <c:v>800</c:v>
                </c:pt>
                <c:pt idx="2">
                  <c:v>1600</c:v>
                </c:pt>
              </c:numCache>
            </c:numRef>
          </c:xVal>
          <c:yVal>
            <c:numRef>
              <c:f>'Ejercicios 4.19-4.52'!$C$487:$C$489</c:f>
              <c:numCache>
                <c:formatCode>General</c:formatCode>
                <c:ptCount val="3"/>
                <c:pt idx="0">
                  <c:v>450</c:v>
                </c:pt>
                <c:pt idx="1">
                  <c:v>450</c:v>
                </c:pt>
                <c:pt idx="2">
                  <c:v>450</c:v>
                </c:pt>
              </c:numCache>
            </c:numRef>
          </c:yVal>
          <c:smooth val="0"/>
          <c:extLst>
            <c:ext xmlns:c16="http://schemas.microsoft.com/office/drawing/2014/chart" uri="{C3380CC4-5D6E-409C-BE32-E72D297353CC}">
              <c16:uniqueId val="{00000003-3F90-420E-B247-1D5457BB7C1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4.19-4.52'!$A$518</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4.19-4.52'!$B$523:$B$525</c:f>
              <c:numCache>
                <c:formatCode>General</c:formatCode>
                <c:ptCount val="3"/>
                <c:pt idx="0">
                  <c:v>0</c:v>
                </c:pt>
                <c:pt idx="1">
                  <c:v>950</c:v>
                </c:pt>
                <c:pt idx="2">
                  <c:v>1900</c:v>
                </c:pt>
              </c:numCache>
            </c:numRef>
          </c:xVal>
          <c:yVal>
            <c:numRef>
              <c:f>'Ejercicios 4.19-4.52'!$B$519:$B$521</c:f>
              <c:numCache>
                <c:formatCode>General</c:formatCode>
                <c:ptCount val="3"/>
                <c:pt idx="0">
                  <c:v>450</c:v>
                </c:pt>
                <c:pt idx="1">
                  <c:v>950</c:v>
                </c:pt>
                <c:pt idx="2">
                  <c:v>1450</c:v>
                </c:pt>
              </c:numCache>
            </c:numRef>
          </c:yVal>
          <c:smooth val="0"/>
          <c:extLst>
            <c:ext xmlns:c16="http://schemas.microsoft.com/office/drawing/2014/chart" uri="{C3380CC4-5D6E-409C-BE32-E72D297353CC}">
              <c16:uniqueId val="{00000000-159C-40FD-9776-2AA82DF0023E}"/>
            </c:ext>
          </c:extLst>
        </c:ser>
        <c:ser>
          <c:idx val="0"/>
          <c:order val="1"/>
          <c:tx>
            <c:strRef>
              <c:f>'Ejercicios 4.19-4.52'!$A$524</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4.19-4.52'!$B$523:$B$525</c:f>
              <c:numCache>
                <c:formatCode>General</c:formatCode>
                <c:ptCount val="3"/>
                <c:pt idx="0">
                  <c:v>0</c:v>
                </c:pt>
                <c:pt idx="1">
                  <c:v>950</c:v>
                </c:pt>
                <c:pt idx="2">
                  <c:v>1900</c:v>
                </c:pt>
              </c:numCache>
            </c:numRef>
          </c:xVal>
          <c:yVal>
            <c:numRef>
              <c:f>'Ejercicios 4.19-4.52'!$B$523:$B$525</c:f>
              <c:numCache>
                <c:formatCode>General</c:formatCode>
                <c:ptCount val="3"/>
                <c:pt idx="0">
                  <c:v>0</c:v>
                </c:pt>
                <c:pt idx="1">
                  <c:v>950</c:v>
                </c:pt>
                <c:pt idx="2">
                  <c:v>1900</c:v>
                </c:pt>
              </c:numCache>
            </c:numRef>
          </c:yVal>
          <c:smooth val="0"/>
          <c:extLst>
            <c:ext xmlns:c16="http://schemas.microsoft.com/office/drawing/2014/chart" uri="{C3380CC4-5D6E-409C-BE32-E72D297353CC}">
              <c16:uniqueId val="{00000001-159C-40FD-9776-2AA82DF0023E}"/>
            </c:ext>
          </c:extLst>
        </c:ser>
        <c:ser>
          <c:idx val="1"/>
          <c:order val="2"/>
          <c:tx>
            <c:strRef>
              <c:f>'Ejercicios 4.19-4.52'!$A$526</c:f>
              <c:strCache>
                <c:ptCount val="1"/>
                <c:pt idx="0">
                  <c:v>C</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4.19-4.52'!$B$523:$B$525</c:f>
              <c:numCache>
                <c:formatCode>General</c:formatCode>
                <c:ptCount val="3"/>
                <c:pt idx="0">
                  <c:v>0</c:v>
                </c:pt>
                <c:pt idx="1">
                  <c:v>950</c:v>
                </c:pt>
                <c:pt idx="2">
                  <c:v>1900</c:v>
                </c:pt>
              </c:numCache>
            </c:numRef>
          </c:xVal>
          <c:yVal>
            <c:numRef>
              <c:f>'Ejercicios 4.19-4.52'!$B$527:$B$529</c:f>
              <c:numCache>
                <c:formatCode>General</c:formatCode>
                <c:ptCount val="3"/>
                <c:pt idx="0">
                  <c:v>225</c:v>
                </c:pt>
                <c:pt idx="1">
                  <c:v>890</c:v>
                </c:pt>
                <c:pt idx="2">
                  <c:v>1555</c:v>
                </c:pt>
              </c:numCache>
            </c:numRef>
          </c:yVal>
          <c:smooth val="0"/>
          <c:extLst>
            <c:ext xmlns:c16="http://schemas.microsoft.com/office/drawing/2014/chart" uri="{C3380CC4-5D6E-409C-BE32-E72D297353CC}">
              <c16:uniqueId val="{00000002-159C-40FD-9776-2AA82DF0023E}"/>
            </c:ext>
          </c:extLst>
        </c:ser>
        <c:ser>
          <c:idx val="2"/>
          <c:order val="3"/>
          <c:tx>
            <c:strRef>
              <c:f>'Ejercicios 4.19-4.52'!$A$509</c:f>
              <c:strCache>
                <c:ptCount val="1"/>
                <c:pt idx="0">
                  <c:v>A</c:v>
                </c:pt>
              </c:strCache>
            </c:strRef>
          </c:tx>
          <c:spPr>
            <a:ln w="22225" cap="rnd">
              <a:solidFill>
                <a:schemeClr val="accent3"/>
              </a:solidFill>
              <a:prstDash val="lgDash"/>
              <a:round/>
            </a:ln>
            <a:effectLst/>
          </c:spPr>
          <c:marker>
            <c:symbol val="circle"/>
            <c:size val="6"/>
            <c:spPr>
              <a:solidFill>
                <a:schemeClr val="lt1"/>
              </a:solidFill>
              <a:ln w="15875">
                <a:solidFill>
                  <a:schemeClr val="accent3"/>
                </a:solidFill>
                <a:round/>
              </a:ln>
              <a:effectLst/>
            </c:spPr>
          </c:marker>
          <c:xVal>
            <c:numRef>
              <c:f>'Ejercicios 4.19-4.52'!$B$523:$B$525</c:f>
              <c:numCache>
                <c:formatCode>General</c:formatCode>
                <c:ptCount val="3"/>
                <c:pt idx="0">
                  <c:v>0</c:v>
                </c:pt>
                <c:pt idx="1">
                  <c:v>950</c:v>
                </c:pt>
                <c:pt idx="2">
                  <c:v>1900</c:v>
                </c:pt>
              </c:numCache>
            </c:numRef>
          </c:xVal>
          <c:yVal>
            <c:numRef>
              <c:f>'Ejercicios 4.19-4.52'!$B$509:$B$511</c:f>
              <c:numCache>
                <c:formatCode>General</c:formatCode>
                <c:ptCount val="3"/>
                <c:pt idx="0">
                  <c:v>450</c:v>
                </c:pt>
                <c:pt idx="1">
                  <c:v>450</c:v>
                </c:pt>
                <c:pt idx="2">
                  <c:v>450</c:v>
                </c:pt>
              </c:numCache>
            </c:numRef>
          </c:yVal>
          <c:smooth val="0"/>
          <c:extLst>
            <c:ext xmlns:c16="http://schemas.microsoft.com/office/drawing/2014/chart" uri="{C3380CC4-5D6E-409C-BE32-E72D297353CC}">
              <c16:uniqueId val="{00000003-159C-40FD-9776-2AA82DF0023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Funciones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0.12765048118985126"/>
          <c:y val="0.1413425925925926"/>
          <c:w val="0.81957174103237096"/>
          <c:h val="0.61706802274715655"/>
        </c:manualLayout>
      </c:layout>
      <c:scatterChart>
        <c:scatterStyle val="lineMarker"/>
        <c:varyColors val="0"/>
        <c:ser>
          <c:idx val="3"/>
          <c:order val="0"/>
          <c:tx>
            <c:strRef>
              <c:f>'Ejercicios 4.19-4.52'!$A$518</c:f>
              <c:strCache>
                <c:ptCount val="1"/>
                <c:pt idx="0">
                  <c:v>DA</c:v>
                </c:pt>
              </c:strCache>
            </c:strRef>
          </c:tx>
          <c:spPr>
            <a:ln w="22225" cap="rnd">
              <a:solidFill>
                <a:schemeClr val="accent4"/>
              </a:solidFill>
              <a:round/>
            </a:ln>
            <a:effectLst/>
          </c:spPr>
          <c:marker>
            <c:symbol val="circle"/>
            <c:size val="6"/>
            <c:spPr>
              <a:solidFill>
                <a:schemeClr val="lt1"/>
              </a:solidFill>
              <a:ln w="15875">
                <a:solidFill>
                  <a:srgbClr val="FF0000"/>
                </a:solidFill>
                <a:round/>
              </a:ln>
              <a:effectLst/>
            </c:spPr>
          </c:marker>
          <c:xVal>
            <c:numRef>
              <c:f>'Ejercicios 4.19-4.52'!$C$523:$C$525</c:f>
              <c:numCache>
                <c:formatCode>General</c:formatCode>
                <c:ptCount val="3"/>
                <c:pt idx="0">
                  <c:v>0</c:v>
                </c:pt>
                <c:pt idx="1">
                  <c:v>640</c:v>
                </c:pt>
                <c:pt idx="2">
                  <c:v>1280</c:v>
                </c:pt>
              </c:numCache>
            </c:numRef>
          </c:xVal>
          <c:yVal>
            <c:numRef>
              <c:f>'Ejercicios 4.19-4.52'!$C$519:$C$521</c:f>
              <c:numCache>
                <c:formatCode>General</c:formatCode>
                <c:ptCount val="3"/>
                <c:pt idx="0">
                  <c:v>230</c:v>
                </c:pt>
                <c:pt idx="1">
                  <c:v>640</c:v>
                </c:pt>
                <c:pt idx="2">
                  <c:v>1050</c:v>
                </c:pt>
              </c:numCache>
            </c:numRef>
          </c:yVal>
          <c:smooth val="0"/>
          <c:extLst>
            <c:ext xmlns:c16="http://schemas.microsoft.com/office/drawing/2014/chart" uri="{C3380CC4-5D6E-409C-BE32-E72D297353CC}">
              <c16:uniqueId val="{00000000-6FCF-4CD0-BAB5-FF7ABAD0E3FD}"/>
            </c:ext>
          </c:extLst>
        </c:ser>
        <c:ser>
          <c:idx val="0"/>
          <c:order val="1"/>
          <c:tx>
            <c:strRef>
              <c:f>'Ejercicios 4.19-4.52'!$A$524</c:f>
              <c:strCache>
                <c:ptCount val="1"/>
                <c:pt idx="0">
                  <c:v>Equilibrio</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4.19-4.52'!$C$523:$C$525</c:f>
              <c:numCache>
                <c:formatCode>General</c:formatCode>
                <c:ptCount val="3"/>
                <c:pt idx="0">
                  <c:v>0</c:v>
                </c:pt>
                <c:pt idx="1">
                  <c:v>640</c:v>
                </c:pt>
                <c:pt idx="2">
                  <c:v>1280</c:v>
                </c:pt>
              </c:numCache>
            </c:numRef>
          </c:xVal>
          <c:yVal>
            <c:numRef>
              <c:f>'Ejercicios 4.19-4.52'!$C$523:$C$525</c:f>
              <c:numCache>
                <c:formatCode>General</c:formatCode>
                <c:ptCount val="3"/>
                <c:pt idx="0">
                  <c:v>0</c:v>
                </c:pt>
                <c:pt idx="1">
                  <c:v>640</c:v>
                </c:pt>
                <c:pt idx="2">
                  <c:v>1280</c:v>
                </c:pt>
              </c:numCache>
            </c:numRef>
          </c:yVal>
          <c:smooth val="0"/>
          <c:extLst>
            <c:ext xmlns:c16="http://schemas.microsoft.com/office/drawing/2014/chart" uri="{C3380CC4-5D6E-409C-BE32-E72D297353CC}">
              <c16:uniqueId val="{00000001-6FCF-4CD0-BAB5-FF7ABAD0E3FD}"/>
            </c:ext>
          </c:extLst>
        </c:ser>
        <c:ser>
          <c:idx val="1"/>
          <c:order val="2"/>
          <c:tx>
            <c:strRef>
              <c:f>'Ejercicios 4.19-4.52'!$A$526</c:f>
              <c:strCache>
                <c:ptCount val="1"/>
                <c:pt idx="0">
                  <c:v>C</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4.19-4.52'!$C$523:$C$525</c:f>
              <c:numCache>
                <c:formatCode>General</c:formatCode>
                <c:ptCount val="3"/>
                <c:pt idx="0">
                  <c:v>0</c:v>
                </c:pt>
                <c:pt idx="1">
                  <c:v>640</c:v>
                </c:pt>
                <c:pt idx="2">
                  <c:v>1280</c:v>
                </c:pt>
              </c:numCache>
            </c:numRef>
          </c:xVal>
          <c:yVal>
            <c:numRef>
              <c:f>'Ejercicios 4.19-4.52'!$C$527:$C$529</c:f>
              <c:numCache>
                <c:formatCode>General</c:formatCode>
                <c:ptCount val="3"/>
                <c:pt idx="0">
                  <c:v>138</c:v>
                </c:pt>
                <c:pt idx="1">
                  <c:v>650</c:v>
                </c:pt>
                <c:pt idx="2">
                  <c:v>1162</c:v>
                </c:pt>
              </c:numCache>
            </c:numRef>
          </c:yVal>
          <c:smooth val="0"/>
          <c:extLst>
            <c:ext xmlns:c16="http://schemas.microsoft.com/office/drawing/2014/chart" uri="{C3380CC4-5D6E-409C-BE32-E72D297353CC}">
              <c16:uniqueId val="{00000002-6FCF-4CD0-BAB5-FF7ABAD0E3FD}"/>
            </c:ext>
          </c:extLst>
        </c:ser>
        <c:ser>
          <c:idx val="2"/>
          <c:order val="3"/>
          <c:tx>
            <c:strRef>
              <c:f>'Ejercicios 4.19-4.52'!$A$509</c:f>
              <c:strCache>
                <c:ptCount val="1"/>
                <c:pt idx="0">
                  <c:v>A</c:v>
                </c:pt>
              </c:strCache>
            </c:strRef>
          </c:tx>
          <c:spPr>
            <a:ln w="22225" cap="rnd">
              <a:solidFill>
                <a:schemeClr val="accent3"/>
              </a:solidFill>
              <a:prstDash val="lgDash"/>
              <a:round/>
            </a:ln>
            <a:effectLst/>
          </c:spPr>
          <c:marker>
            <c:symbol val="circle"/>
            <c:size val="6"/>
            <c:spPr>
              <a:solidFill>
                <a:schemeClr val="lt1"/>
              </a:solidFill>
              <a:ln w="15875">
                <a:solidFill>
                  <a:schemeClr val="accent3"/>
                </a:solidFill>
                <a:round/>
              </a:ln>
              <a:effectLst/>
            </c:spPr>
          </c:marker>
          <c:xVal>
            <c:numRef>
              <c:f>'Ejercicios 4.19-4.52'!$C$523:$C$525</c:f>
              <c:numCache>
                <c:formatCode>General</c:formatCode>
                <c:ptCount val="3"/>
                <c:pt idx="0">
                  <c:v>0</c:v>
                </c:pt>
                <c:pt idx="1">
                  <c:v>640</c:v>
                </c:pt>
                <c:pt idx="2">
                  <c:v>1280</c:v>
                </c:pt>
              </c:numCache>
            </c:numRef>
          </c:xVal>
          <c:yVal>
            <c:numRef>
              <c:f>'Ejercicios 4.19-4.52'!$C$509:$C$511</c:f>
              <c:numCache>
                <c:formatCode>General</c:formatCode>
                <c:ptCount val="3"/>
                <c:pt idx="0">
                  <c:v>230</c:v>
                </c:pt>
                <c:pt idx="1">
                  <c:v>230</c:v>
                </c:pt>
                <c:pt idx="2">
                  <c:v>230</c:v>
                </c:pt>
              </c:numCache>
            </c:numRef>
          </c:yVal>
          <c:smooth val="0"/>
          <c:extLst>
            <c:ext xmlns:c16="http://schemas.microsoft.com/office/drawing/2014/chart" uri="{C3380CC4-5D6E-409C-BE32-E72D297353CC}">
              <c16:uniqueId val="{00000003-6FCF-4CD0-BAB5-FF7ABAD0E3F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Ingreso o producto nacional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34792095"/>
        <c:crossesAt val="-100"/>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Demanda</a:t>
                </a:r>
                <a:r>
                  <a:rPr lang="es-MX" baseline="0"/>
                  <a:t> agregada</a:t>
                </a:r>
                <a:endParaRPr lang="es-MX"/>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a:t>
            </a:r>
            <a:r>
              <a:rPr lang="en-US" baseline="0"/>
              <a:t>manda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5.'!$C$1</c:f>
              <c:strCache>
                <c:ptCount val="1"/>
                <c:pt idx="0">
                  <c:v>Qd=12-Px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5.'!$A$3:$A$6</c:f>
              <c:numCache>
                <c:formatCode>General</c:formatCode>
                <c:ptCount val="4"/>
                <c:pt idx="0">
                  <c:v>12</c:v>
                </c:pt>
                <c:pt idx="1">
                  <c:v>8</c:v>
                </c:pt>
                <c:pt idx="2">
                  <c:v>4</c:v>
                </c:pt>
                <c:pt idx="3">
                  <c:v>0</c:v>
                </c:pt>
              </c:numCache>
            </c:numRef>
          </c:xVal>
          <c:yVal>
            <c:numRef>
              <c:f>'Ejercicios 5.'!$B$3:$B$6</c:f>
              <c:numCache>
                <c:formatCode>General</c:formatCode>
                <c:ptCount val="4"/>
                <c:pt idx="0">
                  <c:v>0</c:v>
                </c:pt>
                <c:pt idx="1">
                  <c:v>4</c:v>
                </c:pt>
                <c:pt idx="2">
                  <c:v>8</c:v>
                </c:pt>
                <c:pt idx="3">
                  <c:v>12</c:v>
                </c:pt>
              </c:numCache>
            </c:numRef>
          </c:yVal>
          <c:smooth val="0"/>
          <c:extLst>
            <c:ext xmlns:c16="http://schemas.microsoft.com/office/drawing/2014/chart" uri="{C3380CC4-5D6E-409C-BE32-E72D297353CC}">
              <c16:uniqueId val="{00000006-A23A-46D7-A71D-8BCEB435C95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a:t>
            </a:r>
            <a:r>
              <a:rPr lang="en-US" baseline="0"/>
              <a:t>manda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5.'!$C$16</c:f>
              <c:strCache>
                <c:ptCount val="1"/>
                <c:pt idx="0">
                  <c:v>Qd=12-2Px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5.'!$A$18:$A$21</c:f>
              <c:numCache>
                <c:formatCode>General</c:formatCode>
                <c:ptCount val="4"/>
                <c:pt idx="0">
                  <c:v>12</c:v>
                </c:pt>
                <c:pt idx="1">
                  <c:v>8</c:v>
                </c:pt>
                <c:pt idx="2">
                  <c:v>4</c:v>
                </c:pt>
                <c:pt idx="3">
                  <c:v>0</c:v>
                </c:pt>
              </c:numCache>
            </c:numRef>
          </c:xVal>
          <c:yVal>
            <c:numRef>
              <c:f>'Ejercicios 5.'!$B$18:$B$21</c:f>
              <c:numCache>
                <c:formatCode>General</c:formatCode>
                <c:ptCount val="4"/>
                <c:pt idx="0">
                  <c:v>0</c:v>
                </c:pt>
                <c:pt idx="1">
                  <c:v>2</c:v>
                </c:pt>
                <c:pt idx="2">
                  <c:v>4</c:v>
                </c:pt>
                <c:pt idx="3">
                  <c:v>6</c:v>
                </c:pt>
              </c:numCache>
            </c:numRef>
          </c:yVal>
          <c:smooth val="0"/>
          <c:extLst>
            <c:ext xmlns:c16="http://schemas.microsoft.com/office/drawing/2014/chart" uri="{C3380CC4-5D6E-409C-BE32-E72D297353CC}">
              <c16:uniqueId val="{00000001-1B38-4455-A09E-F58056AF02A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a:t>
            </a:r>
            <a:r>
              <a:rPr lang="en-US" baseline="0"/>
              <a:t>manda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5.'!$C$31</c:f>
              <c:strCache>
                <c:ptCount val="1"/>
                <c:pt idx="0">
                  <c:v>Qd=12-0.5Px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'Ejercicios 5.'!$A$33:$A$36</c:f>
              <c:numCache>
                <c:formatCode>General</c:formatCode>
                <c:ptCount val="4"/>
                <c:pt idx="0">
                  <c:v>12</c:v>
                </c:pt>
                <c:pt idx="1">
                  <c:v>8</c:v>
                </c:pt>
                <c:pt idx="2">
                  <c:v>4</c:v>
                </c:pt>
                <c:pt idx="3">
                  <c:v>0</c:v>
                </c:pt>
              </c:numCache>
            </c:numRef>
          </c:xVal>
          <c:yVal>
            <c:numRef>
              <c:f>'Ejercicios 5.'!$B$33:$B$36</c:f>
              <c:numCache>
                <c:formatCode>General</c:formatCode>
                <c:ptCount val="4"/>
                <c:pt idx="0">
                  <c:v>0</c:v>
                </c:pt>
                <c:pt idx="1">
                  <c:v>8</c:v>
                </c:pt>
                <c:pt idx="2">
                  <c:v>16</c:v>
                </c:pt>
                <c:pt idx="3">
                  <c:v>24</c:v>
                </c:pt>
              </c:numCache>
            </c:numRef>
          </c:yVal>
          <c:smooth val="0"/>
          <c:extLst>
            <c:ext xmlns:c16="http://schemas.microsoft.com/office/drawing/2014/chart" uri="{C3380CC4-5D6E-409C-BE32-E72D297353CC}">
              <c16:uniqueId val="{00000001-AA3B-42D0-BCA0-1A54A16B399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a:t>
            </a:r>
            <a:r>
              <a:rPr lang="en-US" baseline="0"/>
              <a:t>manda de un bien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5.'!$A$47</c:f>
              <c:strCache>
                <c:ptCount val="1"/>
                <c:pt idx="0">
                  <c:v>Qd=12-Px</c:v>
                </c:pt>
              </c:strCache>
            </c:strRef>
          </c:tx>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prstDash val="lgDashDotDot"/>
              </a:ln>
              <a:effectLst/>
            </c:spPr>
            <c:trendlineType val="linear"/>
            <c:dispRSqr val="0"/>
            <c:dispEq val="0"/>
          </c:trendline>
          <c:xVal>
            <c:numRef>
              <c:f>'Ejercicios 5.'!$A$51:$A$54</c:f>
              <c:numCache>
                <c:formatCode>General</c:formatCode>
                <c:ptCount val="4"/>
                <c:pt idx="0">
                  <c:v>12</c:v>
                </c:pt>
                <c:pt idx="1">
                  <c:v>8</c:v>
                </c:pt>
                <c:pt idx="2">
                  <c:v>4</c:v>
                </c:pt>
                <c:pt idx="3">
                  <c:v>0</c:v>
                </c:pt>
              </c:numCache>
            </c:numRef>
          </c:xVal>
          <c:yVal>
            <c:numRef>
              <c:f>'Ejercicios 5.'!$B$51:$B$54</c:f>
              <c:numCache>
                <c:formatCode>General</c:formatCode>
                <c:ptCount val="4"/>
                <c:pt idx="0">
                  <c:v>0</c:v>
                </c:pt>
                <c:pt idx="1">
                  <c:v>4</c:v>
                </c:pt>
                <c:pt idx="2">
                  <c:v>8</c:v>
                </c:pt>
                <c:pt idx="3">
                  <c:v>12</c:v>
                </c:pt>
              </c:numCache>
            </c:numRef>
          </c:yVal>
          <c:smooth val="0"/>
          <c:extLst>
            <c:ext xmlns:c16="http://schemas.microsoft.com/office/drawing/2014/chart" uri="{C3380CC4-5D6E-409C-BE32-E72D297353CC}">
              <c16:uniqueId val="{00000001-C004-4E04-97B6-E55724DD0A86}"/>
            </c:ext>
          </c:extLst>
        </c:ser>
        <c:ser>
          <c:idx val="1"/>
          <c:order val="1"/>
          <c:tx>
            <c:strRef>
              <c:f>'Ejercicios 5.'!$C$47</c:f>
              <c:strCache>
                <c:ptCount val="1"/>
                <c:pt idx="0">
                  <c:v>Qd=12-2Px</c:v>
                </c:pt>
              </c:strCache>
            </c:strRef>
          </c:tx>
          <c:spPr>
            <a:ln w="25400" cap="rnd">
              <a:noFill/>
              <a:round/>
            </a:ln>
            <a:effectLst/>
          </c:spPr>
          <c:marker>
            <c:symbol val="circle"/>
            <c:size val="6"/>
            <c:spPr>
              <a:solidFill>
                <a:schemeClr val="lt1"/>
              </a:solidFill>
              <a:ln w="15875">
                <a:solidFill>
                  <a:schemeClr val="accent2"/>
                </a:solidFill>
                <a:round/>
              </a:ln>
              <a:effectLst/>
            </c:spPr>
          </c:marker>
          <c:trendline>
            <c:spPr>
              <a:ln w="19050" cap="rnd">
                <a:solidFill>
                  <a:schemeClr val="accent2"/>
                </a:solidFill>
              </a:ln>
              <a:effectLst/>
            </c:spPr>
            <c:trendlineType val="linear"/>
            <c:dispRSqr val="0"/>
            <c:dispEq val="0"/>
          </c:trendline>
          <c:xVal>
            <c:numRef>
              <c:f>'Ejercicios 5.'!$C$51:$C$54</c:f>
              <c:numCache>
                <c:formatCode>General</c:formatCode>
                <c:ptCount val="4"/>
                <c:pt idx="0">
                  <c:v>12</c:v>
                </c:pt>
                <c:pt idx="1">
                  <c:v>8</c:v>
                </c:pt>
                <c:pt idx="2">
                  <c:v>4</c:v>
                </c:pt>
                <c:pt idx="3">
                  <c:v>0</c:v>
                </c:pt>
              </c:numCache>
            </c:numRef>
          </c:xVal>
          <c:yVal>
            <c:numRef>
              <c:f>'Ejercicios 5.'!$D$51:$D$54</c:f>
              <c:numCache>
                <c:formatCode>General</c:formatCode>
                <c:ptCount val="4"/>
                <c:pt idx="0">
                  <c:v>0</c:v>
                </c:pt>
                <c:pt idx="1">
                  <c:v>2</c:v>
                </c:pt>
                <c:pt idx="2">
                  <c:v>4</c:v>
                </c:pt>
                <c:pt idx="3">
                  <c:v>6</c:v>
                </c:pt>
              </c:numCache>
            </c:numRef>
          </c:yVal>
          <c:smooth val="0"/>
          <c:extLst>
            <c:ext xmlns:c16="http://schemas.microsoft.com/office/drawing/2014/chart" uri="{C3380CC4-5D6E-409C-BE32-E72D297353CC}">
              <c16:uniqueId val="{00000002-C004-4E04-97B6-E55724DD0A86}"/>
            </c:ext>
          </c:extLst>
        </c:ser>
        <c:ser>
          <c:idx val="2"/>
          <c:order val="2"/>
          <c:tx>
            <c:strRef>
              <c:f>'Ejercicios 5.'!$E$47</c:f>
              <c:strCache>
                <c:ptCount val="1"/>
                <c:pt idx="0">
                  <c:v>Qd=12-0.5Px</c:v>
                </c:pt>
              </c:strCache>
            </c:strRef>
          </c:tx>
          <c:spPr>
            <a:ln w="25400" cap="rnd">
              <a:noFill/>
              <a:round/>
            </a:ln>
            <a:effectLst/>
          </c:spPr>
          <c:marker>
            <c:symbol val="circle"/>
            <c:size val="6"/>
            <c:spPr>
              <a:solidFill>
                <a:schemeClr val="lt1"/>
              </a:solidFill>
              <a:ln w="15875">
                <a:solidFill>
                  <a:schemeClr val="accent3"/>
                </a:solidFill>
                <a:round/>
              </a:ln>
              <a:effectLst/>
            </c:spPr>
          </c:marker>
          <c:trendline>
            <c:spPr>
              <a:ln w="19050" cap="rnd">
                <a:solidFill>
                  <a:schemeClr val="accent3"/>
                </a:solidFill>
                <a:prstDash val="dash"/>
              </a:ln>
              <a:effectLst/>
            </c:spPr>
            <c:trendlineType val="linear"/>
            <c:dispRSqr val="0"/>
            <c:dispEq val="0"/>
          </c:trendline>
          <c:xVal>
            <c:numRef>
              <c:f>'Ejercicios 5.'!$E$51:$E$54</c:f>
              <c:numCache>
                <c:formatCode>General</c:formatCode>
                <c:ptCount val="4"/>
                <c:pt idx="0">
                  <c:v>12</c:v>
                </c:pt>
                <c:pt idx="1">
                  <c:v>8</c:v>
                </c:pt>
                <c:pt idx="2">
                  <c:v>4</c:v>
                </c:pt>
                <c:pt idx="3">
                  <c:v>0</c:v>
                </c:pt>
              </c:numCache>
            </c:numRef>
          </c:xVal>
          <c:yVal>
            <c:numRef>
              <c:f>'Ejercicios 5.'!$F$51:$F$54</c:f>
              <c:numCache>
                <c:formatCode>General</c:formatCode>
                <c:ptCount val="4"/>
                <c:pt idx="0">
                  <c:v>0</c:v>
                </c:pt>
                <c:pt idx="1">
                  <c:v>8</c:v>
                </c:pt>
                <c:pt idx="2">
                  <c:v>16</c:v>
                </c:pt>
                <c:pt idx="3">
                  <c:v>24</c:v>
                </c:pt>
              </c:numCache>
            </c:numRef>
          </c:yVal>
          <c:smooth val="0"/>
          <c:extLst>
            <c:ext xmlns:c16="http://schemas.microsoft.com/office/drawing/2014/chart" uri="{C3380CC4-5D6E-409C-BE32-E72D297353CC}">
              <c16:uniqueId val="{00000003-C004-4E04-97B6-E55724DD0A8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baseline="0"/>
                  <a:t>Cantidad </a:t>
                </a:r>
                <a:endParaRPr lang="es-MX"/>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MX"/>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legendEntry>
        <c:idx val="0"/>
        <c:delete val="1"/>
      </c:legendEntry>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5.'!$A$62</c:f>
              <c:strCache>
                <c:ptCount val="1"/>
                <c:pt idx="0">
                  <c:v>Qd=150-(1/3)Px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5.'!$A$66:$A$69</c:f>
              <c:numCache>
                <c:formatCode>General</c:formatCode>
                <c:ptCount val="4"/>
                <c:pt idx="0">
                  <c:v>150</c:v>
                </c:pt>
                <c:pt idx="1">
                  <c:v>100</c:v>
                </c:pt>
                <c:pt idx="2">
                  <c:v>50</c:v>
                </c:pt>
                <c:pt idx="3">
                  <c:v>0</c:v>
                </c:pt>
              </c:numCache>
            </c:numRef>
          </c:xVal>
          <c:yVal>
            <c:numRef>
              <c:f>'Ejercicios 5.'!$B$66:$B$69</c:f>
              <c:numCache>
                <c:formatCode>General</c:formatCode>
                <c:ptCount val="4"/>
                <c:pt idx="0">
                  <c:v>0</c:v>
                </c:pt>
                <c:pt idx="1">
                  <c:v>150</c:v>
                </c:pt>
                <c:pt idx="2">
                  <c:v>300</c:v>
                </c:pt>
                <c:pt idx="3">
                  <c:v>450</c:v>
                </c:pt>
              </c:numCache>
            </c:numRef>
          </c:yVal>
          <c:smooth val="0"/>
          <c:extLst>
            <c:ext xmlns:c16="http://schemas.microsoft.com/office/drawing/2014/chart" uri="{C3380CC4-5D6E-409C-BE32-E72D297353CC}">
              <c16:uniqueId val="{00000002-13B4-490B-935C-AD4E46A5FF6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5.'!$A$78</c:f>
              <c:strCache>
                <c:ptCount val="1"/>
                <c:pt idx="0">
                  <c:v>Qd=150-8Px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5.'!$A$82:$A$85</c:f>
              <c:numCache>
                <c:formatCode>General</c:formatCode>
                <c:ptCount val="4"/>
                <c:pt idx="0">
                  <c:v>150</c:v>
                </c:pt>
                <c:pt idx="1">
                  <c:v>102</c:v>
                </c:pt>
                <c:pt idx="2">
                  <c:v>54</c:v>
                </c:pt>
                <c:pt idx="3">
                  <c:v>0</c:v>
                </c:pt>
              </c:numCache>
            </c:numRef>
          </c:xVal>
          <c:yVal>
            <c:numRef>
              <c:f>'Ejercicios 5.'!$B$82:$B$85</c:f>
              <c:numCache>
                <c:formatCode>General</c:formatCode>
                <c:ptCount val="4"/>
                <c:pt idx="0">
                  <c:v>0</c:v>
                </c:pt>
                <c:pt idx="1">
                  <c:v>6</c:v>
                </c:pt>
                <c:pt idx="2">
                  <c:v>12</c:v>
                </c:pt>
                <c:pt idx="3">
                  <c:v>18.75</c:v>
                </c:pt>
              </c:numCache>
            </c:numRef>
          </c:yVal>
          <c:smooth val="0"/>
          <c:extLst>
            <c:ext xmlns:c16="http://schemas.microsoft.com/office/drawing/2014/chart" uri="{C3380CC4-5D6E-409C-BE32-E72D297353CC}">
              <c16:uniqueId val="{00000000-C0AA-4089-A95F-543EDB686FD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5.'!$A$93</c:f>
              <c:strCache>
                <c:ptCount val="1"/>
                <c:pt idx="0">
                  <c:v>Qd=150-Px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5.'!$A$97:$A$100</c:f>
              <c:numCache>
                <c:formatCode>General</c:formatCode>
                <c:ptCount val="4"/>
                <c:pt idx="0">
                  <c:v>150</c:v>
                </c:pt>
                <c:pt idx="1">
                  <c:v>100</c:v>
                </c:pt>
                <c:pt idx="2">
                  <c:v>50</c:v>
                </c:pt>
                <c:pt idx="3">
                  <c:v>0</c:v>
                </c:pt>
              </c:numCache>
            </c:numRef>
          </c:xVal>
          <c:yVal>
            <c:numRef>
              <c:f>'Ejercicios 5.'!$B$97:$B$100</c:f>
              <c:numCache>
                <c:formatCode>General</c:formatCode>
                <c:ptCount val="4"/>
                <c:pt idx="0">
                  <c:v>0</c:v>
                </c:pt>
                <c:pt idx="1">
                  <c:v>50</c:v>
                </c:pt>
                <c:pt idx="2">
                  <c:v>100</c:v>
                </c:pt>
                <c:pt idx="3">
                  <c:v>150</c:v>
                </c:pt>
              </c:numCache>
            </c:numRef>
          </c:yVal>
          <c:smooth val="0"/>
          <c:extLst>
            <c:ext xmlns:c16="http://schemas.microsoft.com/office/drawing/2014/chart" uri="{C3380CC4-5D6E-409C-BE32-E72D297353CC}">
              <c16:uniqueId val="{00000000-505B-4966-B5C7-7CF9974C9CF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5.'!$A$109</c:f>
              <c:strCache>
                <c:ptCount val="1"/>
                <c:pt idx="0">
                  <c:v>Qd=150-(1/3)Px</c:v>
                </c:pt>
              </c:strCache>
            </c:strRef>
          </c:tx>
          <c:spPr>
            <a:ln w="22225" cap="rnd">
              <a:solidFill>
                <a:schemeClr val="accent3"/>
              </a:solidFill>
              <a:prstDash val="dash"/>
              <a:round/>
            </a:ln>
            <a:effectLst/>
          </c:spPr>
          <c:marker>
            <c:symbol val="circle"/>
            <c:size val="6"/>
            <c:spPr>
              <a:solidFill>
                <a:schemeClr val="lt1"/>
              </a:solidFill>
              <a:ln w="15875">
                <a:solidFill>
                  <a:schemeClr val="accent3"/>
                </a:solidFill>
                <a:round/>
              </a:ln>
              <a:effectLst/>
            </c:spPr>
          </c:marker>
          <c:xVal>
            <c:numRef>
              <c:f>'Ejercicios 5.'!$A$113:$A$116</c:f>
              <c:numCache>
                <c:formatCode>General</c:formatCode>
                <c:ptCount val="4"/>
                <c:pt idx="0">
                  <c:v>150</c:v>
                </c:pt>
                <c:pt idx="1">
                  <c:v>100</c:v>
                </c:pt>
                <c:pt idx="2">
                  <c:v>50</c:v>
                </c:pt>
                <c:pt idx="3">
                  <c:v>0</c:v>
                </c:pt>
              </c:numCache>
            </c:numRef>
          </c:xVal>
          <c:yVal>
            <c:numRef>
              <c:f>'Ejercicios 5.'!$B$113:$B$116</c:f>
              <c:numCache>
                <c:formatCode>General</c:formatCode>
                <c:ptCount val="4"/>
                <c:pt idx="0">
                  <c:v>0</c:v>
                </c:pt>
                <c:pt idx="1">
                  <c:v>150</c:v>
                </c:pt>
                <c:pt idx="2">
                  <c:v>300</c:v>
                </c:pt>
                <c:pt idx="3">
                  <c:v>450</c:v>
                </c:pt>
              </c:numCache>
            </c:numRef>
          </c:yVal>
          <c:smooth val="0"/>
          <c:extLst>
            <c:ext xmlns:c16="http://schemas.microsoft.com/office/drawing/2014/chart" uri="{C3380CC4-5D6E-409C-BE32-E72D297353CC}">
              <c16:uniqueId val="{00000000-0115-4744-B01E-BD2C15CA58F3}"/>
            </c:ext>
          </c:extLst>
        </c:ser>
        <c:ser>
          <c:idx val="0"/>
          <c:order val="1"/>
          <c:tx>
            <c:strRef>
              <c:f>'Ejercicios 5.'!$C$109</c:f>
              <c:strCache>
                <c:ptCount val="1"/>
                <c:pt idx="0">
                  <c:v>Qd=150-8Px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5.'!$C$113:$C$116</c:f>
              <c:numCache>
                <c:formatCode>General</c:formatCode>
                <c:ptCount val="4"/>
                <c:pt idx="0">
                  <c:v>150</c:v>
                </c:pt>
                <c:pt idx="1">
                  <c:v>102</c:v>
                </c:pt>
                <c:pt idx="2">
                  <c:v>54</c:v>
                </c:pt>
                <c:pt idx="3">
                  <c:v>0</c:v>
                </c:pt>
              </c:numCache>
            </c:numRef>
          </c:xVal>
          <c:yVal>
            <c:numRef>
              <c:f>'Ejercicios 5.'!$D$113:$D$116</c:f>
              <c:numCache>
                <c:formatCode>General</c:formatCode>
                <c:ptCount val="4"/>
                <c:pt idx="0">
                  <c:v>0</c:v>
                </c:pt>
                <c:pt idx="1">
                  <c:v>6</c:v>
                </c:pt>
                <c:pt idx="2">
                  <c:v>12</c:v>
                </c:pt>
                <c:pt idx="3">
                  <c:v>18.75</c:v>
                </c:pt>
              </c:numCache>
            </c:numRef>
          </c:yVal>
          <c:smooth val="0"/>
          <c:extLst>
            <c:ext xmlns:c16="http://schemas.microsoft.com/office/drawing/2014/chart" uri="{C3380CC4-5D6E-409C-BE32-E72D297353CC}">
              <c16:uniqueId val="{00000001-0115-4744-B01E-BD2C15CA58F3}"/>
            </c:ext>
          </c:extLst>
        </c:ser>
        <c:ser>
          <c:idx val="1"/>
          <c:order val="2"/>
          <c:tx>
            <c:strRef>
              <c:f>'Ejercicios 5.'!$E$109</c:f>
              <c:strCache>
                <c:ptCount val="1"/>
                <c:pt idx="0">
                  <c:v>Qd=150-Px</c:v>
                </c:pt>
              </c:strCache>
            </c:strRef>
          </c:tx>
          <c:spPr>
            <a:ln w="22225" cap="rnd">
              <a:solidFill>
                <a:schemeClr val="accent2"/>
              </a:solidFill>
              <a:prstDash val="lgDashDotDot"/>
              <a:round/>
            </a:ln>
            <a:effectLst/>
          </c:spPr>
          <c:marker>
            <c:symbol val="circle"/>
            <c:size val="6"/>
            <c:spPr>
              <a:solidFill>
                <a:schemeClr val="lt1"/>
              </a:solidFill>
              <a:ln w="15875">
                <a:solidFill>
                  <a:schemeClr val="accent2"/>
                </a:solidFill>
                <a:round/>
              </a:ln>
              <a:effectLst/>
            </c:spPr>
          </c:marker>
          <c:xVal>
            <c:numRef>
              <c:f>'Ejercicios 5.'!$E$113:$E$116</c:f>
              <c:numCache>
                <c:formatCode>General</c:formatCode>
                <c:ptCount val="4"/>
                <c:pt idx="0">
                  <c:v>150</c:v>
                </c:pt>
                <c:pt idx="1">
                  <c:v>100</c:v>
                </c:pt>
                <c:pt idx="2">
                  <c:v>50</c:v>
                </c:pt>
                <c:pt idx="3">
                  <c:v>0</c:v>
                </c:pt>
              </c:numCache>
            </c:numRef>
          </c:xVal>
          <c:yVal>
            <c:numRef>
              <c:f>'Ejercicios 5.'!$F$113:$F$116</c:f>
              <c:numCache>
                <c:formatCode>General</c:formatCode>
                <c:ptCount val="4"/>
                <c:pt idx="0">
                  <c:v>0</c:v>
                </c:pt>
                <c:pt idx="1">
                  <c:v>50</c:v>
                </c:pt>
                <c:pt idx="2">
                  <c:v>100</c:v>
                </c:pt>
                <c:pt idx="3">
                  <c:v>150</c:v>
                </c:pt>
              </c:numCache>
            </c:numRef>
          </c:yVal>
          <c:smooth val="0"/>
          <c:extLst>
            <c:ext xmlns:c16="http://schemas.microsoft.com/office/drawing/2014/chart" uri="{C3380CC4-5D6E-409C-BE32-E72D297353CC}">
              <c16:uniqueId val="{00000002-0115-4744-B01E-BD2C15CA58F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5.'!$A$125</c:f>
              <c:strCache>
                <c:ptCount val="1"/>
                <c:pt idx="0">
                  <c:v>Qd=65-0.25Px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5.'!$A$129:$A$132</c:f>
              <c:numCache>
                <c:formatCode>General</c:formatCode>
                <c:ptCount val="4"/>
                <c:pt idx="0">
                  <c:v>65</c:v>
                </c:pt>
                <c:pt idx="1">
                  <c:v>43</c:v>
                </c:pt>
                <c:pt idx="2">
                  <c:v>21</c:v>
                </c:pt>
                <c:pt idx="3">
                  <c:v>0</c:v>
                </c:pt>
              </c:numCache>
            </c:numRef>
          </c:xVal>
          <c:yVal>
            <c:numRef>
              <c:f>'Ejercicios 5.'!$B$129:$B$132</c:f>
              <c:numCache>
                <c:formatCode>General</c:formatCode>
                <c:ptCount val="4"/>
                <c:pt idx="0">
                  <c:v>0</c:v>
                </c:pt>
                <c:pt idx="1">
                  <c:v>88</c:v>
                </c:pt>
                <c:pt idx="2">
                  <c:v>176</c:v>
                </c:pt>
                <c:pt idx="3">
                  <c:v>260</c:v>
                </c:pt>
              </c:numCache>
            </c:numRef>
          </c:yVal>
          <c:smooth val="0"/>
          <c:extLst>
            <c:ext xmlns:c16="http://schemas.microsoft.com/office/drawing/2014/chart" uri="{C3380CC4-5D6E-409C-BE32-E72D297353CC}">
              <c16:uniqueId val="{00000001-67D9-47B1-B484-300BB5A29AF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5.'!$A$141</c:f>
              <c:strCache>
                <c:ptCount val="1"/>
                <c:pt idx="0">
                  <c:v>Qd=65-Px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5.'!$A$145:$A$148</c:f>
              <c:numCache>
                <c:formatCode>General</c:formatCode>
                <c:ptCount val="4"/>
                <c:pt idx="0">
                  <c:v>65</c:v>
                </c:pt>
                <c:pt idx="1">
                  <c:v>43</c:v>
                </c:pt>
                <c:pt idx="2">
                  <c:v>21</c:v>
                </c:pt>
                <c:pt idx="3">
                  <c:v>0</c:v>
                </c:pt>
              </c:numCache>
            </c:numRef>
          </c:xVal>
          <c:yVal>
            <c:numRef>
              <c:f>'Ejercicios 5.'!$B$145:$B$148</c:f>
              <c:numCache>
                <c:formatCode>General</c:formatCode>
                <c:ptCount val="4"/>
                <c:pt idx="0">
                  <c:v>0</c:v>
                </c:pt>
                <c:pt idx="1">
                  <c:v>22</c:v>
                </c:pt>
                <c:pt idx="2">
                  <c:v>44</c:v>
                </c:pt>
                <c:pt idx="3">
                  <c:v>65</c:v>
                </c:pt>
              </c:numCache>
            </c:numRef>
          </c:yVal>
          <c:smooth val="0"/>
          <c:extLst>
            <c:ext xmlns:c16="http://schemas.microsoft.com/office/drawing/2014/chart" uri="{C3380CC4-5D6E-409C-BE32-E72D297353CC}">
              <c16:uniqueId val="{00000000-E2ED-4881-8BB3-D2F0D34F1D1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5.'!$A$156</c:f>
              <c:strCache>
                <c:ptCount val="1"/>
                <c:pt idx="0">
                  <c:v>Qd=65-6.5Px</c:v>
                </c:pt>
              </c:strCache>
            </c:strRef>
          </c:tx>
          <c:spPr>
            <a:ln w="22225" cap="rnd">
              <a:solidFill>
                <a:schemeClr val="accent1"/>
              </a:solidFill>
              <a:prstDash val="solid"/>
              <a:round/>
            </a:ln>
            <a:effectLst/>
          </c:spPr>
          <c:marker>
            <c:symbol val="circle"/>
            <c:size val="6"/>
            <c:spPr>
              <a:solidFill>
                <a:schemeClr val="lt1"/>
              </a:solidFill>
              <a:ln w="15875">
                <a:solidFill>
                  <a:schemeClr val="accent1"/>
                </a:solidFill>
                <a:round/>
              </a:ln>
              <a:effectLst/>
            </c:spPr>
          </c:marker>
          <c:xVal>
            <c:numRef>
              <c:f>'Ejercicios 5.'!$A$160:$A$163</c:f>
              <c:numCache>
                <c:formatCode>General</c:formatCode>
                <c:ptCount val="4"/>
                <c:pt idx="0">
                  <c:v>65</c:v>
                </c:pt>
                <c:pt idx="1">
                  <c:v>45.5</c:v>
                </c:pt>
                <c:pt idx="2">
                  <c:v>26</c:v>
                </c:pt>
                <c:pt idx="3">
                  <c:v>0</c:v>
                </c:pt>
              </c:numCache>
            </c:numRef>
          </c:xVal>
          <c:yVal>
            <c:numRef>
              <c:f>'Ejercicios 5.'!$B$160:$B$163</c:f>
              <c:numCache>
                <c:formatCode>General</c:formatCode>
                <c:ptCount val="4"/>
                <c:pt idx="0">
                  <c:v>0</c:v>
                </c:pt>
                <c:pt idx="1">
                  <c:v>3</c:v>
                </c:pt>
                <c:pt idx="2">
                  <c:v>6</c:v>
                </c:pt>
                <c:pt idx="3">
                  <c:v>10</c:v>
                </c:pt>
              </c:numCache>
            </c:numRef>
          </c:yVal>
          <c:smooth val="0"/>
          <c:extLst>
            <c:ext xmlns:c16="http://schemas.microsoft.com/office/drawing/2014/chart" uri="{C3380CC4-5D6E-409C-BE32-E72D297353CC}">
              <c16:uniqueId val="{00000000-9FC6-4A85-824E-825C21B1E651}"/>
            </c:ext>
          </c:extLst>
        </c:ser>
        <c:ser>
          <c:idx val="1"/>
          <c:order val="1"/>
          <c:tx>
            <c:strRef>
              <c:f>'Ejercicios 5.'!$C$156</c:f>
              <c:strCache>
                <c:ptCount val="1"/>
                <c:pt idx="0">
                  <c:v>Qd=65-0.25Px</c:v>
                </c:pt>
              </c:strCache>
            </c:strRef>
          </c:tx>
          <c:spPr>
            <a:ln w="22225" cap="rnd">
              <a:solidFill>
                <a:schemeClr val="accent2"/>
              </a:solidFill>
              <a:prstDash val="dash"/>
              <a:round/>
            </a:ln>
            <a:effectLst/>
          </c:spPr>
          <c:marker>
            <c:symbol val="circle"/>
            <c:size val="6"/>
            <c:spPr>
              <a:solidFill>
                <a:schemeClr val="lt1"/>
              </a:solidFill>
              <a:ln w="15875">
                <a:solidFill>
                  <a:schemeClr val="accent2"/>
                </a:solidFill>
                <a:round/>
              </a:ln>
              <a:effectLst/>
            </c:spPr>
          </c:marker>
          <c:xVal>
            <c:numRef>
              <c:f>'Ejercicios 5.'!$C$160:$C$163</c:f>
              <c:numCache>
                <c:formatCode>General</c:formatCode>
                <c:ptCount val="4"/>
                <c:pt idx="0">
                  <c:v>65</c:v>
                </c:pt>
                <c:pt idx="1">
                  <c:v>43</c:v>
                </c:pt>
                <c:pt idx="2">
                  <c:v>21</c:v>
                </c:pt>
                <c:pt idx="3">
                  <c:v>0</c:v>
                </c:pt>
              </c:numCache>
            </c:numRef>
          </c:xVal>
          <c:yVal>
            <c:numRef>
              <c:f>'Ejercicios 5.'!$D$160:$D$163</c:f>
              <c:numCache>
                <c:formatCode>General</c:formatCode>
                <c:ptCount val="4"/>
                <c:pt idx="0">
                  <c:v>0</c:v>
                </c:pt>
                <c:pt idx="1">
                  <c:v>88</c:v>
                </c:pt>
                <c:pt idx="2">
                  <c:v>176</c:v>
                </c:pt>
                <c:pt idx="3">
                  <c:v>260</c:v>
                </c:pt>
              </c:numCache>
            </c:numRef>
          </c:yVal>
          <c:smooth val="0"/>
          <c:extLst>
            <c:ext xmlns:c16="http://schemas.microsoft.com/office/drawing/2014/chart" uri="{C3380CC4-5D6E-409C-BE32-E72D297353CC}">
              <c16:uniqueId val="{00000001-9FC6-4A85-824E-825C21B1E651}"/>
            </c:ext>
          </c:extLst>
        </c:ser>
        <c:ser>
          <c:idx val="2"/>
          <c:order val="2"/>
          <c:tx>
            <c:strRef>
              <c:f>'Ejercicios 5.'!$E$156</c:f>
              <c:strCache>
                <c:ptCount val="1"/>
                <c:pt idx="0">
                  <c:v>Qd=65-Px</c:v>
                </c:pt>
              </c:strCache>
            </c:strRef>
          </c:tx>
          <c:spPr>
            <a:ln w="22225" cap="rnd">
              <a:solidFill>
                <a:schemeClr val="accent3"/>
              </a:solidFill>
              <a:prstDash val="dashDot"/>
              <a:round/>
            </a:ln>
            <a:effectLst/>
          </c:spPr>
          <c:marker>
            <c:symbol val="circle"/>
            <c:size val="6"/>
            <c:spPr>
              <a:solidFill>
                <a:schemeClr val="lt1"/>
              </a:solidFill>
              <a:ln w="15875">
                <a:solidFill>
                  <a:schemeClr val="accent3"/>
                </a:solidFill>
                <a:round/>
              </a:ln>
              <a:effectLst/>
            </c:spPr>
          </c:marker>
          <c:xVal>
            <c:numRef>
              <c:f>'Ejercicios 5.'!$E$160:$E$163</c:f>
              <c:numCache>
                <c:formatCode>General</c:formatCode>
                <c:ptCount val="4"/>
                <c:pt idx="0">
                  <c:v>65</c:v>
                </c:pt>
                <c:pt idx="1">
                  <c:v>43</c:v>
                </c:pt>
                <c:pt idx="2">
                  <c:v>21</c:v>
                </c:pt>
                <c:pt idx="3">
                  <c:v>0</c:v>
                </c:pt>
              </c:numCache>
            </c:numRef>
          </c:xVal>
          <c:yVal>
            <c:numRef>
              <c:f>'Ejercicios 5.'!$F$160:$F$163</c:f>
              <c:numCache>
                <c:formatCode>General</c:formatCode>
                <c:ptCount val="4"/>
                <c:pt idx="0">
                  <c:v>0</c:v>
                </c:pt>
                <c:pt idx="1">
                  <c:v>22</c:v>
                </c:pt>
                <c:pt idx="2">
                  <c:v>44</c:v>
                </c:pt>
                <c:pt idx="3">
                  <c:v>65</c:v>
                </c:pt>
              </c:numCache>
            </c:numRef>
          </c:yVal>
          <c:smooth val="0"/>
          <c:extLst>
            <c:ext xmlns:c16="http://schemas.microsoft.com/office/drawing/2014/chart" uri="{C3380CC4-5D6E-409C-BE32-E72D297353CC}">
              <c16:uniqueId val="{00000002-9FC6-4A85-824E-825C21B1E65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1"/>
          <c:order val="0"/>
          <c:tx>
            <c:strRef>
              <c:f>'Ejercicios 5.'!$A$171</c:f>
              <c:strCache>
                <c:ptCount val="1"/>
                <c:pt idx="0">
                  <c:v>Qd=24-(1/4)Px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5.'!$A$175:$A$178</c:f>
              <c:numCache>
                <c:formatCode>General</c:formatCode>
                <c:ptCount val="4"/>
                <c:pt idx="0">
                  <c:v>24</c:v>
                </c:pt>
                <c:pt idx="1">
                  <c:v>16</c:v>
                </c:pt>
                <c:pt idx="2">
                  <c:v>8</c:v>
                </c:pt>
                <c:pt idx="3">
                  <c:v>0</c:v>
                </c:pt>
              </c:numCache>
            </c:numRef>
          </c:xVal>
          <c:yVal>
            <c:numRef>
              <c:f>'Ejercicios 5.'!$B$175:$B$178</c:f>
              <c:numCache>
                <c:formatCode>General</c:formatCode>
                <c:ptCount val="4"/>
                <c:pt idx="0">
                  <c:v>0</c:v>
                </c:pt>
                <c:pt idx="1">
                  <c:v>32</c:v>
                </c:pt>
                <c:pt idx="2">
                  <c:v>64</c:v>
                </c:pt>
                <c:pt idx="3">
                  <c:v>96</c:v>
                </c:pt>
              </c:numCache>
            </c:numRef>
          </c:yVal>
          <c:smooth val="0"/>
          <c:extLst>
            <c:ext xmlns:c16="http://schemas.microsoft.com/office/drawing/2014/chart" uri="{C3380CC4-5D6E-409C-BE32-E72D297353CC}">
              <c16:uniqueId val="{00000001-D05C-45BF-82DF-D957CF97834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1"/>
          <c:order val="0"/>
          <c:tx>
            <c:strRef>
              <c:f>'Ejercicios 5.'!$A$186</c:f>
              <c:strCache>
                <c:ptCount val="1"/>
                <c:pt idx="0">
                  <c:v>Qd=32-(1/4)Px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5.'!$A$190:$A$193</c:f>
              <c:numCache>
                <c:formatCode>General</c:formatCode>
                <c:ptCount val="4"/>
                <c:pt idx="0">
                  <c:v>32</c:v>
                </c:pt>
                <c:pt idx="1">
                  <c:v>21.5</c:v>
                </c:pt>
                <c:pt idx="2">
                  <c:v>11</c:v>
                </c:pt>
                <c:pt idx="3">
                  <c:v>0</c:v>
                </c:pt>
              </c:numCache>
            </c:numRef>
          </c:xVal>
          <c:yVal>
            <c:numRef>
              <c:f>'Ejercicios 5.'!$B$190:$B$193</c:f>
              <c:numCache>
                <c:formatCode>General</c:formatCode>
                <c:ptCount val="4"/>
                <c:pt idx="0">
                  <c:v>0</c:v>
                </c:pt>
                <c:pt idx="1">
                  <c:v>42</c:v>
                </c:pt>
                <c:pt idx="2">
                  <c:v>84</c:v>
                </c:pt>
                <c:pt idx="3">
                  <c:v>128</c:v>
                </c:pt>
              </c:numCache>
            </c:numRef>
          </c:yVal>
          <c:smooth val="0"/>
          <c:extLst>
            <c:ext xmlns:c16="http://schemas.microsoft.com/office/drawing/2014/chart" uri="{C3380CC4-5D6E-409C-BE32-E72D297353CC}">
              <c16:uniqueId val="{00000000-0A3D-4C2F-8B00-80A7A3BC6BF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1"/>
          <c:order val="0"/>
          <c:tx>
            <c:strRef>
              <c:f>'Ejercicios 5.'!$A$201</c:f>
              <c:strCache>
                <c:ptCount val="1"/>
                <c:pt idx="0">
                  <c:v>Qd=44-(1/4)Px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5.'!$A$205:$A$208</c:f>
              <c:numCache>
                <c:formatCode>General</c:formatCode>
                <c:ptCount val="4"/>
                <c:pt idx="0">
                  <c:v>44</c:v>
                </c:pt>
                <c:pt idx="1">
                  <c:v>29</c:v>
                </c:pt>
                <c:pt idx="2">
                  <c:v>14</c:v>
                </c:pt>
                <c:pt idx="3">
                  <c:v>0</c:v>
                </c:pt>
              </c:numCache>
            </c:numRef>
          </c:xVal>
          <c:yVal>
            <c:numRef>
              <c:f>'Ejercicios 5.'!$B$205:$B$208</c:f>
              <c:numCache>
                <c:formatCode>General</c:formatCode>
                <c:ptCount val="4"/>
                <c:pt idx="0">
                  <c:v>0</c:v>
                </c:pt>
                <c:pt idx="1">
                  <c:v>60</c:v>
                </c:pt>
                <c:pt idx="2">
                  <c:v>120</c:v>
                </c:pt>
                <c:pt idx="3">
                  <c:v>176</c:v>
                </c:pt>
              </c:numCache>
            </c:numRef>
          </c:yVal>
          <c:smooth val="0"/>
          <c:extLst>
            <c:ext xmlns:c16="http://schemas.microsoft.com/office/drawing/2014/chart" uri="{C3380CC4-5D6E-409C-BE32-E72D297353CC}">
              <c16:uniqueId val="{00000000-20B9-41E6-99F9-5887FA4D640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1"/>
          <c:order val="0"/>
          <c:tx>
            <c:strRef>
              <c:f>'Ejercicios 5.'!$A$216</c:f>
              <c:strCache>
                <c:ptCount val="1"/>
                <c:pt idx="0">
                  <c:v>Qd=24-(1/4)Px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5.'!$A$220:$A$223</c:f>
              <c:numCache>
                <c:formatCode>General</c:formatCode>
                <c:ptCount val="4"/>
                <c:pt idx="0">
                  <c:v>24</c:v>
                </c:pt>
                <c:pt idx="1">
                  <c:v>16</c:v>
                </c:pt>
                <c:pt idx="2">
                  <c:v>8</c:v>
                </c:pt>
                <c:pt idx="3">
                  <c:v>0</c:v>
                </c:pt>
              </c:numCache>
            </c:numRef>
          </c:xVal>
          <c:yVal>
            <c:numRef>
              <c:f>'Ejercicios 5.'!$B$220:$B$223</c:f>
              <c:numCache>
                <c:formatCode>General</c:formatCode>
                <c:ptCount val="4"/>
                <c:pt idx="0">
                  <c:v>0</c:v>
                </c:pt>
                <c:pt idx="1">
                  <c:v>32</c:v>
                </c:pt>
                <c:pt idx="2">
                  <c:v>64</c:v>
                </c:pt>
                <c:pt idx="3">
                  <c:v>96</c:v>
                </c:pt>
              </c:numCache>
            </c:numRef>
          </c:yVal>
          <c:smooth val="0"/>
          <c:extLst>
            <c:ext xmlns:c16="http://schemas.microsoft.com/office/drawing/2014/chart" uri="{C3380CC4-5D6E-409C-BE32-E72D297353CC}">
              <c16:uniqueId val="{00000000-F2DA-4C1E-BCB1-7FF51228A527}"/>
            </c:ext>
          </c:extLst>
        </c:ser>
        <c:ser>
          <c:idx val="0"/>
          <c:order val="1"/>
          <c:tx>
            <c:strRef>
              <c:f>'Ejercicios 5.'!$C$216</c:f>
              <c:strCache>
                <c:ptCount val="1"/>
                <c:pt idx="0">
                  <c:v>Qd=32-(1/4)Px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5.'!$C$220:$C$223</c:f>
              <c:numCache>
                <c:formatCode>General</c:formatCode>
                <c:ptCount val="4"/>
                <c:pt idx="0">
                  <c:v>32</c:v>
                </c:pt>
                <c:pt idx="1">
                  <c:v>21</c:v>
                </c:pt>
                <c:pt idx="2">
                  <c:v>11</c:v>
                </c:pt>
                <c:pt idx="3">
                  <c:v>0</c:v>
                </c:pt>
              </c:numCache>
            </c:numRef>
          </c:xVal>
          <c:yVal>
            <c:numRef>
              <c:f>'Ejercicios 5.'!$D$220:$D$223</c:f>
              <c:numCache>
                <c:formatCode>General</c:formatCode>
                <c:ptCount val="4"/>
                <c:pt idx="0">
                  <c:v>0</c:v>
                </c:pt>
                <c:pt idx="1">
                  <c:v>44</c:v>
                </c:pt>
                <c:pt idx="2">
                  <c:v>84</c:v>
                </c:pt>
                <c:pt idx="3">
                  <c:v>128</c:v>
                </c:pt>
              </c:numCache>
            </c:numRef>
          </c:yVal>
          <c:smooth val="0"/>
          <c:extLst>
            <c:ext xmlns:c16="http://schemas.microsoft.com/office/drawing/2014/chart" uri="{C3380CC4-5D6E-409C-BE32-E72D297353CC}">
              <c16:uniqueId val="{00000001-F2DA-4C1E-BCB1-7FF51228A527}"/>
            </c:ext>
          </c:extLst>
        </c:ser>
        <c:ser>
          <c:idx val="2"/>
          <c:order val="2"/>
          <c:tx>
            <c:strRef>
              <c:f>'Ejercicios 5.'!$E$216</c:f>
              <c:strCache>
                <c:ptCount val="1"/>
                <c:pt idx="0">
                  <c:v>Qd=44-(1/4)Px</c:v>
                </c:pt>
              </c:strCache>
            </c:strRef>
          </c:tx>
          <c:spPr>
            <a:ln w="22225" cap="rnd">
              <a:solidFill>
                <a:schemeClr val="accent3"/>
              </a:solidFill>
              <a:prstDash val="sysDot"/>
              <a:round/>
            </a:ln>
            <a:effectLst/>
          </c:spPr>
          <c:marker>
            <c:symbol val="circle"/>
            <c:size val="6"/>
            <c:spPr>
              <a:solidFill>
                <a:schemeClr val="lt1"/>
              </a:solidFill>
              <a:ln w="15875">
                <a:solidFill>
                  <a:schemeClr val="accent3"/>
                </a:solidFill>
                <a:round/>
              </a:ln>
              <a:effectLst/>
            </c:spPr>
          </c:marker>
          <c:xVal>
            <c:numRef>
              <c:f>'Ejercicios 5.'!$E$220:$E$223</c:f>
              <c:numCache>
                <c:formatCode>General</c:formatCode>
                <c:ptCount val="4"/>
                <c:pt idx="0">
                  <c:v>44</c:v>
                </c:pt>
                <c:pt idx="1">
                  <c:v>29</c:v>
                </c:pt>
                <c:pt idx="2">
                  <c:v>14</c:v>
                </c:pt>
                <c:pt idx="3">
                  <c:v>0</c:v>
                </c:pt>
              </c:numCache>
            </c:numRef>
          </c:xVal>
          <c:yVal>
            <c:numRef>
              <c:f>'Ejercicios 5.'!$F$220:$F$223</c:f>
              <c:numCache>
                <c:formatCode>General</c:formatCode>
                <c:ptCount val="4"/>
                <c:pt idx="0">
                  <c:v>0</c:v>
                </c:pt>
                <c:pt idx="1">
                  <c:v>60</c:v>
                </c:pt>
                <c:pt idx="2">
                  <c:v>120</c:v>
                </c:pt>
                <c:pt idx="3">
                  <c:v>176</c:v>
                </c:pt>
              </c:numCache>
            </c:numRef>
          </c:yVal>
          <c:smooth val="0"/>
          <c:extLst>
            <c:ext xmlns:c16="http://schemas.microsoft.com/office/drawing/2014/chart" uri="{C3380CC4-5D6E-409C-BE32-E72D297353CC}">
              <c16:uniqueId val="{00000002-F2DA-4C1E-BCB1-7FF51228A527}"/>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prstDash val="sysDot"/>
      <a:round/>
    </a:ln>
    <a:effectLst/>
  </c:spPr>
  <c:txPr>
    <a:bodyPr/>
    <a:lstStyle/>
    <a:p>
      <a:pPr>
        <a:defRPr/>
      </a:pPr>
      <a:endParaRPr lang="es-MX"/>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5.'!$A$232</c:f>
              <c:strCache>
                <c:ptCount val="1"/>
                <c:pt idx="0">
                  <c:v>Qd=50-0.5Px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5.'!$A$236:$A$239</c:f>
              <c:numCache>
                <c:formatCode>General</c:formatCode>
                <c:ptCount val="4"/>
                <c:pt idx="0">
                  <c:v>50</c:v>
                </c:pt>
                <c:pt idx="1">
                  <c:v>33</c:v>
                </c:pt>
                <c:pt idx="2">
                  <c:v>17</c:v>
                </c:pt>
                <c:pt idx="3">
                  <c:v>0</c:v>
                </c:pt>
              </c:numCache>
            </c:numRef>
          </c:xVal>
          <c:yVal>
            <c:numRef>
              <c:f>'Ejercicios 5.'!$B$236:$B$239</c:f>
              <c:numCache>
                <c:formatCode>General</c:formatCode>
                <c:ptCount val="4"/>
                <c:pt idx="0">
                  <c:v>0</c:v>
                </c:pt>
                <c:pt idx="1">
                  <c:v>34</c:v>
                </c:pt>
                <c:pt idx="2">
                  <c:v>66</c:v>
                </c:pt>
                <c:pt idx="3">
                  <c:v>100</c:v>
                </c:pt>
              </c:numCache>
            </c:numRef>
          </c:yVal>
          <c:smooth val="0"/>
          <c:extLst>
            <c:ext xmlns:c16="http://schemas.microsoft.com/office/drawing/2014/chart" uri="{C3380CC4-5D6E-409C-BE32-E72D297353CC}">
              <c16:uniqueId val="{00000002-76E0-4B75-B889-F458156783E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5.'!$A$248</c:f>
              <c:strCache>
                <c:ptCount val="1"/>
                <c:pt idx="0">
                  <c:v>Qd=75-0.5Px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5.'!$A$252:$A$255</c:f>
              <c:numCache>
                <c:formatCode>General</c:formatCode>
                <c:ptCount val="4"/>
                <c:pt idx="0">
                  <c:v>75</c:v>
                </c:pt>
                <c:pt idx="1">
                  <c:v>50</c:v>
                </c:pt>
                <c:pt idx="2">
                  <c:v>25</c:v>
                </c:pt>
                <c:pt idx="3">
                  <c:v>0</c:v>
                </c:pt>
              </c:numCache>
            </c:numRef>
          </c:xVal>
          <c:yVal>
            <c:numRef>
              <c:f>'Ejercicios 5.'!$B$252:$B$255</c:f>
              <c:numCache>
                <c:formatCode>General</c:formatCode>
                <c:ptCount val="4"/>
                <c:pt idx="0">
                  <c:v>0</c:v>
                </c:pt>
                <c:pt idx="1">
                  <c:v>50</c:v>
                </c:pt>
                <c:pt idx="2">
                  <c:v>100</c:v>
                </c:pt>
                <c:pt idx="3">
                  <c:v>150</c:v>
                </c:pt>
              </c:numCache>
            </c:numRef>
          </c:yVal>
          <c:smooth val="0"/>
          <c:extLst>
            <c:ext xmlns:c16="http://schemas.microsoft.com/office/drawing/2014/chart" uri="{C3380CC4-5D6E-409C-BE32-E72D297353CC}">
              <c16:uniqueId val="{00000000-709F-4826-944C-B2098074E57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5.'!$A$263</c:f>
              <c:strCache>
                <c:ptCount val="1"/>
                <c:pt idx="0">
                  <c:v>Qd=30-0.5Px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5.'!$A$267:$A$270</c:f>
              <c:numCache>
                <c:formatCode>General</c:formatCode>
                <c:ptCount val="4"/>
                <c:pt idx="0">
                  <c:v>30</c:v>
                </c:pt>
                <c:pt idx="1">
                  <c:v>20</c:v>
                </c:pt>
                <c:pt idx="2">
                  <c:v>10</c:v>
                </c:pt>
                <c:pt idx="3">
                  <c:v>0</c:v>
                </c:pt>
              </c:numCache>
            </c:numRef>
          </c:xVal>
          <c:yVal>
            <c:numRef>
              <c:f>'Ejercicios 5.'!$B$267:$B$270</c:f>
              <c:numCache>
                <c:formatCode>General</c:formatCode>
                <c:ptCount val="4"/>
                <c:pt idx="0">
                  <c:v>0</c:v>
                </c:pt>
                <c:pt idx="1">
                  <c:v>20</c:v>
                </c:pt>
                <c:pt idx="2">
                  <c:v>40</c:v>
                </c:pt>
                <c:pt idx="3">
                  <c:v>60</c:v>
                </c:pt>
              </c:numCache>
            </c:numRef>
          </c:yVal>
          <c:smooth val="0"/>
          <c:extLst>
            <c:ext xmlns:c16="http://schemas.microsoft.com/office/drawing/2014/chart" uri="{C3380CC4-5D6E-409C-BE32-E72D297353CC}">
              <c16:uniqueId val="{00000000-53C5-4B56-8D42-1E80FD49A43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2"/>
          <c:order val="0"/>
          <c:tx>
            <c:strRef>
              <c:f>'Ejercicios 5.'!$A$279</c:f>
              <c:strCache>
                <c:ptCount val="1"/>
                <c:pt idx="0">
                  <c:v>Qd=50-0.5Px</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xVal>
            <c:numRef>
              <c:f>'Ejercicios 5.'!$A$283:$A$286</c:f>
              <c:numCache>
                <c:formatCode>General</c:formatCode>
                <c:ptCount val="4"/>
                <c:pt idx="0">
                  <c:v>50</c:v>
                </c:pt>
                <c:pt idx="1">
                  <c:v>33</c:v>
                </c:pt>
                <c:pt idx="2">
                  <c:v>17</c:v>
                </c:pt>
                <c:pt idx="3">
                  <c:v>0</c:v>
                </c:pt>
              </c:numCache>
            </c:numRef>
          </c:xVal>
          <c:yVal>
            <c:numRef>
              <c:f>'Ejercicios 5.'!$B$283:$B$286</c:f>
              <c:numCache>
                <c:formatCode>General</c:formatCode>
                <c:ptCount val="4"/>
                <c:pt idx="0">
                  <c:v>0</c:v>
                </c:pt>
                <c:pt idx="1">
                  <c:v>34</c:v>
                </c:pt>
                <c:pt idx="2">
                  <c:v>66</c:v>
                </c:pt>
                <c:pt idx="3">
                  <c:v>100</c:v>
                </c:pt>
              </c:numCache>
            </c:numRef>
          </c:yVal>
          <c:smooth val="0"/>
          <c:extLst>
            <c:ext xmlns:c16="http://schemas.microsoft.com/office/drawing/2014/chart" uri="{C3380CC4-5D6E-409C-BE32-E72D297353CC}">
              <c16:uniqueId val="{00000000-3176-440F-9DDC-5D93841FAAAA}"/>
            </c:ext>
          </c:extLst>
        </c:ser>
        <c:ser>
          <c:idx val="0"/>
          <c:order val="1"/>
          <c:tx>
            <c:strRef>
              <c:f>'Ejercicios 5.'!$C$279</c:f>
              <c:strCache>
                <c:ptCount val="1"/>
                <c:pt idx="0">
                  <c:v>Qd=75-0.5Px</c:v>
                </c:pt>
              </c:strCache>
            </c:strRef>
          </c:tx>
          <c:spPr>
            <a:ln w="22225" cap="rnd">
              <a:solidFill>
                <a:schemeClr val="accent1"/>
              </a:solidFill>
              <a:prstDash val="sysDot"/>
              <a:round/>
            </a:ln>
            <a:effectLst/>
          </c:spPr>
          <c:marker>
            <c:symbol val="circle"/>
            <c:size val="6"/>
            <c:spPr>
              <a:solidFill>
                <a:schemeClr val="lt1"/>
              </a:solidFill>
              <a:ln w="15875">
                <a:solidFill>
                  <a:schemeClr val="accent1"/>
                </a:solidFill>
                <a:round/>
              </a:ln>
              <a:effectLst/>
            </c:spPr>
          </c:marker>
          <c:xVal>
            <c:numRef>
              <c:f>'Ejercicios 5.'!$C$283:$C$286</c:f>
              <c:numCache>
                <c:formatCode>General</c:formatCode>
                <c:ptCount val="4"/>
                <c:pt idx="0">
                  <c:v>75</c:v>
                </c:pt>
                <c:pt idx="1">
                  <c:v>50</c:v>
                </c:pt>
                <c:pt idx="2">
                  <c:v>25</c:v>
                </c:pt>
                <c:pt idx="3">
                  <c:v>0</c:v>
                </c:pt>
              </c:numCache>
            </c:numRef>
          </c:xVal>
          <c:yVal>
            <c:numRef>
              <c:f>'Ejercicios 5.'!$D$283:$D$286</c:f>
              <c:numCache>
                <c:formatCode>General</c:formatCode>
                <c:ptCount val="4"/>
                <c:pt idx="0">
                  <c:v>0</c:v>
                </c:pt>
                <c:pt idx="1">
                  <c:v>50</c:v>
                </c:pt>
                <c:pt idx="2">
                  <c:v>100</c:v>
                </c:pt>
                <c:pt idx="3">
                  <c:v>150</c:v>
                </c:pt>
              </c:numCache>
            </c:numRef>
          </c:yVal>
          <c:smooth val="0"/>
          <c:extLst>
            <c:ext xmlns:c16="http://schemas.microsoft.com/office/drawing/2014/chart" uri="{C3380CC4-5D6E-409C-BE32-E72D297353CC}">
              <c16:uniqueId val="{00000001-3176-440F-9DDC-5D93841FAAAA}"/>
            </c:ext>
          </c:extLst>
        </c:ser>
        <c:ser>
          <c:idx val="1"/>
          <c:order val="2"/>
          <c:tx>
            <c:strRef>
              <c:f>'Ejercicios 5.'!$E$279</c:f>
              <c:strCache>
                <c:ptCount val="1"/>
                <c:pt idx="0">
                  <c:v>Qd=30-0.5Px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5.'!$E$283:$E$286</c:f>
              <c:numCache>
                <c:formatCode>General</c:formatCode>
                <c:ptCount val="4"/>
                <c:pt idx="0">
                  <c:v>30</c:v>
                </c:pt>
                <c:pt idx="1">
                  <c:v>20</c:v>
                </c:pt>
                <c:pt idx="2">
                  <c:v>10</c:v>
                </c:pt>
                <c:pt idx="3">
                  <c:v>0</c:v>
                </c:pt>
              </c:numCache>
            </c:numRef>
          </c:xVal>
          <c:yVal>
            <c:numRef>
              <c:f>'Ejercicios 5.'!$F$283:$F$286</c:f>
              <c:numCache>
                <c:formatCode>General</c:formatCode>
                <c:ptCount val="4"/>
                <c:pt idx="0">
                  <c:v>0</c:v>
                </c:pt>
                <c:pt idx="1">
                  <c:v>20</c:v>
                </c:pt>
                <c:pt idx="2">
                  <c:v>40</c:v>
                </c:pt>
                <c:pt idx="3">
                  <c:v>60</c:v>
                </c:pt>
              </c:numCache>
            </c:numRef>
          </c:yVal>
          <c:smooth val="0"/>
          <c:extLst>
            <c:ext xmlns:c16="http://schemas.microsoft.com/office/drawing/2014/chart" uri="{C3380CC4-5D6E-409C-BE32-E72D297353CC}">
              <c16:uniqueId val="{00000002-3176-440F-9DDC-5D93841FAAA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5.'!$A$294</c:f>
              <c:strCache>
                <c:ptCount val="1"/>
                <c:pt idx="0">
                  <c:v>Qd=80-2Px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5.'!$A$298:$A$301</c:f>
              <c:numCache>
                <c:formatCode>General</c:formatCode>
                <c:ptCount val="4"/>
                <c:pt idx="0">
                  <c:v>80</c:v>
                </c:pt>
                <c:pt idx="1">
                  <c:v>54</c:v>
                </c:pt>
                <c:pt idx="2">
                  <c:v>28</c:v>
                </c:pt>
                <c:pt idx="3">
                  <c:v>0</c:v>
                </c:pt>
              </c:numCache>
            </c:numRef>
          </c:xVal>
          <c:yVal>
            <c:numRef>
              <c:f>'Ejercicios 5.'!$B$298:$B$301</c:f>
              <c:numCache>
                <c:formatCode>General</c:formatCode>
                <c:ptCount val="4"/>
                <c:pt idx="0">
                  <c:v>0</c:v>
                </c:pt>
                <c:pt idx="1">
                  <c:v>13</c:v>
                </c:pt>
                <c:pt idx="2">
                  <c:v>26</c:v>
                </c:pt>
                <c:pt idx="3">
                  <c:v>40</c:v>
                </c:pt>
              </c:numCache>
            </c:numRef>
          </c:yVal>
          <c:smooth val="0"/>
          <c:extLst>
            <c:ext xmlns:c16="http://schemas.microsoft.com/office/drawing/2014/chart" uri="{C3380CC4-5D6E-409C-BE32-E72D297353CC}">
              <c16:uniqueId val="{00000001-FE6F-4320-B12E-9243DF0F906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5.'!$A$309</c:f>
              <c:strCache>
                <c:ptCount val="1"/>
                <c:pt idx="0">
                  <c:v>Qd=120-2Px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5.'!$A$313:$A$316</c:f>
              <c:numCache>
                <c:formatCode>General</c:formatCode>
                <c:ptCount val="4"/>
                <c:pt idx="0">
                  <c:v>120</c:v>
                </c:pt>
                <c:pt idx="1">
                  <c:v>80</c:v>
                </c:pt>
                <c:pt idx="2">
                  <c:v>40</c:v>
                </c:pt>
                <c:pt idx="3">
                  <c:v>0</c:v>
                </c:pt>
              </c:numCache>
            </c:numRef>
          </c:xVal>
          <c:yVal>
            <c:numRef>
              <c:f>'Ejercicios 5.'!$B$313:$B$316</c:f>
              <c:numCache>
                <c:formatCode>General</c:formatCode>
                <c:ptCount val="4"/>
                <c:pt idx="0">
                  <c:v>0</c:v>
                </c:pt>
                <c:pt idx="1">
                  <c:v>20</c:v>
                </c:pt>
                <c:pt idx="2">
                  <c:v>40</c:v>
                </c:pt>
                <c:pt idx="3">
                  <c:v>60</c:v>
                </c:pt>
              </c:numCache>
            </c:numRef>
          </c:yVal>
          <c:smooth val="0"/>
          <c:extLst>
            <c:ext xmlns:c16="http://schemas.microsoft.com/office/drawing/2014/chart" uri="{C3380CC4-5D6E-409C-BE32-E72D297353CC}">
              <c16:uniqueId val="{00000000-857F-4A35-B924-BEAE0C73C09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5.'!$A$324</c:f>
              <c:strCache>
                <c:ptCount val="1"/>
                <c:pt idx="0">
                  <c:v>Qd=160-2Px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5.'!$A$328:$A$331</c:f>
              <c:numCache>
                <c:formatCode>General</c:formatCode>
                <c:ptCount val="4"/>
                <c:pt idx="0">
                  <c:v>160</c:v>
                </c:pt>
                <c:pt idx="1">
                  <c:v>106</c:v>
                </c:pt>
                <c:pt idx="2">
                  <c:v>52</c:v>
                </c:pt>
                <c:pt idx="3">
                  <c:v>0</c:v>
                </c:pt>
              </c:numCache>
            </c:numRef>
          </c:xVal>
          <c:yVal>
            <c:numRef>
              <c:f>'Ejercicios 5.'!$B$328:$B$331</c:f>
              <c:numCache>
                <c:formatCode>General</c:formatCode>
                <c:ptCount val="4"/>
                <c:pt idx="0">
                  <c:v>0</c:v>
                </c:pt>
                <c:pt idx="1">
                  <c:v>27</c:v>
                </c:pt>
                <c:pt idx="2">
                  <c:v>54</c:v>
                </c:pt>
                <c:pt idx="3">
                  <c:v>80</c:v>
                </c:pt>
              </c:numCache>
            </c:numRef>
          </c:yVal>
          <c:smooth val="0"/>
          <c:extLst>
            <c:ext xmlns:c16="http://schemas.microsoft.com/office/drawing/2014/chart" uri="{C3380CC4-5D6E-409C-BE32-E72D297353CC}">
              <c16:uniqueId val="{00000000-32F9-4DCB-85B6-43D87964AFF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5.'!$A$339</c:f>
              <c:strCache>
                <c:ptCount val="1"/>
                <c:pt idx="0">
                  <c:v>Qd=80-2Px</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5.'!$A$343:$A$346</c:f>
              <c:numCache>
                <c:formatCode>General</c:formatCode>
                <c:ptCount val="4"/>
                <c:pt idx="0">
                  <c:v>80</c:v>
                </c:pt>
                <c:pt idx="1">
                  <c:v>54</c:v>
                </c:pt>
                <c:pt idx="2">
                  <c:v>28</c:v>
                </c:pt>
                <c:pt idx="3">
                  <c:v>0</c:v>
                </c:pt>
              </c:numCache>
            </c:numRef>
          </c:xVal>
          <c:yVal>
            <c:numRef>
              <c:f>'Ejercicios 5.'!$B$343:$B$346</c:f>
              <c:numCache>
                <c:formatCode>General</c:formatCode>
                <c:ptCount val="4"/>
                <c:pt idx="0">
                  <c:v>0</c:v>
                </c:pt>
                <c:pt idx="1">
                  <c:v>13</c:v>
                </c:pt>
                <c:pt idx="2">
                  <c:v>26</c:v>
                </c:pt>
                <c:pt idx="3">
                  <c:v>40</c:v>
                </c:pt>
              </c:numCache>
            </c:numRef>
          </c:yVal>
          <c:smooth val="0"/>
          <c:extLst>
            <c:ext xmlns:c16="http://schemas.microsoft.com/office/drawing/2014/chart" uri="{C3380CC4-5D6E-409C-BE32-E72D297353CC}">
              <c16:uniqueId val="{00000000-8831-4579-A754-685321EA3C4A}"/>
            </c:ext>
          </c:extLst>
        </c:ser>
        <c:ser>
          <c:idx val="1"/>
          <c:order val="1"/>
          <c:tx>
            <c:strRef>
              <c:f>'Ejercicios 5.'!$C$339</c:f>
              <c:strCache>
                <c:ptCount val="1"/>
                <c:pt idx="0">
                  <c:v>Qd=120-2Px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5.'!$C$343:$C$346</c:f>
              <c:numCache>
                <c:formatCode>General</c:formatCode>
                <c:ptCount val="4"/>
                <c:pt idx="0">
                  <c:v>120</c:v>
                </c:pt>
                <c:pt idx="1">
                  <c:v>80</c:v>
                </c:pt>
                <c:pt idx="2">
                  <c:v>40</c:v>
                </c:pt>
                <c:pt idx="3">
                  <c:v>0</c:v>
                </c:pt>
              </c:numCache>
            </c:numRef>
          </c:xVal>
          <c:yVal>
            <c:numRef>
              <c:f>'Ejercicios 5.'!$D$343:$D$346</c:f>
              <c:numCache>
                <c:formatCode>General</c:formatCode>
                <c:ptCount val="4"/>
                <c:pt idx="0">
                  <c:v>0</c:v>
                </c:pt>
                <c:pt idx="1">
                  <c:v>20</c:v>
                </c:pt>
                <c:pt idx="2">
                  <c:v>40</c:v>
                </c:pt>
                <c:pt idx="3">
                  <c:v>60</c:v>
                </c:pt>
              </c:numCache>
            </c:numRef>
          </c:yVal>
          <c:smooth val="0"/>
          <c:extLst>
            <c:ext xmlns:c16="http://schemas.microsoft.com/office/drawing/2014/chart" uri="{C3380CC4-5D6E-409C-BE32-E72D297353CC}">
              <c16:uniqueId val="{00000001-8831-4579-A754-685321EA3C4A}"/>
            </c:ext>
          </c:extLst>
        </c:ser>
        <c:ser>
          <c:idx val="2"/>
          <c:order val="2"/>
          <c:tx>
            <c:strRef>
              <c:f>'Ejercicios 5.'!$E$339</c:f>
              <c:strCache>
                <c:ptCount val="1"/>
                <c:pt idx="0">
                  <c:v>Qd=160-2Px</c:v>
                </c:pt>
              </c:strCache>
            </c:strRef>
          </c:tx>
          <c:spPr>
            <a:ln w="22225" cap="rnd">
              <a:solidFill>
                <a:schemeClr val="accent3"/>
              </a:solidFill>
              <a:prstDash val="sysDot"/>
              <a:round/>
            </a:ln>
            <a:effectLst/>
          </c:spPr>
          <c:marker>
            <c:symbol val="circle"/>
            <c:size val="6"/>
            <c:spPr>
              <a:solidFill>
                <a:schemeClr val="lt1"/>
              </a:solidFill>
              <a:ln w="15875">
                <a:solidFill>
                  <a:schemeClr val="accent3"/>
                </a:solidFill>
                <a:round/>
              </a:ln>
              <a:effectLst/>
            </c:spPr>
          </c:marker>
          <c:xVal>
            <c:numRef>
              <c:f>'Ejercicios 5.'!$E$343:$E$346</c:f>
              <c:numCache>
                <c:formatCode>General</c:formatCode>
                <c:ptCount val="4"/>
                <c:pt idx="0">
                  <c:v>160</c:v>
                </c:pt>
                <c:pt idx="1">
                  <c:v>106</c:v>
                </c:pt>
                <c:pt idx="2">
                  <c:v>52</c:v>
                </c:pt>
                <c:pt idx="3">
                  <c:v>0</c:v>
                </c:pt>
              </c:numCache>
            </c:numRef>
          </c:xVal>
          <c:yVal>
            <c:numRef>
              <c:f>'Ejercicios 5.'!$F$343:$F$346</c:f>
              <c:numCache>
                <c:formatCode>General</c:formatCode>
                <c:ptCount val="4"/>
                <c:pt idx="0">
                  <c:v>0</c:v>
                </c:pt>
                <c:pt idx="1">
                  <c:v>27</c:v>
                </c:pt>
                <c:pt idx="2">
                  <c:v>54</c:v>
                </c:pt>
                <c:pt idx="3">
                  <c:v>80</c:v>
                </c:pt>
              </c:numCache>
            </c:numRef>
          </c:yVal>
          <c:smooth val="0"/>
          <c:extLst>
            <c:ext xmlns:c16="http://schemas.microsoft.com/office/drawing/2014/chart" uri="{C3380CC4-5D6E-409C-BE32-E72D297353CC}">
              <c16:uniqueId val="{00000002-8831-4579-A754-685321EA3C4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5.'!$A$354</c:f>
              <c:strCache>
                <c:ptCount val="1"/>
                <c:pt idx="0">
                  <c:v>Qd=4-2Px</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5.'!$A$358:$A$361</c:f>
              <c:numCache>
                <c:formatCode>General</c:formatCode>
                <c:ptCount val="4"/>
                <c:pt idx="0">
                  <c:v>4</c:v>
                </c:pt>
                <c:pt idx="1">
                  <c:v>2</c:v>
                </c:pt>
                <c:pt idx="2">
                  <c:v>1</c:v>
                </c:pt>
                <c:pt idx="3">
                  <c:v>0</c:v>
                </c:pt>
              </c:numCache>
            </c:numRef>
          </c:xVal>
          <c:yVal>
            <c:numRef>
              <c:f>'Ejercicios 5.'!$B$358:$B$361</c:f>
              <c:numCache>
                <c:formatCode>General</c:formatCode>
                <c:ptCount val="4"/>
                <c:pt idx="0">
                  <c:v>0</c:v>
                </c:pt>
                <c:pt idx="1">
                  <c:v>1</c:v>
                </c:pt>
                <c:pt idx="2">
                  <c:v>1.5</c:v>
                </c:pt>
                <c:pt idx="3">
                  <c:v>2</c:v>
                </c:pt>
              </c:numCache>
            </c:numRef>
          </c:yVal>
          <c:smooth val="0"/>
          <c:extLst>
            <c:ext xmlns:c16="http://schemas.microsoft.com/office/drawing/2014/chart" uri="{C3380CC4-5D6E-409C-BE32-E72D297353CC}">
              <c16:uniqueId val="{00000000-C98A-4B89-A061-43568A185555}"/>
            </c:ext>
          </c:extLst>
        </c:ser>
        <c:ser>
          <c:idx val="1"/>
          <c:order val="1"/>
          <c:tx>
            <c:strRef>
              <c:f>'Ejercicios 5.'!$C$354</c:f>
              <c:strCache>
                <c:ptCount val="1"/>
                <c:pt idx="0">
                  <c:v>QD=120-60Px</c:v>
                </c:pt>
              </c:strCache>
            </c:strRef>
          </c:tx>
          <c:spPr>
            <a:ln w="22225" cap="rnd">
              <a:solidFill>
                <a:schemeClr val="accent2"/>
              </a:solidFill>
              <a:prstDash val="solid"/>
              <a:round/>
            </a:ln>
            <a:effectLst/>
          </c:spPr>
          <c:marker>
            <c:symbol val="circle"/>
            <c:size val="6"/>
            <c:spPr>
              <a:solidFill>
                <a:schemeClr val="lt1"/>
              </a:solidFill>
              <a:ln w="15875">
                <a:solidFill>
                  <a:schemeClr val="accent2"/>
                </a:solidFill>
                <a:round/>
              </a:ln>
              <a:effectLst/>
            </c:spPr>
          </c:marker>
          <c:xVal>
            <c:numRef>
              <c:f>'Ejercicios 5.'!$C$358:$C$361</c:f>
              <c:numCache>
                <c:formatCode>General</c:formatCode>
                <c:ptCount val="4"/>
                <c:pt idx="0">
                  <c:v>120</c:v>
                </c:pt>
                <c:pt idx="1">
                  <c:v>60</c:v>
                </c:pt>
                <c:pt idx="2">
                  <c:v>30</c:v>
                </c:pt>
                <c:pt idx="3">
                  <c:v>0</c:v>
                </c:pt>
              </c:numCache>
            </c:numRef>
          </c:xVal>
          <c:yVal>
            <c:numRef>
              <c:f>'Ejercicios 5.'!$D$358:$D$361</c:f>
              <c:numCache>
                <c:formatCode>General</c:formatCode>
                <c:ptCount val="4"/>
                <c:pt idx="0">
                  <c:v>0</c:v>
                </c:pt>
                <c:pt idx="1">
                  <c:v>1</c:v>
                </c:pt>
                <c:pt idx="2">
                  <c:v>1.5</c:v>
                </c:pt>
                <c:pt idx="3">
                  <c:v>2</c:v>
                </c:pt>
              </c:numCache>
            </c:numRef>
          </c:yVal>
          <c:smooth val="0"/>
          <c:extLst>
            <c:ext xmlns:c16="http://schemas.microsoft.com/office/drawing/2014/chart" uri="{C3380CC4-5D6E-409C-BE32-E72D297353CC}">
              <c16:uniqueId val="{00000001-C98A-4B89-A061-43568A18555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5.'!$A$370</c:f>
              <c:strCache>
                <c:ptCount val="1"/>
                <c:pt idx="0">
                  <c:v>Qd=20-4Px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5.'!$A$374:$A$377</c:f>
              <c:numCache>
                <c:formatCode>General</c:formatCode>
                <c:ptCount val="4"/>
                <c:pt idx="0">
                  <c:v>20</c:v>
                </c:pt>
                <c:pt idx="1">
                  <c:v>12</c:v>
                </c:pt>
                <c:pt idx="2">
                  <c:v>4</c:v>
                </c:pt>
                <c:pt idx="3">
                  <c:v>0</c:v>
                </c:pt>
              </c:numCache>
            </c:numRef>
          </c:xVal>
          <c:yVal>
            <c:numRef>
              <c:f>'Ejercicios 5.'!$B$374:$B$377</c:f>
              <c:numCache>
                <c:formatCode>General</c:formatCode>
                <c:ptCount val="4"/>
                <c:pt idx="0">
                  <c:v>0</c:v>
                </c:pt>
                <c:pt idx="1">
                  <c:v>2</c:v>
                </c:pt>
                <c:pt idx="2">
                  <c:v>4</c:v>
                </c:pt>
                <c:pt idx="3">
                  <c:v>5</c:v>
                </c:pt>
              </c:numCache>
            </c:numRef>
          </c:yVal>
          <c:smooth val="0"/>
          <c:extLst>
            <c:ext xmlns:c16="http://schemas.microsoft.com/office/drawing/2014/chart" uri="{C3380CC4-5D6E-409C-BE32-E72D297353CC}">
              <c16:uniqueId val="{00000000-21C1-4D8E-8B10-C38FCFD8A1F9}"/>
            </c:ext>
          </c:extLst>
        </c:ser>
        <c:ser>
          <c:idx val="1"/>
          <c:order val="1"/>
          <c:tx>
            <c:strRef>
              <c:f>'Ejercicios 5.'!$C$370</c:f>
              <c:strCache>
                <c:ptCount val="1"/>
                <c:pt idx="0">
                  <c:v>QD=100-20Px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5.'!$C$374:$C$377</c:f>
              <c:numCache>
                <c:formatCode>General</c:formatCode>
                <c:ptCount val="4"/>
                <c:pt idx="0">
                  <c:v>100</c:v>
                </c:pt>
                <c:pt idx="1">
                  <c:v>60</c:v>
                </c:pt>
                <c:pt idx="2">
                  <c:v>20</c:v>
                </c:pt>
                <c:pt idx="3">
                  <c:v>0</c:v>
                </c:pt>
              </c:numCache>
            </c:numRef>
          </c:xVal>
          <c:yVal>
            <c:numRef>
              <c:f>'Ejercicios 5.'!$D$374:$D$377</c:f>
              <c:numCache>
                <c:formatCode>General</c:formatCode>
                <c:ptCount val="4"/>
                <c:pt idx="0">
                  <c:v>0</c:v>
                </c:pt>
                <c:pt idx="1">
                  <c:v>2</c:v>
                </c:pt>
                <c:pt idx="2">
                  <c:v>4</c:v>
                </c:pt>
                <c:pt idx="3">
                  <c:v>5</c:v>
                </c:pt>
              </c:numCache>
            </c:numRef>
          </c:yVal>
          <c:smooth val="0"/>
          <c:extLst>
            <c:ext xmlns:c16="http://schemas.microsoft.com/office/drawing/2014/chart" uri="{C3380CC4-5D6E-409C-BE32-E72D297353CC}">
              <c16:uniqueId val="{00000001-21C1-4D8E-8B10-C38FCFD8A1F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5.'!$A$384</c:f>
              <c:strCache>
                <c:ptCount val="1"/>
                <c:pt idx="0">
                  <c:v>Qd=12-3Px</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5.'!$A$388:$A$391</c:f>
              <c:numCache>
                <c:formatCode>General</c:formatCode>
                <c:ptCount val="4"/>
                <c:pt idx="0">
                  <c:v>12</c:v>
                </c:pt>
                <c:pt idx="1">
                  <c:v>6</c:v>
                </c:pt>
                <c:pt idx="2">
                  <c:v>3</c:v>
                </c:pt>
                <c:pt idx="3">
                  <c:v>0</c:v>
                </c:pt>
              </c:numCache>
            </c:numRef>
          </c:xVal>
          <c:yVal>
            <c:numRef>
              <c:f>'Ejercicios 5.'!$B$388:$B$391</c:f>
              <c:numCache>
                <c:formatCode>General</c:formatCode>
                <c:ptCount val="4"/>
                <c:pt idx="0">
                  <c:v>0</c:v>
                </c:pt>
                <c:pt idx="1">
                  <c:v>2</c:v>
                </c:pt>
                <c:pt idx="2">
                  <c:v>3</c:v>
                </c:pt>
                <c:pt idx="3">
                  <c:v>4</c:v>
                </c:pt>
              </c:numCache>
            </c:numRef>
          </c:yVal>
          <c:smooth val="0"/>
          <c:extLst>
            <c:ext xmlns:c16="http://schemas.microsoft.com/office/drawing/2014/chart" uri="{C3380CC4-5D6E-409C-BE32-E72D297353CC}">
              <c16:uniqueId val="{00000000-361D-4571-A549-53859BDA6E9A}"/>
            </c:ext>
          </c:extLst>
        </c:ser>
        <c:ser>
          <c:idx val="1"/>
          <c:order val="1"/>
          <c:tx>
            <c:strRef>
              <c:f>'Ejercicios 5.'!$C$384</c:f>
              <c:strCache>
                <c:ptCount val="1"/>
                <c:pt idx="0">
                  <c:v>QD=300-75Px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5.'!$C$388:$C$391</c:f>
              <c:numCache>
                <c:formatCode>General</c:formatCode>
                <c:ptCount val="4"/>
                <c:pt idx="0">
                  <c:v>300</c:v>
                </c:pt>
                <c:pt idx="1">
                  <c:v>150</c:v>
                </c:pt>
                <c:pt idx="2">
                  <c:v>75</c:v>
                </c:pt>
                <c:pt idx="3">
                  <c:v>0</c:v>
                </c:pt>
              </c:numCache>
            </c:numRef>
          </c:xVal>
          <c:yVal>
            <c:numRef>
              <c:f>'Ejercicios 5.'!$D$388:$D$391</c:f>
              <c:numCache>
                <c:formatCode>General</c:formatCode>
                <c:ptCount val="4"/>
                <c:pt idx="0">
                  <c:v>0</c:v>
                </c:pt>
                <c:pt idx="1">
                  <c:v>2</c:v>
                </c:pt>
                <c:pt idx="2">
                  <c:v>3</c:v>
                </c:pt>
                <c:pt idx="3">
                  <c:v>4</c:v>
                </c:pt>
              </c:numCache>
            </c:numRef>
          </c:yVal>
          <c:smooth val="0"/>
          <c:extLst>
            <c:ext xmlns:c16="http://schemas.microsoft.com/office/drawing/2014/chart" uri="{C3380CC4-5D6E-409C-BE32-E72D297353CC}">
              <c16:uniqueId val="{00000001-361D-4571-A549-53859BDA6E9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5.'!$A$399</c:f>
              <c:strCache>
                <c:ptCount val="1"/>
                <c:pt idx="0">
                  <c:v>Qd=45-0.5Px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5.'!$A$403:$A$406</c:f>
              <c:numCache>
                <c:formatCode>General</c:formatCode>
                <c:ptCount val="4"/>
                <c:pt idx="0">
                  <c:v>45</c:v>
                </c:pt>
                <c:pt idx="1">
                  <c:v>30</c:v>
                </c:pt>
                <c:pt idx="2">
                  <c:v>15</c:v>
                </c:pt>
                <c:pt idx="3">
                  <c:v>0</c:v>
                </c:pt>
              </c:numCache>
            </c:numRef>
          </c:xVal>
          <c:yVal>
            <c:numRef>
              <c:f>'Ejercicios 5.'!$B$403:$B$406</c:f>
              <c:numCache>
                <c:formatCode>General</c:formatCode>
                <c:ptCount val="4"/>
                <c:pt idx="0">
                  <c:v>0</c:v>
                </c:pt>
                <c:pt idx="1">
                  <c:v>30</c:v>
                </c:pt>
                <c:pt idx="2">
                  <c:v>60</c:v>
                </c:pt>
                <c:pt idx="3">
                  <c:v>90</c:v>
                </c:pt>
              </c:numCache>
            </c:numRef>
          </c:yVal>
          <c:smooth val="0"/>
          <c:extLst>
            <c:ext xmlns:c16="http://schemas.microsoft.com/office/drawing/2014/chart" uri="{C3380CC4-5D6E-409C-BE32-E72D297353CC}">
              <c16:uniqueId val="{00000000-00FC-4488-AE46-85BF44B99608}"/>
            </c:ext>
          </c:extLst>
        </c:ser>
        <c:ser>
          <c:idx val="1"/>
          <c:order val="1"/>
          <c:tx>
            <c:strRef>
              <c:f>'Ejercicios 5.'!$C$399</c:f>
              <c:strCache>
                <c:ptCount val="1"/>
                <c:pt idx="0">
                  <c:v>QD=180-2Px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5.'!$C$403:$C$406</c:f>
              <c:numCache>
                <c:formatCode>General</c:formatCode>
                <c:ptCount val="4"/>
                <c:pt idx="0">
                  <c:v>180</c:v>
                </c:pt>
                <c:pt idx="1">
                  <c:v>120</c:v>
                </c:pt>
                <c:pt idx="2">
                  <c:v>60</c:v>
                </c:pt>
                <c:pt idx="3">
                  <c:v>0</c:v>
                </c:pt>
              </c:numCache>
            </c:numRef>
          </c:xVal>
          <c:yVal>
            <c:numRef>
              <c:f>'Ejercicios 5.'!$D$403:$D$406</c:f>
              <c:numCache>
                <c:formatCode>General</c:formatCode>
                <c:ptCount val="4"/>
                <c:pt idx="0">
                  <c:v>0</c:v>
                </c:pt>
                <c:pt idx="1">
                  <c:v>30</c:v>
                </c:pt>
                <c:pt idx="2">
                  <c:v>60</c:v>
                </c:pt>
                <c:pt idx="3">
                  <c:v>90</c:v>
                </c:pt>
              </c:numCache>
            </c:numRef>
          </c:yVal>
          <c:smooth val="0"/>
          <c:extLst>
            <c:ext xmlns:c16="http://schemas.microsoft.com/office/drawing/2014/chart" uri="{C3380CC4-5D6E-409C-BE32-E72D297353CC}">
              <c16:uniqueId val="{00000001-00FC-4488-AE46-85BF44B9960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5.'!$A$415</c:f>
              <c:strCache>
                <c:ptCount val="1"/>
                <c:pt idx="0">
                  <c:v>Qd=70-0.1Px</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5.'!$A$419:$A$422</c:f>
              <c:numCache>
                <c:formatCode>General</c:formatCode>
                <c:ptCount val="4"/>
                <c:pt idx="0">
                  <c:v>70</c:v>
                </c:pt>
                <c:pt idx="1">
                  <c:v>45</c:v>
                </c:pt>
                <c:pt idx="2">
                  <c:v>20</c:v>
                </c:pt>
                <c:pt idx="3">
                  <c:v>0</c:v>
                </c:pt>
              </c:numCache>
            </c:numRef>
          </c:xVal>
          <c:yVal>
            <c:numRef>
              <c:f>'Ejercicios 5.'!$B$419:$B$422</c:f>
              <c:numCache>
                <c:formatCode>General</c:formatCode>
                <c:ptCount val="4"/>
                <c:pt idx="0">
                  <c:v>0</c:v>
                </c:pt>
                <c:pt idx="1">
                  <c:v>250</c:v>
                </c:pt>
                <c:pt idx="2">
                  <c:v>500</c:v>
                </c:pt>
                <c:pt idx="3">
                  <c:v>700</c:v>
                </c:pt>
              </c:numCache>
            </c:numRef>
          </c:yVal>
          <c:smooth val="0"/>
          <c:extLst>
            <c:ext xmlns:c16="http://schemas.microsoft.com/office/drawing/2014/chart" uri="{C3380CC4-5D6E-409C-BE32-E72D297353CC}">
              <c16:uniqueId val="{00000000-DB22-4AAC-85E7-12FE32B1E09E}"/>
            </c:ext>
          </c:extLst>
        </c:ser>
        <c:ser>
          <c:idx val="1"/>
          <c:order val="1"/>
          <c:tx>
            <c:strRef>
              <c:f>'Ejercicios 5.'!$C$415</c:f>
              <c:strCache>
                <c:ptCount val="1"/>
                <c:pt idx="0">
                  <c:v>QD=700-Px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5.'!$C$419:$C$422</c:f>
              <c:numCache>
                <c:formatCode>General</c:formatCode>
                <c:ptCount val="4"/>
                <c:pt idx="0">
                  <c:v>700</c:v>
                </c:pt>
                <c:pt idx="1">
                  <c:v>450</c:v>
                </c:pt>
                <c:pt idx="2">
                  <c:v>200</c:v>
                </c:pt>
                <c:pt idx="3">
                  <c:v>0</c:v>
                </c:pt>
              </c:numCache>
            </c:numRef>
          </c:xVal>
          <c:yVal>
            <c:numRef>
              <c:f>'Ejercicios 5.'!$D$419:$D$422</c:f>
              <c:numCache>
                <c:formatCode>General</c:formatCode>
                <c:ptCount val="4"/>
                <c:pt idx="0">
                  <c:v>0</c:v>
                </c:pt>
                <c:pt idx="1">
                  <c:v>250</c:v>
                </c:pt>
                <c:pt idx="2">
                  <c:v>500</c:v>
                </c:pt>
                <c:pt idx="3">
                  <c:v>700</c:v>
                </c:pt>
              </c:numCache>
            </c:numRef>
          </c:yVal>
          <c:smooth val="0"/>
          <c:extLst>
            <c:ext xmlns:c16="http://schemas.microsoft.com/office/drawing/2014/chart" uri="{C3380CC4-5D6E-409C-BE32-E72D297353CC}">
              <c16:uniqueId val="{00000001-DB22-4AAC-85E7-12FE32B1E09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5.'!$A$430</c:f>
              <c:strCache>
                <c:ptCount val="1"/>
                <c:pt idx="0">
                  <c:v>Qd=22-0.2Px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5.'!$A$434:$A$437</c:f>
              <c:numCache>
                <c:formatCode>General</c:formatCode>
                <c:ptCount val="4"/>
                <c:pt idx="0">
                  <c:v>22</c:v>
                </c:pt>
                <c:pt idx="1">
                  <c:v>14</c:v>
                </c:pt>
                <c:pt idx="2">
                  <c:v>6</c:v>
                </c:pt>
                <c:pt idx="3">
                  <c:v>0</c:v>
                </c:pt>
              </c:numCache>
            </c:numRef>
          </c:xVal>
          <c:yVal>
            <c:numRef>
              <c:f>'Ejercicios 5.'!$B$434:$B$437</c:f>
              <c:numCache>
                <c:formatCode>General</c:formatCode>
                <c:ptCount val="4"/>
                <c:pt idx="0">
                  <c:v>0</c:v>
                </c:pt>
                <c:pt idx="1">
                  <c:v>40</c:v>
                </c:pt>
                <c:pt idx="2">
                  <c:v>80</c:v>
                </c:pt>
                <c:pt idx="3">
                  <c:v>110</c:v>
                </c:pt>
              </c:numCache>
            </c:numRef>
          </c:yVal>
          <c:smooth val="0"/>
          <c:extLst>
            <c:ext xmlns:c16="http://schemas.microsoft.com/office/drawing/2014/chart" uri="{C3380CC4-5D6E-409C-BE32-E72D297353CC}">
              <c16:uniqueId val="{00000000-BDBA-4CB9-93E6-431278BBDDE5}"/>
            </c:ext>
          </c:extLst>
        </c:ser>
        <c:ser>
          <c:idx val="1"/>
          <c:order val="1"/>
          <c:tx>
            <c:strRef>
              <c:f>'Ejercicios 5.'!$C$430</c:f>
              <c:strCache>
                <c:ptCount val="1"/>
                <c:pt idx="0">
                  <c:v>QD=2640-24Px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5.'!$C$434:$C$437</c:f>
              <c:numCache>
                <c:formatCode>General</c:formatCode>
                <c:ptCount val="4"/>
                <c:pt idx="0">
                  <c:v>2640</c:v>
                </c:pt>
                <c:pt idx="1">
                  <c:v>1680</c:v>
                </c:pt>
                <c:pt idx="2">
                  <c:v>720</c:v>
                </c:pt>
                <c:pt idx="3">
                  <c:v>0</c:v>
                </c:pt>
              </c:numCache>
            </c:numRef>
          </c:xVal>
          <c:yVal>
            <c:numRef>
              <c:f>'Ejercicios 5.'!$D$434:$D$437</c:f>
              <c:numCache>
                <c:formatCode>General</c:formatCode>
                <c:ptCount val="4"/>
                <c:pt idx="0">
                  <c:v>0</c:v>
                </c:pt>
                <c:pt idx="1">
                  <c:v>40</c:v>
                </c:pt>
                <c:pt idx="2">
                  <c:v>80</c:v>
                </c:pt>
                <c:pt idx="3">
                  <c:v>110</c:v>
                </c:pt>
              </c:numCache>
            </c:numRef>
          </c:yVal>
          <c:smooth val="0"/>
          <c:extLst>
            <c:ext xmlns:c16="http://schemas.microsoft.com/office/drawing/2014/chart" uri="{C3380CC4-5D6E-409C-BE32-E72D297353CC}">
              <c16:uniqueId val="{00000001-BDBA-4CB9-93E6-431278BBDDE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5.'!$A$446</c:f>
              <c:strCache>
                <c:ptCount val="1"/>
                <c:pt idx="0">
                  <c:v>Qd=14-(1/4)Px</c:v>
                </c:pt>
              </c:strCache>
            </c:strRef>
          </c:tx>
          <c:spPr>
            <a:ln w="22225" cap="rnd">
              <a:solidFill>
                <a:schemeClr val="accent1"/>
              </a:solidFill>
              <a:prstDash val="dash"/>
              <a:round/>
            </a:ln>
            <a:effectLst/>
          </c:spPr>
          <c:marker>
            <c:symbol val="circle"/>
            <c:size val="6"/>
            <c:spPr>
              <a:solidFill>
                <a:schemeClr val="lt1"/>
              </a:solidFill>
              <a:ln w="15875">
                <a:solidFill>
                  <a:schemeClr val="accent1"/>
                </a:solidFill>
                <a:round/>
              </a:ln>
              <a:effectLst/>
            </c:spPr>
          </c:marker>
          <c:xVal>
            <c:numRef>
              <c:f>'Ejercicios 5.'!$A$450:$A$453</c:f>
              <c:numCache>
                <c:formatCode>General</c:formatCode>
                <c:ptCount val="4"/>
                <c:pt idx="0">
                  <c:v>14</c:v>
                </c:pt>
                <c:pt idx="1">
                  <c:v>10</c:v>
                </c:pt>
                <c:pt idx="2">
                  <c:v>4.5</c:v>
                </c:pt>
                <c:pt idx="3">
                  <c:v>0</c:v>
                </c:pt>
              </c:numCache>
            </c:numRef>
          </c:xVal>
          <c:yVal>
            <c:numRef>
              <c:f>'Ejercicios 5.'!$B$450:$B$453</c:f>
              <c:numCache>
                <c:formatCode>General</c:formatCode>
                <c:ptCount val="4"/>
                <c:pt idx="0">
                  <c:v>0</c:v>
                </c:pt>
                <c:pt idx="1">
                  <c:v>16</c:v>
                </c:pt>
                <c:pt idx="2">
                  <c:v>38</c:v>
                </c:pt>
                <c:pt idx="3">
                  <c:v>56</c:v>
                </c:pt>
              </c:numCache>
            </c:numRef>
          </c:yVal>
          <c:smooth val="0"/>
          <c:extLst>
            <c:ext xmlns:c16="http://schemas.microsoft.com/office/drawing/2014/chart" uri="{C3380CC4-5D6E-409C-BE32-E72D297353CC}">
              <c16:uniqueId val="{00000000-8CD6-4E0B-B705-1667DECBADCD}"/>
            </c:ext>
          </c:extLst>
        </c:ser>
        <c:ser>
          <c:idx val="1"/>
          <c:order val="1"/>
          <c:tx>
            <c:strRef>
              <c:f>'Ejercicios 5.'!$C$446</c:f>
              <c:strCache>
                <c:ptCount val="1"/>
                <c:pt idx="0">
                  <c:v>QD=1190-21.25Px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5.'!$C$450:$C$453</c:f>
              <c:numCache>
                <c:formatCode>General</c:formatCode>
                <c:ptCount val="4"/>
                <c:pt idx="0">
                  <c:v>1190</c:v>
                </c:pt>
                <c:pt idx="1">
                  <c:v>850</c:v>
                </c:pt>
                <c:pt idx="2">
                  <c:v>382.5</c:v>
                </c:pt>
                <c:pt idx="3">
                  <c:v>0</c:v>
                </c:pt>
              </c:numCache>
            </c:numRef>
          </c:xVal>
          <c:yVal>
            <c:numRef>
              <c:f>'Ejercicios 5.'!$D$450:$D$453</c:f>
              <c:numCache>
                <c:formatCode>General</c:formatCode>
                <c:ptCount val="4"/>
                <c:pt idx="0">
                  <c:v>0</c:v>
                </c:pt>
                <c:pt idx="1">
                  <c:v>16</c:v>
                </c:pt>
                <c:pt idx="2">
                  <c:v>38</c:v>
                </c:pt>
                <c:pt idx="3">
                  <c:v>56</c:v>
                </c:pt>
              </c:numCache>
            </c:numRef>
          </c:yVal>
          <c:smooth val="0"/>
          <c:extLst>
            <c:ext xmlns:c16="http://schemas.microsoft.com/office/drawing/2014/chart" uri="{C3380CC4-5D6E-409C-BE32-E72D297353CC}">
              <c16:uniqueId val="{00000001-8CD6-4E0B-B705-1667DECBADC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5.'!$A$461</c:f>
              <c:strCache>
                <c:ptCount val="1"/>
                <c:pt idx="0">
                  <c:v>Qd=30-3Px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5.'!$A$465:$A$468</c:f>
              <c:numCache>
                <c:formatCode>General</c:formatCode>
                <c:ptCount val="4"/>
                <c:pt idx="0">
                  <c:v>30</c:v>
                </c:pt>
                <c:pt idx="1">
                  <c:v>21</c:v>
                </c:pt>
                <c:pt idx="2">
                  <c:v>9</c:v>
                </c:pt>
                <c:pt idx="3">
                  <c:v>0</c:v>
                </c:pt>
              </c:numCache>
            </c:numRef>
          </c:xVal>
          <c:yVal>
            <c:numRef>
              <c:f>'Ejercicios 5.'!$B$465:$B$468</c:f>
              <c:numCache>
                <c:formatCode>General</c:formatCode>
                <c:ptCount val="4"/>
                <c:pt idx="0">
                  <c:v>0</c:v>
                </c:pt>
                <c:pt idx="1">
                  <c:v>3</c:v>
                </c:pt>
                <c:pt idx="2">
                  <c:v>7</c:v>
                </c:pt>
                <c:pt idx="3">
                  <c:v>10</c:v>
                </c:pt>
              </c:numCache>
            </c:numRef>
          </c:yVal>
          <c:smooth val="0"/>
          <c:extLst>
            <c:ext xmlns:c16="http://schemas.microsoft.com/office/drawing/2014/chart" uri="{C3380CC4-5D6E-409C-BE32-E72D297353CC}">
              <c16:uniqueId val="{00000000-BD55-45B2-A4AE-5F2DBB5CEA9D}"/>
            </c:ext>
          </c:extLst>
        </c:ser>
        <c:ser>
          <c:idx val="1"/>
          <c:order val="1"/>
          <c:tx>
            <c:strRef>
              <c:f>'Ejercicios 5.'!$C$461</c:f>
              <c:strCache>
                <c:ptCount val="1"/>
                <c:pt idx="0">
                  <c:v>QD=6300-630Px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5.'!$C$465:$C$468</c:f>
              <c:numCache>
                <c:formatCode>General</c:formatCode>
                <c:ptCount val="4"/>
                <c:pt idx="0">
                  <c:v>6300</c:v>
                </c:pt>
                <c:pt idx="1">
                  <c:v>4410</c:v>
                </c:pt>
                <c:pt idx="2">
                  <c:v>1890</c:v>
                </c:pt>
                <c:pt idx="3">
                  <c:v>0</c:v>
                </c:pt>
              </c:numCache>
            </c:numRef>
          </c:xVal>
          <c:yVal>
            <c:numRef>
              <c:f>'Ejercicios 5.'!$D$465:$D$468</c:f>
              <c:numCache>
                <c:formatCode>General</c:formatCode>
                <c:ptCount val="4"/>
                <c:pt idx="0">
                  <c:v>0</c:v>
                </c:pt>
                <c:pt idx="1">
                  <c:v>3</c:v>
                </c:pt>
                <c:pt idx="2">
                  <c:v>7</c:v>
                </c:pt>
                <c:pt idx="3">
                  <c:v>10</c:v>
                </c:pt>
              </c:numCache>
            </c:numRef>
          </c:yVal>
          <c:smooth val="0"/>
          <c:extLst>
            <c:ext xmlns:c16="http://schemas.microsoft.com/office/drawing/2014/chart" uri="{C3380CC4-5D6E-409C-BE32-E72D297353CC}">
              <c16:uniqueId val="{00000001-BD55-45B2-A4AE-5F2DBB5CEA9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5.'!$A$476</c:f>
              <c:strCache>
                <c:ptCount val="1"/>
                <c:pt idx="0">
                  <c:v>Qd=10-(4/5)Px</c:v>
                </c:pt>
              </c:strCache>
            </c:strRef>
          </c:tx>
          <c:spPr>
            <a:ln w="22225" cap="rnd">
              <a:solidFill>
                <a:schemeClr val="accent1"/>
              </a:solidFill>
              <a:prstDash val="lgDashDotDot"/>
              <a:round/>
            </a:ln>
            <a:effectLst/>
          </c:spPr>
          <c:marker>
            <c:symbol val="circle"/>
            <c:size val="6"/>
            <c:spPr>
              <a:solidFill>
                <a:schemeClr val="lt1"/>
              </a:solidFill>
              <a:ln w="15875">
                <a:solidFill>
                  <a:schemeClr val="accent1"/>
                </a:solidFill>
                <a:round/>
              </a:ln>
              <a:effectLst/>
            </c:spPr>
          </c:marker>
          <c:xVal>
            <c:numRef>
              <c:f>'Ejercicios 5.'!$A$480:$A$483</c:f>
              <c:numCache>
                <c:formatCode>General</c:formatCode>
                <c:ptCount val="4"/>
                <c:pt idx="0">
                  <c:v>10</c:v>
                </c:pt>
                <c:pt idx="1">
                  <c:v>7</c:v>
                </c:pt>
                <c:pt idx="2">
                  <c:v>4</c:v>
                </c:pt>
                <c:pt idx="3">
                  <c:v>0</c:v>
                </c:pt>
              </c:numCache>
            </c:numRef>
          </c:xVal>
          <c:yVal>
            <c:numRef>
              <c:f>'Ejercicios 5.'!$B$480:$B$483</c:f>
              <c:numCache>
                <c:formatCode>General</c:formatCode>
                <c:ptCount val="4"/>
                <c:pt idx="0">
                  <c:v>0</c:v>
                </c:pt>
                <c:pt idx="1">
                  <c:v>3.75</c:v>
                </c:pt>
                <c:pt idx="2">
                  <c:v>7.5</c:v>
                </c:pt>
                <c:pt idx="3">
                  <c:v>12.5</c:v>
                </c:pt>
              </c:numCache>
            </c:numRef>
          </c:yVal>
          <c:smooth val="0"/>
          <c:extLst>
            <c:ext xmlns:c16="http://schemas.microsoft.com/office/drawing/2014/chart" uri="{C3380CC4-5D6E-409C-BE32-E72D297353CC}">
              <c16:uniqueId val="{00000000-5878-4AF4-948E-5D08B6061C92}"/>
            </c:ext>
          </c:extLst>
        </c:ser>
        <c:ser>
          <c:idx val="1"/>
          <c:order val="1"/>
          <c:tx>
            <c:strRef>
              <c:f>'Ejercicios 5.'!$C$476</c:f>
              <c:strCache>
                <c:ptCount val="1"/>
                <c:pt idx="0">
                  <c:v>QD=520-41.6Px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5.'!$C$480:$C$483</c:f>
              <c:numCache>
                <c:formatCode>General</c:formatCode>
                <c:ptCount val="4"/>
                <c:pt idx="0">
                  <c:v>520</c:v>
                </c:pt>
                <c:pt idx="1">
                  <c:v>364</c:v>
                </c:pt>
                <c:pt idx="2">
                  <c:v>208</c:v>
                </c:pt>
                <c:pt idx="3">
                  <c:v>0</c:v>
                </c:pt>
              </c:numCache>
            </c:numRef>
          </c:xVal>
          <c:yVal>
            <c:numRef>
              <c:f>'Ejercicios 5.'!$D$480:$D$483</c:f>
              <c:numCache>
                <c:formatCode>General</c:formatCode>
                <c:ptCount val="4"/>
                <c:pt idx="0">
                  <c:v>0</c:v>
                </c:pt>
                <c:pt idx="1">
                  <c:v>3.75</c:v>
                </c:pt>
                <c:pt idx="2">
                  <c:v>7.5</c:v>
                </c:pt>
                <c:pt idx="3">
                  <c:v>12.5</c:v>
                </c:pt>
              </c:numCache>
            </c:numRef>
          </c:yVal>
          <c:smooth val="0"/>
          <c:extLst>
            <c:ext xmlns:c16="http://schemas.microsoft.com/office/drawing/2014/chart" uri="{C3380CC4-5D6E-409C-BE32-E72D297353CC}">
              <c16:uniqueId val="{00000001-5878-4AF4-948E-5D08B6061C9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5.'!$A$491</c:f>
              <c:strCache>
                <c:ptCount val="1"/>
                <c:pt idx="0">
                  <c:v>Qd=20-4Px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5.'!$A$495:$A$498</c:f>
              <c:numCache>
                <c:formatCode>General</c:formatCode>
                <c:ptCount val="4"/>
                <c:pt idx="0">
                  <c:v>20</c:v>
                </c:pt>
                <c:pt idx="1">
                  <c:v>16</c:v>
                </c:pt>
                <c:pt idx="2">
                  <c:v>8</c:v>
                </c:pt>
                <c:pt idx="3">
                  <c:v>0</c:v>
                </c:pt>
              </c:numCache>
            </c:numRef>
          </c:xVal>
          <c:yVal>
            <c:numRef>
              <c:f>'Ejercicios 5.'!$B$495:$B$498</c:f>
              <c:numCache>
                <c:formatCode>General</c:formatCode>
                <c:ptCount val="4"/>
                <c:pt idx="0">
                  <c:v>0</c:v>
                </c:pt>
                <c:pt idx="1">
                  <c:v>1</c:v>
                </c:pt>
                <c:pt idx="2">
                  <c:v>3</c:v>
                </c:pt>
                <c:pt idx="3">
                  <c:v>5</c:v>
                </c:pt>
              </c:numCache>
            </c:numRef>
          </c:yVal>
          <c:smooth val="0"/>
          <c:extLst>
            <c:ext xmlns:c16="http://schemas.microsoft.com/office/drawing/2014/chart" uri="{C3380CC4-5D6E-409C-BE32-E72D297353CC}">
              <c16:uniqueId val="{00000000-55D9-4480-848B-F0CD563AEE44}"/>
            </c:ext>
          </c:extLst>
        </c:ser>
        <c:ser>
          <c:idx val="1"/>
          <c:order val="1"/>
          <c:tx>
            <c:strRef>
              <c:f>'Ejercicios 5.'!$C$491</c:f>
              <c:strCache>
                <c:ptCount val="1"/>
                <c:pt idx="0">
                  <c:v>QD=4000-800Px</c:v>
                </c:pt>
              </c:strCache>
            </c:strRef>
          </c:tx>
          <c:spPr>
            <a:ln w="22225" cap="rnd">
              <a:solidFill>
                <a:schemeClr val="accent2"/>
              </a:solidFill>
              <a:prstDash val="lgDashDotDot"/>
              <a:round/>
            </a:ln>
            <a:effectLst/>
          </c:spPr>
          <c:marker>
            <c:symbol val="circle"/>
            <c:size val="6"/>
            <c:spPr>
              <a:solidFill>
                <a:schemeClr val="lt1"/>
              </a:solidFill>
              <a:ln w="15875">
                <a:solidFill>
                  <a:schemeClr val="accent2"/>
                </a:solidFill>
                <a:round/>
              </a:ln>
              <a:effectLst/>
            </c:spPr>
          </c:marker>
          <c:xVal>
            <c:numRef>
              <c:f>'Ejercicios 5.'!$C$495:$C$498</c:f>
              <c:numCache>
                <c:formatCode>General</c:formatCode>
                <c:ptCount val="4"/>
                <c:pt idx="0">
                  <c:v>4000</c:v>
                </c:pt>
                <c:pt idx="1">
                  <c:v>3200</c:v>
                </c:pt>
                <c:pt idx="2">
                  <c:v>1600</c:v>
                </c:pt>
                <c:pt idx="3">
                  <c:v>0</c:v>
                </c:pt>
              </c:numCache>
            </c:numRef>
          </c:xVal>
          <c:yVal>
            <c:numRef>
              <c:f>'Ejercicios 5.'!$D$495:$D$498</c:f>
              <c:numCache>
                <c:formatCode>General</c:formatCode>
                <c:ptCount val="4"/>
                <c:pt idx="0">
                  <c:v>0</c:v>
                </c:pt>
                <c:pt idx="1">
                  <c:v>1</c:v>
                </c:pt>
                <c:pt idx="2">
                  <c:v>3</c:v>
                </c:pt>
                <c:pt idx="3">
                  <c:v>5</c:v>
                </c:pt>
              </c:numCache>
            </c:numRef>
          </c:yVal>
          <c:smooth val="0"/>
          <c:extLst>
            <c:ext xmlns:c16="http://schemas.microsoft.com/office/drawing/2014/chart" uri="{C3380CC4-5D6E-409C-BE32-E72D297353CC}">
              <c16:uniqueId val="{00000001-55D9-4480-848B-F0CD563AEE4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5.'!$A$506</c:f>
              <c:strCache>
                <c:ptCount val="1"/>
                <c:pt idx="0">
                  <c:v>Qd=265-(3/2)Px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5.'!$A$510:$A$514</c:f>
              <c:numCache>
                <c:formatCode>General</c:formatCode>
                <c:ptCount val="5"/>
                <c:pt idx="0">
                  <c:v>265</c:v>
                </c:pt>
                <c:pt idx="1">
                  <c:v>262</c:v>
                </c:pt>
                <c:pt idx="2">
                  <c:v>259</c:v>
                </c:pt>
                <c:pt idx="3">
                  <c:v>91</c:v>
                </c:pt>
                <c:pt idx="4">
                  <c:v>0</c:v>
                </c:pt>
              </c:numCache>
            </c:numRef>
          </c:xVal>
          <c:yVal>
            <c:numRef>
              <c:f>'Ejercicios 5.'!$B$510:$B$514</c:f>
              <c:numCache>
                <c:formatCode>General</c:formatCode>
                <c:ptCount val="5"/>
                <c:pt idx="0">
                  <c:v>0</c:v>
                </c:pt>
                <c:pt idx="1">
                  <c:v>2</c:v>
                </c:pt>
                <c:pt idx="2">
                  <c:v>4</c:v>
                </c:pt>
                <c:pt idx="3">
                  <c:v>116</c:v>
                </c:pt>
                <c:pt idx="4" formatCode="0.0">
                  <c:v>176.66666666666666</c:v>
                </c:pt>
              </c:numCache>
            </c:numRef>
          </c:yVal>
          <c:smooth val="0"/>
          <c:extLst>
            <c:ext xmlns:c16="http://schemas.microsoft.com/office/drawing/2014/chart" uri="{C3380CC4-5D6E-409C-BE32-E72D297353CC}">
              <c16:uniqueId val="{00000000-F871-4DE5-BB27-86A221AD946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5.'!$A$522</c:f>
              <c:strCache>
                <c:ptCount val="1"/>
                <c:pt idx="0">
                  <c:v>Qd=397.5-(3/2)Px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5.'!$A$526:$A$530</c:f>
              <c:numCache>
                <c:formatCode>General</c:formatCode>
                <c:ptCount val="5"/>
                <c:pt idx="0">
                  <c:v>397.5</c:v>
                </c:pt>
                <c:pt idx="1">
                  <c:v>394.5</c:v>
                </c:pt>
                <c:pt idx="2">
                  <c:v>391.5</c:v>
                </c:pt>
                <c:pt idx="3">
                  <c:v>223.5</c:v>
                </c:pt>
                <c:pt idx="4">
                  <c:v>0</c:v>
                </c:pt>
              </c:numCache>
            </c:numRef>
          </c:xVal>
          <c:yVal>
            <c:numRef>
              <c:f>'Ejercicios 5.'!$B$526:$B$530</c:f>
              <c:numCache>
                <c:formatCode>General</c:formatCode>
                <c:ptCount val="5"/>
                <c:pt idx="0">
                  <c:v>0</c:v>
                </c:pt>
                <c:pt idx="1">
                  <c:v>2</c:v>
                </c:pt>
                <c:pt idx="2">
                  <c:v>4</c:v>
                </c:pt>
                <c:pt idx="3">
                  <c:v>116</c:v>
                </c:pt>
                <c:pt idx="4" formatCode="0.0">
                  <c:v>265</c:v>
                </c:pt>
              </c:numCache>
            </c:numRef>
          </c:yVal>
          <c:smooth val="0"/>
          <c:extLst>
            <c:ext xmlns:c16="http://schemas.microsoft.com/office/drawing/2014/chart" uri="{C3380CC4-5D6E-409C-BE32-E72D297353CC}">
              <c16:uniqueId val="{00000000-5291-4A5C-80B0-4F127CBF78D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5.'!$A$538</c:f>
              <c:strCache>
                <c:ptCount val="1"/>
                <c:pt idx="0">
                  <c:v>Qs=-4+2Px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5.'!$A$543:$A$546</c:f>
              <c:numCache>
                <c:formatCode>General</c:formatCode>
                <c:ptCount val="4"/>
                <c:pt idx="0">
                  <c:v>0</c:v>
                </c:pt>
                <c:pt idx="1">
                  <c:v>2</c:v>
                </c:pt>
                <c:pt idx="2">
                  <c:v>4</c:v>
                </c:pt>
                <c:pt idx="3">
                  <c:v>6</c:v>
                </c:pt>
              </c:numCache>
            </c:numRef>
          </c:xVal>
          <c:yVal>
            <c:numRef>
              <c:f>'Ejercicios 5.'!$B$543:$B$546</c:f>
              <c:numCache>
                <c:formatCode>General</c:formatCode>
                <c:ptCount val="4"/>
                <c:pt idx="0">
                  <c:v>2</c:v>
                </c:pt>
                <c:pt idx="1">
                  <c:v>3</c:v>
                </c:pt>
                <c:pt idx="2">
                  <c:v>4</c:v>
                </c:pt>
                <c:pt idx="3">
                  <c:v>5</c:v>
                </c:pt>
              </c:numCache>
            </c:numRef>
          </c:yVal>
          <c:smooth val="0"/>
          <c:extLst>
            <c:ext xmlns:c16="http://schemas.microsoft.com/office/drawing/2014/chart" uri="{C3380CC4-5D6E-409C-BE32-E72D297353CC}">
              <c16:uniqueId val="{00000000-A289-4BA9-9324-1B10BA88C93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5.'!$A$554</c:f>
              <c:strCache>
                <c:ptCount val="1"/>
                <c:pt idx="0">
                  <c:v>Qs=-4+0.5Px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5.'!$A$558:$A$561</c:f>
              <c:numCache>
                <c:formatCode>General</c:formatCode>
                <c:ptCount val="4"/>
                <c:pt idx="0">
                  <c:v>0</c:v>
                </c:pt>
                <c:pt idx="1">
                  <c:v>1</c:v>
                </c:pt>
                <c:pt idx="2">
                  <c:v>2</c:v>
                </c:pt>
                <c:pt idx="3">
                  <c:v>3</c:v>
                </c:pt>
              </c:numCache>
            </c:numRef>
          </c:xVal>
          <c:yVal>
            <c:numRef>
              <c:f>'Ejercicios 5.'!$B$558:$B$561</c:f>
              <c:numCache>
                <c:formatCode>General</c:formatCode>
                <c:ptCount val="4"/>
                <c:pt idx="0">
                  <c:v>8</c:v>
                </c:pt>
                <c:pt idx="1">
                  <c:v>10</c:v>
                </c:pt>
                <c:pt idx="2">
                  <c:v>12</c:v>
                </c:pt>
                <c:pt idx="3">
                  <c:v>14</c:v>
                </c:pt>
              </c:numCache>
            </c:numRef>
          </c:yVal>
          <c:smooth val="0"/>
          <c:extLst>
            <c:ext xmlns:c16="http://schemas.microsoft.com/office/drawing/2014/chart" uri="{C3380CC4-5D6E-409C-BE32-E72D297353CC}">
              <c16:uniqueId val="{00000000-BF39-4E29-88FA-FD2EDF3B104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5.'!$A$589</c:f>
              <c:strCache>
                <c:ptCount val="1"/>
                <c:pt idx="0">
                  <c:v>Qs=-16+8Px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5.'!$A$593:$A$596</c:f>
              <c:numCache>
                <c:formatCode>General</c:formatCode>
                <c:ptCount val="4"/>
                <c:pt idx="0">
                  <c:v>0</c:v>
                </c:pt>
                <c:pt idx="1">
                  <c:v>8</c:v>
                </c:pt>
                <c:pt idx="2">
                  <c:v>16</c:v>
                </c:pt>
                <c:pt idx="3">
                  <c:v>24</c:v>
                </c:pt>
              </c:numCache>
            </c:numRef>
          </c:xVal>
          <c:yVal>
            <c:numRef>
              <c:f>'Ejercicios 5.'!$B$593:$B$596</c:f>
              <c:numCache>
                <c:formatCode>General</c:formatCode>
                <c:ptCount val="4"/>
                <c:pt idx="0">
                  <c:v>2</c:v>
                </c:pt>
                <c:pt idx="1">
                  <c:v>3</c:v>
                </c:pt>
                <c:pt idx="2">
                  <c:v>4</c:v>
                </c:pt>
                <c:pt idx="3">
                  <c:v>5</c:v>
                </c:pt>
              </c:numCache>
            </c:numRef>
          </c:yVal>
          <c:smooth val="0"/>
          <c:extLst>
            <c:ext xmlns:c16="http://schemas.microsoft.com/office/drawing/2014/chart" uri="{C3380CC4-5D6E-409C-BE32-E72D297353CC}">
              <c16:uniqueId val="{00000000-5D63-45E7-9A66-9F09079D093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5.'!$A$570</c:f>
              <c:strCache>
                <c:ptCount val="1"/>
                <c:pt idx="0">
                  <c:v>Qs=-4+2Px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5.'!$A$574:$A$578</c:f>
              <c:numCache>
                <c:formatCode>General</c:formatCode>
                <c:ptCount val="5"/>
                <c:pt idx="0">
                  <c:v>-4</c:v>
                </c:pt>
                <c:pt idx="1">
                  <c:v>0</c:v>
                </c:pt>
                <c:pt idx="2">
                  <c:v>2</c:v>
                </c:pt>
                <c:pt idx="3">
                  <c:v>4</c:v>
                </c:pt>
                <c:pt idx="4">
                  <c:v>6</c:v>
                </c:pt>
              </c:numCache>
            </c:numRef>
          </c:xVal>
          <c:yVal>
            <c:numRef>
              <c:f>'Ejercicios 5.'!$B$574:$B$578</c:f>
              <c:numCache>
                <c:formatCode>General</c:formatCode>
                <c:ptCount val="5"/>
                <c:pt idx="0">
                  <c:v>0</c:v>
                </c:pt>
                <c:pt idx="1">
                  <c:v>2</c:v>
                </c:pt>
                <c:pt idx="2">
                  <c:v>3</c:v>
                </c:pt>
                <c:pt idx="3">
                  <c:v>4</c:v>
                </c:pt>
                <c:pt idx="4">
                  <c:v>5</c:v>
                </c:pt>
              </c:numCache>
            </c:numRef>
          </c:yVal>
          <c:smooth val="0"/>
          <c:extLst>
            <c:ext xmlns:c16="http://schemas.microsoft.com/office/drawing/2014/chart" uri="{C3380CC4-5D6E-409C-BE32-E72D297353CC}">
              <c16:uniqueId val="{00000000-6D11-4A9A-B2E3-8AA3428B0E39}"/>
            </c:ext>
          </c:extLst>
        </c:ser>
        <c:ser>
          <c:idx val="1"/>
          <c:order val="1"/>
          <c:tx>
            <c:strRef>
              <c:f>'Ejercicios 5.'!$C$570</c:f>
              <c:strCache>
                <c:ptCount val="1"/>
                <c:pt idx="0">
                  <c:v>Qs=-4+0.5Px</c:v>
                </c:pt>
              </c:strCache>
            </c:strRef>
          </c:tx>
          <c:spPr>
            <a:ln w="22225" cap="rnd">
              <a:solidFill>
                <a:schemeClr val="accent2"/>
              </a:solidFill>
              <a:prstDash val="dash"/>
              <a:round/>
            </a:ln>
            <a:effectLst/>
          </c:spPr>
          <c:marker>
            <c:symbol val="circle"/>
            <c:size val="6"/>
            <c:spPr>
              <a:solidFill>
                <a:schemeClr val="lt1"/>
              </a:solidFill>
              <a:ln w="15875">
                <a:solidFill>
                  <a:schemeClr val="accent2"/>
                </a:solidFill>
                <a:round/>
              </a:ln>
              <a:effectLst/>
            </c:spPr>
          </c:marker>
          <c:xVal>
            <c:numRef>
              <c:f>'Ejercicios 5.'!$C$574:$C$578</c:f>
              <c:numCache>
                <c:formatCode>General</c:formatCode>
                <c:ptCount val="5"/>
                <c:pt idx="0">
                  <c:v>-4</c:v>
                </c:pt>
                <c:pt idx="1">
                  <c:v>0</c:v>
                </c:pt>
                <c:pt idx="2">
                  <c:v>1</c:v>
                </c:pt>
                <c:pt idx="3">
                  <c:v>2</c:v>
                </c:pt>
                <c:pt idx="4">
                  <c:v>3</c:v>
                </c:pt>
              </c:numCache>
            </c:numRef>
          </c:xVal>
          <c:yVal>
            <c:numRef>
              <c:f>'Ejercicios 5.'!$D$574:$D$578</c:f>
              <c:numCache>
                <c:formatCode>General</c:formatCode>
                <c:ptCount val="5"/>
                <c:pt idx="0">
                  <c:v>0</c:v>
                </c:pt>
                <c:pt idx="1">
                  <c:v>8</c:v>
                </c:pt>
                <c:pt idx="2">
                  <c:v>10</c:v>
                </c:pt>
                <c:pt idx="3">
                  <c:v>12</c:v>
                </c:pt>
                <c:pt idx="4">
                  <c:v>14</c:v>
                </c:pt>
              </c:numCache>
            </c:numRef>
          </c:yVal>
          <c:smooth val="0"/>
          <c:extLst>
            <c:ext xmlns:c16="http://schemas.microsoft.com/office/drawing/2014/chart" uri="{C3380CC4-5D6E-409C-BE32-E72D297353CC}">
              <c16:uniqueId val="{00000001-6D11-4A9A-B2E3-8AA3428B0E3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5.'!$A$606</c:f>
              <c:strCache>
                <c:ptCount val="1"/>
                <c:pt idx="0">
                  <c:v>Qs=-16+(17/2)Px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5.'!$A$610:$A$613</c:f>
              <c:numCache>
                <c:formatCode>General</c:formatCode>
                <c:ptCount val="4"/>
                <c:pt idx="0">
                  <c:v>0</c:v>
                </c:pt>
                <c:pt idx="1">
                  <c:v>1</c:v>
                </c:pt>
                <c:pt idx="2">
                  <c:v>9.5</c:v>
                </c:pt>
                <c:pt idx="3">
                  <c:v>18</c:v>
                </c:pt>
              </c:numCache>
            </c:numRef>
          </c:xVal>
          <c:yVal>
            <c:numRef>
              <c:f>'Ejercicios 5.'!$B$610:$B$613</c:f>
              <c:numCache>
                <c:formatCode>General</c:formatCode>
                <c:ptCount val="4"/>
                <c:pt idx="0" formatCode="0.0">
                  <c:v>1.8823529411764706</c:v>
                </c:pt>
                <c:pt idx="1">
                  <c:v>2</c:v>
                </c:pt>
                <c:pt idx="2">
                  <c:v>3</c:v>
                </c:pt>
                <c:pt idx="3">
                  <c:v>4</c:v>
                </c:pt>
              </c:numCache>
            </c:numRef>
          </c:yVal>
          <c:smooth val="0"/>
          <c:extLst>
            <c:ext xmlns:c16="http://schemas.microsoft.com/office/drawing/2014/chart" uri="{C3380CC4-5D6E-409C-BE32-E72D297353CC}">
              <c16:uniqueId val="{00000000-9A30-4C10-BCAB-1DCE69B8C52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5.'!$A$622</c:f>
              <c:strCache>
                <c:ptCount val="1"/>
                <c:pt idx="0">
                  <c:v>Qs=-16+8Px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5.'!$A$626:$A$630</c:f>
              <c:numCache>
                <c:formatCode>General</c:formatCode>
                <c:ptCount val="5"/>
                <c:pt idx="0">
                  <c:v>-16</c:v>
                </c:pt>
                <c:pt idx="1">
                  <c:v>0</c:v>
                </c:pt>
                <c:pt idx="2">
                  <c:v>8</c:v>
                </c:pt>
                <c:pt idx="3">
                  <c:v>16</c:v>
                </c:pt>
                <c:pt idx="4">
                  <c:v>24</c:v>
                </c:pt>
              </c:numCache>
            </c:numRef>
          </c:xVal>
          <c:yVal>
            <c:numRef>
              <c:f>'Ejercicios 5.'!$B$626:$B$630</c:f>
              <c:numCache>
                <c:formatCode>General</c:formatCode>
                <c:ptCount val="5"/>
                <c:pt idx="0">
                  <c:v>0</c:v>
                </c:pt>
                <c:pt idx="1">
                  <c:v>2</c:v>
                </c:pt>
                <c:pt idx="2">
                  <c:v>3</c:v>
                </c:pt>
                <c:pt idx="3">
                  <c:v>4</c:v>
                </c:pt>
                <c:pt idx="4">
                  <c:v>5</c:v>
                </c:pt>
              </c:numCache>
            </c:numRef>
          </c:yVal>
          <c:smooth val="0"/>
          <c:extLst>
            <c:ext xmlns:c16="http://schemas.microsoft.com/office/drawing/2014/chart" uri="{C3380CC4-5D6E-409C-BE32-E72D297353CC}">
              <c16:uniqueId val="{00000000-B644-4199-834B-0C75FCD3C224}"/>
            </c:ext>
          </c:extLst>
        </c:ser>
        <c:ser>
          <c:idx val="1"/>
          <c:order val="1"/>
          <c:tx>
            <c:strRef>
              <c:f>'Ejercicios 5.'!$C$622</c:f>
              <c:strCache>
                <c:ptCount val="1"/>
                <c:pt idx="0">
                  <c:v>Qs=-16+(17/2)Px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5.'!$C$626:$C$630</c:f>
              <c:numCache>
                <c:formatCode>General</c:formatCode>
                <c:ptCount val="5"/>
                <c:pt idx="0">
                  <c:v>-16</c:v>
                </c:pt>
                <c:pt idx="1">
                  <c:v>0</c:v>
                </c:pt>
                <c:pt idx="2">
                  <c:v>1</c:v>
                </c:pt>
                <c:pt idx="3">
                  <c:v>9.5</c:v>
                </c:pt>
                <c:pt idx="4">
                  <c:v>18</c:v>
                </c:pt>
              </c:numCache>
            </c:numRef>
          </c:xVal>
          <c:yVal>
            <c:numRef>
              <c:f>'Ejercicios 5.'!$D$626:$D$630</c:f>
              <c:numCache>
                <c:formatCode>0.0</c:formatCode>
                <c:ptCount val="5"/>
                <c:pt idx="0">
                  <c:v>0</c:v>
                </c:pt>
                <c:pt idx="1">
                  <c:v>1.8823529411764706</c:v>
                </c:pt>
                <c:pt idx="2" formatCode="General">
                  <c:v>2</c:v>
                </c:pt>
                <c:pt idx="3" formatCode="General">
                  <c:v>3</c:v>
                </c:pt>
                <c:pt idx="4" formatCode="General">
                  <c:v>4</c:v>
                </c:pt>
              </c:numCache>
            </c:numRef>
          </c:yVal>
          <c:smooth val="0"/>
          <c:extLst>
            <c:ext xmlns:c16="http://schemas.microsoft.com/office/drawing/2014/chart" uri="{C3380CC4-5D6E-409C-BE32-E72D297353CC}">
              <c16:uniqueId val="{00000001-B644-4199-834B-0C75FCD3C22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5.'!$A$638</c:f>
              <c:strCache>
                <c:ptCount val="1"/>
                <c:pt idx="0">
                  <c:v>Qs=-65+6.5Px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5.'!$A$642:$A$645</c:f>
              <c:numCache>
                <c:formatCode>General</c:formatCode>
                <c:ptCount val="4"/>
                <c:pt idx="0">
                  <c:v>0</c:v>
                </c:pt>
                <c:pt idx="1">
                  <c:v>6.5</c:v>
                </c:pt>
                <c:pt idx="2">
                  <c:v>13</c:v>
                </c:pt>
                <c:pt idx="3">
                  <c:v>19.5</c:v>
                </c:pt>
              </c:numCache>
            </c:numRef>
          </c:xVal>
          <c:yVal>
            <c:numRef>
              <c:f>'Ejercicios 5.'!$B$642:$B$645</c:f>
              <c:numCache>
                <c:formatCode>General</c:formatCode>
                <c:ptCount val="4"/>
                <c:pt idx="0" formatCode="0.0">
                  <c:v>10</c:v>
                </c:pt>
                <c:pt idx="1">
                  <c:v>11</c:v>
                </c:pt>
                <c:pt idx="2">
                  <c:v>12</c:v>
                </c:pt>
                <c:pt idx="3">
                  <c:v>13</c:v>
                </c:pt>
              </c:numCache>
            </c:numRef>
          </c:yVal>
          <c:smooth val="0"/>
          <c:extLst>
            <c:ext xmlns:c16="http://schemas.microsoft.com/office/drawing/2014/chart" uri="{C3380CC4-5D6E-409C-BE32-E72D297353CC}">
              <c16:uniqueId val="{00000002-D32D-4B4C-811B-6B2467514FCE}"/>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5.'!$A$656</c:f>
              <c:strCache>
                <c:ptCount val="1"/>
                <c:pt idx="0">
                  <c:v>Qs=-125+40Px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5.'!$A$660:$A$663</c:f>
              <c:numCache>
                <c:formatCode>General</c:formatCode>
                <c:ptCount val="4"/>
                <c:pt idx="0">
                  <c:v>-125</c:v>
                </c:pt>
                <c:pt idx="1">
                  <c:v>0</c:v>
                </c:pt>
                <c:pt idx="2">
                  <c:v>75</c:v>
                </c:pt>
                <c:pt idx="3">
                  <c:v>115</c:v>
                </c:pt>
              </c:numCache>
            </c:numRef>
          </c:xVal>
          <c:yVal>
            <c:numRef>
              <c:f>'Ejercicios 5.'!$B$660:$B$663</c:f>
              <c:numCache>
                <c:formatCode>General</c:formatCode>
                <c:ptCount val="4"/>
                <c:pt idx="0" formatCode="0.0">
                  <c:v>0</c:v>
                </c:pt>
                <c:pt idx="1">
                  <c:v>3.125</c:v>
                </c:pt>
                <c:pt idx="2">
                  <c:v>5</c:v>
                </c:pt>
                <c:pt idx="3">
                  <c:v>6</c:v>
                </c:pt>
              </c:numCache>
            </c:numRef>
          </c:yVal>
          <c:smooth val="0"/>
          <c:extLst>
            <c:ext xmlns:c16="http://schemas.microsoft.com/office/drawing/2014/chart" uri="{C3380CC4-5D6E-409C-BE32-E72D297353CC}">
              <c16:uniqueId val="{00000000-D520-4703-BAEE-0AA306C8A67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5.'!$A$674</c:f>
              <c:strCache>
                <c:ptCount val="1"/>
                <c:pt idx="0">
                  <c:v>Qs=-125+20Px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5.'!$A$678:$A$681</c:f>
              <c:numCache>
                <c:formatCode>General</c:formatCode>
                <c:ptCount val="4"/>
                <c:pt idx="0">
                  <c:v>-125</c:v>
                </c:pt>
                <c:pt idx="1">
                  <c:v>0</c:v>
                </c:pt>
                <c:pt idx="2">
                  <c:v>15</c:v>
                </c:pt>
                <c:pt idx="3">
                  <c:v>35</c:v>
                </c:pt>
              </c:numCache>
            </c:numRef>
          </c:xVal>
          <c:yVal>
            <c:numRef>
              <c:f>'Ejercicios 5.'!$B$678:$B$681</c:f>
              <c:numCache>
                <c:formatCode>General</c:formatCode>
                <c:ptCount val="4"/>
                <c:pt idx="0" formatCode="0.0">
                  <c:v>0</c:v>
                </c:pt>
                <c:pt idx="1">
                  <c:v>6.25</c:v>
                </c:pt>
                <c:pt idx="2">
                  <c:v>7</c:v>
                </c:pt>
                <c:pt idx="3">
                  <c:v>8</c:v>
                </c:pt>
              </c:numCache>
            </c:numRef>
          </c:yVal>
          <c:smooth val="0"/>
          <c:extLst>
            <c:ext xmlns:c16="http://schemas.microsoft.com/office/drawing/2014/chart" uri="{C3380CC4-5D6E-409C-BE32-E72D297353CC}">
              <c16:uniqueId val="{00000000-72B5-49C4-85EA-6141AE98EBA7}"/>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5.'!$A$691</c:f>
              <c:strCache>
                <c:ptCount val="1"/>
                <c:pt idx="0">
                  <c:v>Qs=-125+40Px</c:v>
                </c:pt>
              </c:strCache>
            </c:strRef>
          </c:tx>
          <c:spPr>
            <a:ln w="22225" cap="rnd">
              <a:solidFill>
                <a:schemeClr val="accent1"/>
              </a:solidFill>
              <a:prstDash val="dash"/>
              <a:round/>
            </a:ln>
            <a:effectLst/>
          </c:spPr>
          <c:marker>
            <c:symbol val="circle"/>
            <c:size val="6"/>
            <c:spPr>
              <a:solidFill>
                <a:schemeClr val="lt1"/>
              </a:solidFill>
              <a:ln w="15875">
                <a:solidFill>
                  <a:schemeClr val="accent1"/>
                </a:solidFill>
                <a:round/>
              </a:ln>
              <a:effectLst/>
            </c:spPr>
          </c:marker>
          <c:xVal>
            <c:numRef>
              <c:f>'Ejercicios 5.'!$A$695:$A$698</c:f>
              <c:numCache>
                <c:formatCode>General</c:formatCode>
                <c:ptCount val="4"/>
                <c:pt idx="0">
                  <c:v>-125</c:v>
                </c:pt>
                <c:pt idx="1">
                  <c:v>0</c:v>
                </c:pt>
                <c:pt idx="2">
                  <c:v>75</c:v>
                </c:pt>
                <c:pt idx="3">
                  <c:v>115</c:v>
                </c:pt>
              </c:numCache>
            </c:numRef>
          </c:xVal>
          <c:yVal>
            <c:numRef>
              <c:f>'Ejercicios 5.'!$B$695:$B$698</c:f>
              <c:numCache>
                <c:formatCode>General</c:formatCode>
                <c:ptCount val="4"/>
                <c:pt idx="0" formatCode="0.0">
                  <c:v>0</c:v>
                </c:pt>
                <c:pt idx="1">
                  <c:v>3.125</c:v>
                </c:pt>
                <c:pt idx="2">
                  <c:v>5</c:v>
                </c:pt>
                <c:pt idx="3">
                  <c:v>6</c:v>
                </c:pt>
              </c:numCache>
            </c:numRef>
          </c:yVal>
          <c:smooth val="0"/>
          <c:extLst>
            <c:ext xmlns:c16="http://schemas.microsoft.com/office/drawing/2014/chart" uri="{C3380CC4-5D6E-409C-BE32-E72D297353CC}">
              <c16:uniqueId val="{00000000-174C-426A-960B-034207FB03B6}"/>
            </c:ext>
          </c:extLst>
        </c:ser>
        <c:ser>
          <c:idx val="1"/>
          <c:order val="1"/>
          <c:tx>
            <c:strRef>
              <c:f>'Ejercicios 5.'!$C$691</c:f>
              <c:strCache>
                <c:ptCount val="1"/>
                <c:pt idx="0">
                  <c:v>Qs=-125+20Px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5.'!$C$695:$C$698</c:f>
              <c:numCache>
                <c:formatCode>General</c:formatCode>
                <c:ptCount val="4"/>
                <c:pt idx="0">
                  <c:v>-125</c:v>
                </c:pt>
                <c:pt idx="1">
                  <c:v>0</c:v>
                </c:pt>
                <c:pt idx="2">
                  <c:v>15</c:v>
                </c:pt>
                <c:pt idx="3">
                  <c:v>35</c:v>
                </c:pt>
              </c:numCache>
            </c:numRef>
          </c:xVal>
          <c:yVal>
            <c:numRef>
              <c:f>'Ejercicios 5.'!$D$695:$D$698</c:f>
              <c:numCache>
                <c:formatCode>General</c:formatCode>
                <c:ptCount val="4"/>
                <c:pt idx="0" formatCode="0.0">
                  <c:v>0</c:v>
                </c:pt>
                <c:pt idx="1">
                  <c:v>6.25</c:v>
                </c:pt>
                <c:pt idx="2">
                  <c:v>7</c:v>
                </c:pt>
                <c:pt idx="3">
                  <c:v>8</c:v>
                </c:pt>
              </c:numCache>
            </c:numRef>
          </c:yVal>
          <c:smooth val="0"/>
          <c:extLst>
            <c:ext xmlns:c16="http://schemas.microsoft.com/office/drawing/2014/chart" uri="{C3380CC4-5D6E-409C-BE32-E72D297353CC}">
              <c16:uniqueId val="{00000001-174C-426A-960B-034207FB03B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5.'!$A$708</c:f>
              <c:strCache>
                <c:ptCount val="1"/>
                <c:pt idx="0">
                  <c:v>Qs=-7+0.5Px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5.'!$A$712:$A$715</c:f>
              <c:numCache>
                <c:formatCode>General</c:formatCode>
                <c:ptCount val="4"/>
                <c:pt idx="0">
                  <c:v>-7</c:v>
                </c:pt>
                <c:pt idx="1">
                  <c:v>0</c:v>
                </c:pt>
                <c:pt idx="2">
                  <c:v>1</c:v>
                </c:pt>
                <c:pt idx="3">
                  <c:v>2</c:v>
                </c:pt>
              </c:numCache>
            </c:numRef>
          </c:xVal>
          <c:yVal>
            <c:numRef>
              <c:f>'Ejercicios 5.'!$B$712:$B$715</c:f>
              <c:numCache>
                <c:formatCode>General</c:formatCode>
                <c:ptCount val="4"/>
                <c:pt idx="0" formatCode="0.0">
                  <c:v>0</c:v>
                </c:pt>
                <c:pt idx="1">
                  <c:v>14</c:v>
                </c:pt>
                <c:pt idx="2">
                  <c:v>16</c:v>
                </c:pt>
                <c:pt idx="3">
                  <c:v>18</c:v>
                </c:pt>
              </c:numCache>
            </c:numRef>
          </c:yVal>
          <c:smooth val="0"/>
          <c:extLst>
            <c:ext xmlns:c16="http://schemas.microsoft.com/office/drawing/2014/chart" uri="{C3380CC4-5D6E-409C-BE32-E72D297353CC}">
              <c16:uniqueId val="{00000000-E96D-4B3C-8723-A9987F132359}"/>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5.'!$A$725</c:f>
              <c:strCache>
                <c:ptCount val="1"/>
                <c:pt idx="0">
                  <c:v>Qs=-12+0.5Px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5.'!$A$729:$A$732</c:f>
              <c:numCache>
                <c:formatCode>General</c:formatCode>
                <c:ptCount val="4"/>
                <c:pt idx="0">
                  <c:v>-12</c:v>
                </c:pt>
                <c:pt idx="1">
                  <c:v>0</c:v>
                </c:pt>
                <c:pt idx="2">
                  <c:v>1</c:v>
                </c:pt>
                <c:pt idx="3">
                  <c:v>2</c:v>
                </c:pt>
              </c:numCache>
            </c:numRef>
          </c:xVal>
          <c:yVal>
            <c:numRef>
              <c:f>'Ejercicios 5.'!$B$729:$B$733</c:f>
              <c:numCache>
                <c:formatCode>General</c:formatCode>
                <c:ptCount val="5"/>
                <c:pt idx="0" formatCode="0.0">
                  <c:v>0</c:v>
                </c:pt>
                <c:pt idx="1">
                  <c:v>24</c:v>
                </c:pt>
                <c:pt idx="2">
                  <c:v>26</c:v>
                </c:pt>
                <c:pt idx="3">
                  <c:v>28</c:v>
                </c:pt>
              </c:numCache>
            </c:numRef>
          </c:yVal>
          <c:smooth val="0"/>
          <c:extLst>
            <c:ext xmlns:c16="http://schemas.microsoft.com/office/drawing/2014/chart" uri="{C3380CC4-5D6E-409C-BE32-E72D297353CC}">
              <c16:uniqueId val="{00000000-37D4-4CAA-B269-57C3035A4C17}"/>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5.'!$A$744</c:f>
              <c:strCache>
                <c:ptCount val="1"/>
                <c:pt idx="0">
                  <c:v>Qs=-7+0.5Px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5.'!$A$748:$A$751</c:f>
              <c:numCache>
                <c:formatCode>General</c:formatCode>
                <c:ptCount val="4"/>
                <c:pt idx="0">
                  <c:v>-7</c:v>
                </c:pt>
                <c:pt idx="1">
                  <c:v>0</c:v>
                </c:pt>
                <c:pt idx="2">
                  <c:v>1</c:v>
                </c:pt>
                <c:pt idx="3">
                  <c:v>2</c:v>
                </c:pt>
              </c:numCache>
            </c:numRef>
          </c:xVal>
          <c:yVal>
            <c:numRef>
              <c:f>'Ejercicios 5.'!$B$748:$B$751</c:f>
              <c:numCache>
                <c:formatCode>General</c:formatCode>
                <c:ptCount val="4"/>
                <c:pt idx="0" formatCode="0.0">
                  <c:v>0</c:v>
                </c:pt>
                <c:pt idx="1">
                  <c:v>14</c:v>
                </c:pt>
                <c:pt idx="2">
                  <c:v>16</c:v>
                </c:pt>
                <c:pt idx="3">
                  <c:v>18</c:v>
                </c:pt>
              </c:numCache>
            </c:numRef>
          </c:yVal>
          <c:smooth val="0"/>
          <c:extLst>
            <c:ext xmlns:c16="http://schemas.microsoft.com/office/drawing/2014/chart" uri="{C3380CC4-5D6E-409C-BE32-E72D297353CC}">
              <c16:uniqueId val="{00000000-B7FA-41B4-B590-700694129B48}"/>
            </c:ext>
          </c:extLst>
        </c:ser>
        <c:ser>
          <c:idx val="1"/>
          <c:order val="1"/>
          <c:tx>
            <c:strRef>
              <c:f>'Ejercicios 5.'!$C$744</c:f>
              <c:strCache>
                <c:ptCount val="1"/>
                <c:pt idx="0">
                  <c:v>Qs=-12+0.5Px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5.'!$C$748:$C$751</c:f>
              <c:numCache>
                <c:formatCode>General</c:formatCode>
                <c:ptCount val="4"/>
                <c:pt idx="0">
                  <c:v>-12</c:v>
                </c:pt>
                <c:pt idx="1">
                  <c:v>0</c:v>
                </c:pt>
                <c:pt idx="2">
                  <c:v>1</c:v>
                </c:pt>
                <c:pt idx="3">
                  <c:v>2</c:v>
                </c:pt>
              </c:numCache>
            </c:numRef>
          </c:xVal>
          <c:yVal>
            <c:numRef>
              <c:f>'Ejercicios 5.'!$D$748:$D$751</c:f>
              <c:numCache>
                <c:formatCode>General</c:formatCode>
                <c:ptCount val="4"/>
                <c:pt idx="0" formatCode="0.0">
                  <c:v>0</c:v>
                </c:pt>
                <c:pt idx="1">
                  <c:v>24</c:v>
                </c:pt>
                <c:pt idx="2">
                  <c:v>26</c:v>
                </c:pt>
                <c:pt idx="3">
                  <c:v>28</c:v>
                </c:pt>
              </c:numCache>
            </c:numRef>
          </c:yVal>
          <c:smooth val="0"/>
          <c:extLst>
            <c:ext xmlns:c16="http://schemas.microsoft.com/office/drawing/2014/chart" uri="{C3380CC4-5D6E-409C-BE32-E72D297353CC}">
              <c16:uniqueId val="{00000001-B7FA-41B4-B590-700694129B4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5.'!$A$761</c:f>
              <c:strCache>
                <c:ptCount val="1"/>
                <c:pt idx="0">
                  <c:v>Qs=-9+(3/2)Px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5.'!$A$765:$A$768</c:f>
              <c:numCache>
                <c:formatCode>General</c:formatCode>
                <c:ptCount val="4"/>
                <c:pt idx="0">
                  <c:v>-9</c:v>
                </c:pt>
                <c:pt idx="1">
                  <c:v>0</c:v>
                </c:pt>
                <c:pt idx="2">
                  <c:v>1.5</c:v>
                </c:pt>
                <c:pt idx="3">
                  <c:v>3</c:v>
                </c:pt>
              </c:numCache>
            </c:numRef>
          </c:xVal>
          <c:yVal>
            <c:numRef>
              <c:f>'Ejercicios 5.'!$B$765:$B$768</c:f>
              <c:numCache>
                <c:formatCode>General</c:formatCode>
                <c:ptCount val="4"/>
                <c:pt idx="0" formatCode="0.0">
                  <c:v>0</c:v>
                </c:pt>
                <c:pt idx="1">
                  <c:v>6</c:v>
                </c:pt>
                <c:pt idx="2">
                  <c:v>7</c:v>
                </c:pt>
                <c:pt idx="3">
                  <c:v>8</c:v>
                </c:pt>
              </c:numCache>
            </c:numRef>
          </c:yVal>
          <c:smooth val="0"/>
          <c:extLst>
            <c:ext xmlns:c16="http://schemas.microsoft.com/office/drawing/2014/chart" uri="{C3380CC4-5D6E-409C-BE32-E72D297353CC}">
              <c16:uniqueId val="{00000000-65FF-4FC2-B85A-57FBBA74EEFA}"/>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5.'!$A$778</c:f>
              <c:strCache>
                <c:ptCount val="1"/>
                <c:pt idx="0">
                  <c:v>Qs=-9+(3/8)Px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5.'!$A$782:$A$785</c:f>
              <c:numCache>
                <c:formatCode>General</c:formatCode>
                <c:ptCount val="4"/>
                <c:pt idx="0">
                  <c:v>-9</c:v>
                </c:pt>
                <c:pt idx="1">
                  <c:v>0</c:v>
                </c:pt>
                <c:pt idx="2">
                  <c:v>3</c:v>
                </c:pt>
                <c:pt idx="3">
                  <c:v>6</c:v>
                </c:pt>
              </c:numCache>
            </c:numRef>
          </c:xVal>
          <c:yVal>
            <c:numRef>
              <c:f>'Ejercicios 5.'!$B$782:$B$785</c:f>
              <c:numCache>
                <c:formatCode>General</c:formatCode>
                <c:ptCount val="4"/>
                <c:pt idx="0" formatCode="0.0">
                  <c:v>0</c:v>
                </c:pt>
                <c:pt idx="1">
                  <c:v>24</c:v>
                </c:pt>
                <c:pt idx="2">
                  <c:v>32</c:v>
                </c:pt>
                <c:pt idx="3">
                  <c:v>40</c:v>
                </c:pt>
              </c:numCache>
            </c:numRef>
          </c:yVal>
          <c:smooth val="0"/>
          <c:extLst>
            <c:ext xmlns:c16="http://schemas.microsoft.com/office/drawing/2014/chart" uri="{C3380CC4-5D6E-409C-BE32-E72D297353CC}">
              <c16:uniqueId val="{00000000-F8E3-4769-AD13-2E3BF54553B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5.'!$A$796</c:f>
              <c:strCache>
                <c:ptCount val="1"/>
                <c:pt idx="0">
                  <c:v>Qs=-9+(3/2)Px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5.'!$A$800:$A$803</c:f>
              <c:numCache>
                <c:formatCode>General</c:formatCode>
                <c:ptCount val="4"/>
                <c:pt idx="0">
                  <c:v>-9</c:v>
                </c:pt>
                <c:pt idx="1">
                  <c:v>0</c:v>
                </c:pt>
                <c:pt idx="2">
                  <c:v>1.5</c:v>
                </c:pt>
                <c:pt idx="3">
                  <c:v>3</c:v>
                </c:pt>
              </c:numCache>
            </c:numRef>
          </c:xVal>
          <c:yVal>
            <c:numRef>
              <c:f>'Ejercicios 5.'!$B$800:$B$803</c:f>
              <c:numCache>
                <c:formatCode>General</c:formatCode>
                <c:ptCount val="4"/>
                <c:pt idx="0" formatCode="0.0">
                  <c:v>0</c:v>
                </c:pt>
                <c:pt idx="1">
                  <c:v>6</c:v>
                </c:pt>
                <c:pt idx="2">
                  <c:v>7</c:v>
                </c:pt>
                <c:pt idx="3">
                  <c:v>8</c:v>
                </c:pt>
              </c:numCache>
            </c:numRef>
          </c:yVal>
          <c:smooth val="0"/>
          <c:extLst>
            <c:ext xmlns:c16="http://schemas.microsoft.com/office/drawing/2014/chart" uri="{C3380CC4-5D6E-409C-BE32-E72D297353CC}">
              <c16:uniqueId val="{00000000-3286-4DC6-B1AE-3B58EE8683AD}"/>
            </c:ext>
          </c:extLst>
        </c:ser>
        <c:ser>
          <c:idx val="1"/>
          <c:order val="1"/>
          <c:tx>
            <c:strRef>
              <c:f>'Ejercicios 5.'!$C$796</c:f>
              <c:strCache>
                <c:ptCount val="1"/>
                <c:pt idx="0">
                  <c:v>Qs=-9+(3/8)Px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5.'!$C$800:$C$803</c:f>
              <c:numCache>
                <c:formatCode>General</c:formatCode>
                <c:ptCount val="4"/>
                <c:pt idx="0">
                  <c:v>-9</c:v>
                </c:pt>
                <c:pt idx="1">
                  <c:v>0</c:v>
                </c:pt>
                <c:pt idx="2">
                  <c:v>3</c:v>
                </c:pt>
                <c:pt idx="3">
                  <c:v>6</c:v>
                </c:pt>
              </c:numCache>
            </c:numRef>
          </c:xVal>
          <c:yVal>
            <c:numRef>
              <c:f>'Ejercicios 5.'!$D$800:$D$803</c:f>
              <c:numCache>
                <c:formatCode>General</c:formatCode>
                <c:ptCount val="4"/>
                <c:pt idx="0" formatCode="0.0">
                  <c:v>0</c:v>
                </c:pt>
                <c:pt idx="1">
                  <c:v>24</c:v>
                </c:pt>
                <c:pt idx="2">
                  <c:v>32</c:v>
                </c:pt>
                <c:pt idx="3">
                  <c:v>40</c:v>
                </c:pt>
              </c:numCache>
            </c:numRef>
          </c:yVal>
          <c:smooth val="0"/>
          <c:extLst>
            <c:ext xmlns:c16="http://schemas.microsoft.com/office/drawing/2014/chart" uri="{C3380CC4-5D6E-409C-BE32-E72D297353CC}">
              <c16:uniqueId val="{00000001-3286-4DC6-B1AE-3B58EE8683A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5.'!$A$812</c:f>
              <c:strCache>
                <c:ptCount val="1"/>
                <c:pt idx="0">
                  <c:v>Qs=-20+4Px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5.'!$A$816:$A$819</c:f>
              <c:numCache>
                <c:formatCode>General</c:formatCode>
                <c:ptCount val="4"/>
                <c:pt idx="0">
                  <c:v>-20</c:v>
                </c:pt>
                <c:pt idx="1">
                  <c:v>0</c:v>
                </c:pt>
                <c:pt idx="2">
                  <c:v>8</c:v>
                </c:pt>
                <c:pt idx="3">
                  <c:v>16</c:v>
                </c:pt>
              </c:numCache>
            </c:numRef>
          </c:xVal>
          <c:yVal>
            <c:numRef>
              <c:f>'Ejercicios 5.'!$B$816:$B$819</c:f>
              <c:numCache>
                <c:formatCode>General</c:formatCode>
                <c:ptCount val="4"/>
                <c:pt idx="0" formatCode="0.0">
                  <c:v>0</c:v>
                </c:pt>
                <c:pt idx="1">
                  <c:v>5</c:v>
                </c:pt>
                <c:pt idx="2">
                  <c:v>7</c:v>
                </c:pt>
                <c:pt idx="3">
                  <c:v>9</c:v>
                </c:pt>
              </c:numCache>
            </c:numRef>
          </c:yVal>
          <c:smooth val="0"/>
          <c:extLst>
            <c:ext xmlns:c16="http://schemas.microsoft.com/office/drawing/2014/chart" uri="{C3380CC4-5D6E-409C-BE32-E72D297353CC}">
              <c16:uniqueId val="{00000000-0A96-45AD-AEFC-B2B61756245B}"/>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5.'!$A$829</c:f>
              <c:strCache>
                <c:ptCount val="1"/>
                <c:pt idx="0">
                  <c:v>Qs=-30+(7/8)Px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5.'!$A$833:$A$836</c:f>
              <c:numCache>
                <c:formatCode>General</c:formatCode>
                <c:ptCount val="4"/>
                <c:pt idx="0">
                  <c:v>-30</c:v>
                </c:pt>
                <c:pt idx="1">
                  <c:v>0</c:v>
                </c:pt>
                <c:pt idx="2">
                  <c:v>0.625</c:v>
                </c:pt>
                <c:pt idx="3">
                  <c:v>5</c:v>
                </c:pt>
              </c:numCache>
            </c:numRef>
          </c:xVal>
          <c:yVal>
            <c:numRef>
              <c:f>'Ejercicios 5.'!$B$833:$B$836</c:f>
              <c:numCache>
                <c:formatCode>0.0</c:formatCode>
                <c:ptCount val="4"/>
                <c:pt idx="0">
                  <c:v>0</c:v>
                </c:pt>
                <c:pt idx="1">
                  <c:v>34.285714285714285</c:v>
                </c:pt>
                <c:pt idx="2" formatCode="General">
                  <c:v>35</c:v>
                </c:pt>
                <c:pt idx="3" formatCode="General">
                  <c:v>40</c:v>
                </c:pt>
              </c:numCache>
            </c:numRef>
          </c:yVal>
          <c:smooth val="0"/>
          <c:extLst>
            <c:ext xmlns:c16="http://schemas.microsoft.com/office/drawing/2014/chart" uri="{C3380CC4-5D6E-409C-BE32-E72D297353CC}">
              <c16:uniqueId val="{00000000-9616-485B-A47B-0A9A3D80C5C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5.'!$A$846</c:f>
              <c:strCache>
                <c:ptCount val="1"/>
                <c:pt idx="0">
                  <c:v>Qs=-20+4Px</c:v>
                </c:pt>
              </c:strCache>
            </c:strRef>
          </c:tx>
          <c:spPr>
            <a:ln w="22225" cap="rnd">
              <a:solidFill>
                <a:schemeClr val="accent1"/>
              </a:solidFill>
              <a:prstDash val="lgDashDot"/>
              <a:round/>
            </a:ln>
            <a:effectLst/>
          </c:spPr>
          <c:marker>
            <c:symbol val="circle"/>
            <c:size val="6"/>
            <c:spPr>
              <a:solidFill>
                <a:schemeClr val="lt1"/>
              </a:solidFill>
              <a:ln w="15875">
                <a:solidFill>
                  <a:schemeClr val="accent1"/>
                </a:solidFill>
                <a:round/>
              </a:ln>
              <a:effectLst/>
            </c:spPr>
          </c:marker>
          <c:xVal>
            <c:numRef>
              <c:f>'Ejercicios 5.'!$A$850:$A$853</c:f>
              <c:numCache>
                <c:formatCode>General</c:formatCode>
                <c:ptCount val="4"/>
                <c:pt idx="0">
                  <c:v>-20</c:v>
                </c:pt>
                <c:pt idx="1">
                  <c:v>0</c:v>
                </c:pt>
                <c:pt idx="2">
                  <c:v>8</c:v>
                </c:pt>
                <c:pt idx="3">
                  <c:v>16</c:v>
                </c:pt>
              </c:numCache>
            </c:numRef>
          </c:xVal>
          <c:yVal>
            <c:numRef>
              <c:f>'Ejercicios 5.'!$B$850:$B$853</c:f>
              <c:numCache>
                <c:formatCode>General</c:formatCode>
                <c:ptCount val="4"/>
                <c:pt idx="0" formatCode="0.0">
                  <c:v>0</c:v>
                </c:pt>
                <c:pt idx="1">
                  <c:v>5</c:v>
                </c:pt>
                <c:pt idx="2">
                  <c:v>7</c:v>
                </c:pt>
                <c:pt idx="3">
                  <c:v>9</c:v>
                </c:pt>
              </c:numCache>
            </c:numRef>
          </c:yVal>
          <c:smooth val="0"/>
          <c:extLst>
            <c:ext xmlns:c16="http://schemas.microsoft.com/office/drawing/2014/chart" uri="{C3380CC4-5D6E-409C-BE32-E72D297353CC}">
              <c16:uniqueId val="{00000000-7344-471A-A150-6AEB94F316E4}"/>
            </c:ext>
          </c:extLst>
        </c:ser>
        <c:ser>
          <c:idx val="1"/>
          <c:order val="1"/>
          <c:tx>
            <c:strRef>
              <c:f>'Ejercicios 5.'!$C$846</c:f>
              <c:strCache>
                <c:ptCount val="1"/>
                <c:pt idx="0">
                  <c:v>Qs=-30+(7/8)Px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5.'!$C$850:$C$853</c:f>
              <c:numCache>
                <c:formatCode>General</c:formatCode>
                <c:ptCount val="4"/>
                <c:pt idx="0">
                  <c:v>-30</c:v>
                </c:pt>
                <c:pt idx="1">
                  <c:v>0</c:v>
                </c:pt>
                <c:pt idx="2">
                  <c:v>0.625</c:v>
                </c:pt>
                <c:pt idx="3">
                  <c:v>5</c:v>
                </c:pt>
              </c:numCache>
            </c:numRef>
          </c:xVal>
          <c:yVal>
            <c:numRef>
              <c:f>'Ejercicios 5.'!$D$850:$D$853</c:f>
              <c:numCache>
                <c:formatCode>0.0</c:formatCode>
                <c:ptCount val="4"/>
                <c:pt idx="0">
                  <c:v>0</c:v>
                </c:pt>
                <c:pt idx="1">
                  <c:v>34.285714285714285</c:v>
                </c:pt>
                <c:pt idx="2" formatCode="General">
                  <c:v>35</c:v>
                </c:pt>
                <c:pt idx="3" formatCode="General">
                  <c:v>40</c:v>
                </c:pt>
              </c:numCache>
            </c:numRef>
          </c:yVal>
          <c:smooth val="0"/>
          <c:extLst>
            <c:ext xmlns:c16="http://schemas.microsoft.com/office/drawing/2014/chart" uri="{C3380CC4-5D6E-409C-BE32-E72D297353CC}">
              <c16:uniqueId val="{00000001-7344-471A-A150-6AEB94F316E4}"/>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5.'!$A$863</c:f>
              <c:strCache>
                <c:ptCount val="1"/>
                <c:pt idx="0">
                  <c:v>Qs=-(30/25)+12Px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5.'!$A$867:$A$870</c:f>
              <c:numCache>
                <c:formatCode>General</c:formatCode>
                <c:ptCount val="4"/>
                <c:pt idx="0">
                  <c:v>-1.2</c:v>
                </c:pt>
                <c:pt idx="1">
                  <c:v>0</c:v>
                </c:pt>
                <c:pt idx="2">
                  <c:v>12.000000000000002</c:v>
                </c:pt>
                <c:pt idx="3">
                  <c:v>24.000000000000004</c:v>
                </c:pt>
              </c:numCache>
            </c:numRef>
          </c:xVal>
          <c:yVal>
            <c:numRef>
              <c:f>'Ejercicios 5.'!$B$867:$B$870</c:f>
              <c:numCache>
                <c:formatCode>General</c:formatCode>
                <c:ptCount val="4"/>
                <c:pt idx="0" formatCode="0.0">
                  <c:v>0</c:v>
                </c:pt>
                <c:pt idx="1">
                  <c:v>9.9999999999999992E-2</c:v>
                </c:pt>
                <c:pt idx="2">
                  <c:v>1.1000000000000001</c:v>
                </c:pt>
                <c:pt idx="3">
                  <c:v>2.1</c:v>
                </c:pt>
              </c:numCache>
            </c:numRef>
          </c:yVal>
          <c:smooth val="0"/>
          <c:extLst>
            <c:ext xmlns:c16="http://schemas.microsoft.com/office/drawing/2014/chart" uri="{C3380CC4-5D6E-409C-BE32-E72D297353CC}">
              <c16:uniqueId val="{00000000-2565-44EF-804D-86CA6DD7410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5.'!$A$880</c:f>
              <c:strCache>
                <c:ptCount val="1"/>
                <c:pt idx="0">
                  <c:v>Qs=-30+12Px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5.'!$A$884:$A$887</c:f>
              <c:numCache>
                <c:formatCode>General</c:formatCode>
                <c:ptCount val="4"/>
                <c:pt idx="0">
                  <c:v>-30</c:v>
                </c:pt>
                <c:pt idx="1">
                  <c:v>0</c:v>
                </c:pt>
                <c:pt idx="2">
                  <c:v>30</c:v>
                </c:pt>
                <c:pt idx="3">
                  <c:v>60</c:v>
                </c:pt>
              </c:numCache>
            </c:numRef>
          </c:xVal>
          <c:yVal>
            <c:numRef>
              <c:f>'Ejercicios 5.'!$B$884:$B$887</c:f>
              <c:numCache>
                <c:formatCode>General</c:formatCode>
                <c:ptCount val="4"/>
                <c:pt idx="0" formatCode="0.0">
                  <c:v>0</c:v>
                </c:pt>
                <c:pt idx="1">
                  <c:v>2.5</c:v>
                </c:pt>
                <c:pt idx="2">
                  <c:v>5</c:v>
                </c:pt>
                <c:pt idx="3">
                  <c:v>7.5</c:v>
                </c:pt>
              </c:numCache>
            </c:numRef>
          </c:yVal>
          <c:smooth val="0"/>
          <c:extLst>
            <c:ext xmlns:c16="http://schemas.microsoft.com/office/drawing/2014/chart" uri="{C3380CC4-5D6E-409C-BE32-E72D297353CC}">
              <c16:uniqueId val="{00000000-A8CC-4AF3-AA79-144B863D60C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5.'!$A$898</c:f>
              <c:strCache>
                <c:ptCount val="1"/>
                <c:pt idx="0">
                  <c:v>Qs=-(30/25)+12Px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5.'!$A$902:$A$905</c:f>
              <c:numCache>
                <c:formatCode>General</c:formatCode>
                <c:ptCount val="4"/>
                <c:pt idx="0">
                  <c:v>-1.2</c:v>
                </c:pt>
                <c:pt idx="1">
                  <c:v>0</c:v>
                </c:pt>
                <c:pt idx="2">
                  <c:v>12.000000000000002</c:v>
                </c:pt>
                <c:pt idx="3">
                  <c:v>24.000000000000004</c:v>
                </c:pt>
              </c:numCache>
            </c:numRef>
          </c:xVal>
          <c:yVal>
            <c:numRef>
              <c:f>'Ejercicios 5.'!$B$902:$B$905</c:f>
              <c:numCache>
                <c:formatCode>General</c:formatCode>
                <c:ptCount val="4"/>
                <c:pt idx="0" formatCode="0.0">
                  <c:v>0</c:v>
                </c:pt>
                <c:pt idx="1">
                  <c:v>9.9999999999999992E-2</c:v>
                </c:pt>
                <c:pt idx="2">
                  <c:v>1.1000000000000001</c:v>
                </c:pt>
                <c:pt idx="3">
                  <c:v>2.1</c:v>
                </c:pt>
              </c:numCache>
            </c:numRef>
          </c:yVal>
          <c:smooth val="0"/>
          <c:extLst>
            <c:ext xmlns:c16="http://schemas.microsoft.com/office/drawing/2014/chart" uri="{C3380CC4-5D6E-409C-BE32-E72D297353CC}">
              <c16:uniqueId val="{00000000-45C3-40CD-815E-C4F135172E32}"/>
            </c:ext>
          </c:extLst>
        </c:ser>
        <c:ser>
          <c:idx val="1"/>
          <c:order val="1"/>
          <c:tx>
            <c:strRef>
              <c:f>'Ejercicios 5.'!$C$898</c:f>
              <c:strCache>
                <c:ptCount val="1"/>
                <c:pt idx="0">
                  <c:v>Qs=-30+12Px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5.'!$C$902:$C$905</c:f>
              <c:numCache>
                <c:formatCode>General</c:formatCode>
                <c:ptCount val="4"/>
                <c:pt idx="0">
                  <c:v>-30</c:v>
                </c:pt>
                <c:pt idx="1">
                  <c:v>0</c:v>
                </c:pt>
                <c:pt idx="2">
                  <c:v>30</c:v>
                </c:pt>
                <c:pt idx="3">
                  <c:v>60</c:v>
                </c:pt>
              </c:numCache>
            </c:numRef>
          </c:xVal>
          <c:yVal>
            <c:numRef>
              <c:f>'Ejercicios 5.'!$D$902:$D$905</c:f>
              <c:numCache>
                <c:formatCode>General</c:formatCode>
                <c:ptCount val="4"/>
                <c:pt idx="0" formatCode="0.0">
                  <c:v>0</c:v>
                </c:pt>
                <c:pt idx="1">
                  <c:v>2.5</c:v>
                </c:pt>
                <c:pt idx="2">
                  <c:v>5</c:v>
                </c:pt>
                <c:pt idx="3">
                  <c:v>7.5</c:v>
                </c:pt>
              </c:numCache>
            </c:numRef>
          </c:yVal>
          <c:smooth val="0"/>
          <c:extLst>
            <c:ext xmlns:c16="http://schemas.microsoft.com/office/drawing/2014/chart" uri="{C3380CC4-5D6E-409C-BE32-E72D297353CC}">
              <c16:uniqueId val="{00000001-45C3-40CD-815E-C4F135172E3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5.'!$A$915</c:f>
              <c:strCache>
                <c:ptCount val="1"/>
                <c:pt idx="0">
                  <c:v>Qs=-8+3/2 Px</c:v>
                </c:pt>
              </c:strCache>
            </c:strRef>
          </c:tx>
          <c:spPr>
            <a:ln w="22225" cap="rnd">
              <a:solidFill>
                <a:schemeClr val="accent1"/>
              </a:solidFill>
              <a:prstDash val="lgDashDot"/>
              <a:round/>
            </a:ln>
            <a:effectLst/>
          </c:spPr>
          <c:marker>
            <c:symbol val="circle"/>
            <c:size val="6"/>
            <c:spPr>
              <a:solidFill>
                <a:schemeClr val="lt1"/>
              </a:solidFill>
              <a:ln w="15875">
                <a:solidFill>
                  <a:schemeClr val="accent1"/>
                </a:solidFill>
                <a:round/>
              </a:ln>
              <a:effectLst/>
            </c:spPr>
          </c:marker>
          <c:xVal>
            <c:numRef>
              <c:f>'Ejercicios 5.'!$A$919:$A$922</c:f>
              <c:numCache>
                <c:formatCode>General</c:formatCode>
                <c:ptCount val="4"/>
                <c:pt idx="0">
                  <c:v>-8</c:v>
                </c:pt>
                <c:pt idx="1">
                  <c:v>0</c:v>
                </c:pt>
                <c:pt idx="2">
                  <c:v>4</c:v>
                </c:pt>
                <c:pt idx="3">
                  <c:v>16</c:v>
                </c:pt>
              </c:numCache>
            </c:numRef>
          </c:xVal>
          <c:yVal>
            <c:numRef>
              <c:f>'Ejercicios 5.'!$B$919:$B$922</c:f>
              <c:numCache>
                <c:formatCode>0.0</c:formatCode>
                <c:ptCount val="4"/>
                <c:pt idx="0">
                  <c:v>0</c:v>
                </c:pt>
                <c:pt idx="1">
                  <c:v>5.333333333333333</c:v>
                </c:pt>
                <c:pt idx="2" formatCode="General">
                  <c:v>8</c:v>
                </c:pt>
                <c:pt idx="3" formatCode="General">
                  <c:v>16</c:v>
                </c:pt>
              </c:numCache>
            </c:numRef>
          </c:yVal>
          <c:smooth val="0"/>
          <c:extLst>
            <c:ext xmlns:c16="http://schemas.microsoft.com/office/drawing/2014/chart" uri="{C3380CC4-5D6E-409C-BE32-E72D297353CC}">
              <c16:uniqueId val="{00000000-C58A-4C0D-A8D5-AAB6DD27AB2B}"/>
            </c:ext>
          </c:extLst>
        </c:ser>
        <c:ser>
          <c:idx val="1"/>
          <c:order val="1"/>
          <c:tx>
            <c:strRef>
              <c:f>'Ejercicios 5.'!$C$915</c:f>
              <c:strCache>
                <c:ptCount val="1"/>
                <c:pt idx="0">
                  <c:v>QS=-200+37.5Px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5.'!$C$919:$C$922</c:f>
              <c:numCache>
                <c:formatCode>General</c:formatCode>
                <c:ptCount val="4"/>
                <c:pt idx="0">
                  <c:v>-200</c:v>
                </c:pt>
                <c:pt idx="1">
                  <c:v>0</c:v>
                </c:pt>
                <c:pt idx="2">
                  <c:v>100</c:v>
                </c:pt>
                <c:pt idx="3">
                  <c:v>400</c:v>
                </c:pt>
              </c:numCache>
            </c:numRef>
          </c:xVal>
          <c:yVal>
            <c:numRef>
              <c:f>'Ejercicios 5.'!$D$919:$D$922</c:f>
              <c:numCache>
                <c:formatCode>0.0</c:formatCode>
                <c:ptCount val="4"/>
                <c:pt idx="0">
                  <c:v>0</c:v>
                </c:pt>
                <c:pt idx="1">
                  <c:v>5.333333333333333</c:v>
                </c:pt>
                <c:pt idx="2">
                  <c:v>8</c:v>
                </c:pt>
                <c:pt idx="3">
                  <c:v>16</c:v>
                </c:pt>
              </c:numCache>
            </c:numRef>
          </c:yVal>
          <c:smooth val="0"/>
          <c:extLst>
            <c:ext xmlns:c16="http://schemas.microsoft.com/office/drawing/2014/chart" uri="{C3380CC4-5D6E-409C-BE32-E72D297353CC}">
              <c16:uniqueId val="{00000001-C58A-4C0D-A8D5-AAB6DD27AB2B}"/>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5.'!$A$933</c:f>
              <c:strCache>
                <c:ptCount val="1"/>
                <c:pt idx="0">
                  <c:v>Qs=-6+0.5Px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5.'!$A$937:$A$940</c:f>
              <c:numCache>
                <c:formatCode>General</c:formatCode>
                <c:ptCount val="4"/>
                <c:pt idx="0">
                  <c:v>-6</c:v>
                </c:pt>
                <c:pt idx="1">
                  <c:v>0</c:v>
                </c:pt>
                <c:pt idx="2">
                  <c:v>6</c:v>
                </c:pt>
                <c:pt idx="3">
                  <c:v>12</c:v>
                </c:pt>
              </c:numCache>
            </c:numRef>
          </c:xVal>
          <c:yVal>
            <c:numRef>
              <c:f>'Ejercicios 5.'!$B$937:$B$940</c:f>
              <c:numCache>
                <c:formatCode>0.0</c:formatCode>
                <c:ptCount val="4"/>
                <c:pt idx="0">
                  <c:v>0</c:v>
                </c:pt>
                <c:pt idx="1">
                  <c:v>12</c:v>
                </c:pt>
                <c:pt idx="2" formatCode="General">
                  <c:v>24</c:v>
                </c:pt>
                <c:pt idx="3" formatCode="General">
                  <c:v>36</c:v>
                </c:pt>
              </c:numCache>
            </c:numRef>
          </c:yVal>
          <c:smooth val="0"/>
          <c:extLst>
            <c:ext xmlns:c16="http://schemas.microsoft.com/office/drawing/2014/chart" uri="{C3380CC4-5D6E-409C-BE32-E72D297353CC}">
              <c16:uniqueId val="{00000000-2015-4D9E-A57D-D8E7224CE085}"/>
            </c:ext>
          </c:extLst>
        </c:ser>
        <c:ser>
          <c:idx val="1"/>
          <c:order val="1"/>
          <c:tx>
            <c:strRef>
              <c:f>'Ejercicios 5.'!$C$933</c:f>
              <c:strCache>
                <c:ptCount val="1"/>
                <c:pt idx="0">
                  <c:v>QS=-90+7.5Px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5.'!$C$937:$C$940</c:f>
              <c:numCache>
                <c:formatCode>General</c:formatCode>
                <c:ptCount val="4"/>
                <c:pt idx="0">
                  <c:v>-90</c:v>
                </c:pt>
                <c:pt idx="1">
                  <c:v>0</c:v>
                </c:pt>
                <c:pt idx="2">
                  <c:v>90</c:v>
                </c:pt>
                <c:pt idx="3">
                  <c:v>180</c:v>
                </c:pt>
              </c:numCache>
            </c:numRef>
          </c:xVal>
          <c:yVal>
            <c:numRef>
              <c:f>'Ejercicios 5.'!$D$937:$D$940</c:f>
              <c:numCache>
                <c:formatCode>0.0</c:formatCode>
                <c:ptCount val="4"/>
                <c:pt idx="0">
                  <c:v>0</c:v>
                </c:pt>
                <c:pt idx="1">
                  <c:v>12</c:v>
                </c:pt>
                <c:pt idx="2">
                  <c:v>24</c:v>
                </c:pt>
                <c:pt idx="3">
                  <c:v>36</c:v>
                </c:pt>
              </c:numCache>
            </c:numRef>
          </c:yVal>
          <c:smooth val="0"/>
          <c:extLst>
            <c:ext xmlns:c16="http://schemas.microsoft.com/office/drawing/2014/chart" uri="{C3380CC4-5D6E-409C-BE32-E72D297353CC}">
              <c16:uniqueId val="{00000001-2015-4D9E-A57D-D8E7224CE08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5.'!$A$949</c:f>
              <c:strCache>
                <c:ptCount val="1"/>
                <c:pt idx="0">
                  <c:v>Qs=-2+Px</c:v>
                </c:pt>
              </c:strCache>
            </c:strRef>
          </c:tx>
          <c:spPr>
            <a:ln w="22225" cap="rnd">
              <a:solidFill>
                <a:schemeClr val="accent1"/>
              </a:solidFill>
              <a:prstDash val="dashDot"/>
              <a:round/>
            </a:ln>
            <a:effectLst/>
          </c:spPr>
          <c:marker>
            <c:symbol val="circle"/>
            <c:size val="6"/>
            <c:spPr>
              <a:solidFill>
                <a:schemeClr val="lt1"/>
              </a:solidFill>
              <a:ln w="15875">
                <a:solidFill>
                  <a:schemeClr val="accent1"/>
                </a:solidFill>
                <a:round/>
              </a:ln>
              <a:effectLst/>
            </c:spPr>
          </c:marker>
          <c:xVal>
            <c:numRef>
              <c:f>'Ejercicios 5.'!$A$953:$A$956</c:f>
              <c:numCache>
                <c:formatCode>General</c:formatCode>
                <c:ptCount val="4"/>
                <c:pt idx="0">
                  <c:v>-2</c:v>
                </c:pt>
                <c:pt idx="1">
                  <c:v>0</c:v>
                </c:pt>
                <c:pt idx="2">
                  <c:v>6</c:v>
                </c:pt>
                <c:pt idx="3">
                  <c:v>10</c:v>
                </c:pt>
              </c:numCache>
            </c:numRef>
          </c:xVal>
          <c:yVal>
            <c:numRef>
              <c:f>'Ejercicios 5.'!$B$953:$B$956</c:f>
              <c:numCache>
                <c:formatCode>0.0</c:formatCode>
                <c:ptCount val="4"/>
                <c:pt idx="0">
                  <c:v>0</c:v>
                </c:pt>
                <c:pt idx="1">
                  <c:v>2</c:v>
                </c:pt>
                <c:pt idx="2" formatCode="General">
                  <c:v>8</c:v>
                </c:pt>
                <c:pt idx="3" formatCode="General">
                  <c:v>12</c:v>
                </c:pt>
              </c:numCache>
            </c:numRef>
          </c:yVal>
          <c:smooth val="0"/>
          <c:extLst>
            <c:ext xmlns:c16="http://schemas.microsoft.com/office/drawing/2014/chart" uri="{C3380CC4-5D6E-409C-BE32-E72D297353CC}">
              <c16:uniqueId val="{00000000-02F3-45B6-8457-E4CC7706B482}"/>
            </c:ext>
          </c:extLst>
        </c:ser>
        <c:ser>
          <c:idx val="1"/>
          <c:order val="1"/>
          <c:tx>
            <c:strRef>
              <c:f>'Ejercicios 5.'!$C$949</c:f>
              <c:strCache>
                <c:ptCount val="1"/>
                <c:pt idx="0">
                  <c:v>QS=-120+60Px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5.'!$C$953:$C$956</c:f>
              <c:numCache>
                <c:formatCode>General</c:formatCode>
                <c:ptCount val="4"/>
                <c:pt idx="0">
                  <c:v>-120</c:v>
                </c:pt>
                <c:pt idx="1">
                  <c:v>0</c:v>
                </c:pt>
                <c:pt idx="2">
                  <c:v>360</c:v>
                </c:pt>
                <c:pt idx="3">
                  <c:v>600</c:v>
                </c:pt>
              </c:numCache>
            </c:numRef>
          </c:xVal>
          <c:yVal>
            <c:numRef>
              <c:f>'Ejercicios 5.'!$D$953:$D$956</c:f>
              <c:numCache>
                <c:formatCode>0.0</c:formatCode>
                <c:ptCount val="4"/>
                <c:pt idx="0">
                  <c:v>0</c:v>
                </c:pt>
                <c:pt idx="1">
                  <c:v>2</c:v>
                </c:pt>
                <c:pt idx="2">
                  <c:v>8</c:v>
                </c:pt>
                <c:pt idx="3">
                  <c:v>12</c:v>
                </c:pt>
              </c:numCache>
            </c:numRef>
          </c:yVal>
          <c:smooth val="0"/>
          <c:extLst>
            <c:ext xmlns:c16="http://schemas.microsoft.com/office/drawing/2014/chart" uri="{C3380CC4-5D6E-409C-BE32-E72D297353CC}">
              <c16:uniqueId val="{00000001-02F3-45B6-8457-E4CC7706B48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5.'!$A$967</c:f>
              <c:strCache>
                <c:ptCount val="1"/>
                <c:pt idx="0">
                  <c:v>Qs=-32+(8/10)Px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5.'!$A$971:$A$974</c:f>
              <c:numCache>
                <c:formatCode>General</c:formatCode>
                <c:ptCount val="4"/>
                <c:pt idx="0">
                  <c:v>-32</c:v>
                </c:pt>
                <c:pt idx="1">
                  <c:v>0</c:v>
                </c:pt>
                <c:pt idx="2">
                  <c:v>32</c:v>
                </c:pt>
                <c:pt idx="3">
                  <c:v>96</c:v>
                </c:pt>
              </c:numCache>
            </c:numRef>
          </c:xVal>
          <c:yVal>
            <c:numRef>
              <c:f>'Ejercicios 5.'!$B$971:$B$974</c:f>
              <c:numCache>
                <c:formatCode>0.0</c:formatCode>
                <c:ptCount val="4"/>
                <c:pt idx="0">
                  <c:v>0</c:v>
                </c:pt>
                <c:pt idx="1">
                  <c:v>40</c:v>
                </c:pt>
                <c:pt idx="2" formatCode="General">
                  <c:v>80</c:v>
                </c:pt>
                <c:pt idx="3" formatCode="General">
                  <c:v>160</c:v>
                </c:pt>
              </c:numCache>
            </c:numRef>
          </c:yVal>
          <c:smooth val="0"/>
          <c:extLst>
            <c:ext xmlns:c16="http://schemas.microsoft.com/office/drawing/2014/chart" uri="{C3380CC4-5D6E-409C-BE32-E72D297353CC}">
              <c16:uniqueId val="{00000000-1235-4E61-9A0E-4A077BDF6B6D}"/>
            </c:ext>
          </c:extLst>
        </c:ser>
        <c:ser>
          <c:idx val="1"/>
          <c:order val="1"/>
          <c:tx>
            <c:strRef>
              <c:f>'Ejercicios 5.'!$C$967</c:f>
              <c:strCache>
                <c:ptCount val="1"/>
                <c:pt idx="0">
                  <c:v>QS=-320+8Px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5.'!$C$971:$C$974</c:f>
              <c:numCache>
                <c:formatCode>General</c:formatCode>
                <c:ptCount val="4"/>
                <c:pt idx="0">
                  <c:v>-320</c:v>
                </c:pt>
                <c:pt idx="1">
                  <c:v>0</c:v>
                </c:pt>
                <c:pt idx="2">
                  <c:v>320</c:v>
                </c:pt>
                <c:pt idx="3">
                  <c:v>960</c:v>
                </c:pt>
              </c:numCache>
            </c:numRef>
          </c:xVal>
          <c:yVal>
            <c:numRef>
              <c:f>'Ejercicios 5.'!$D$971:$D$974</c:f>
              <c:numCache>
                <c:formatCode>0.0</c:formatCode>
                <c:ptCount val="4"/>
                <c:pt idx="0">
                  <c:v>0</c:v>
                </c:pt>
                <c:pt idx="1">
                  <c:v>40</c:v>
                </c:pt>
                <c:pt idx="2">
                  <c:v>80</c:v>
                </c:pt>
                <c:pt idx="3">
                  <c:v>160</c:v>
                </c:pt>
              </c:numCache>
            </c:numRef>
          </c:yVal>
          <c:smooth val="0"/>
          <c:extLst>
            <c:ext xmlns:c16="http://schemas.microsoft.com/office/drawing/2014/chart" uri="{C3380CC4-5D6E-409C-BE32-E72D297353CC}">
              <c16:uniqueId val="{00000001-1235-4E61-9A0E-4A077BDF6B6D}"/>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5.'!$A$985</c:f>
              <c:strCache>
                <c:ptCount val="1"/>
                <c:pt idx="0">
                  <c:v>Qs=-5+1.5Px</c:v>
                </c:pt>
              </c:strCache>
            </c:strRef>
          </c:tx>
          <c:spPr>
            <a:ln w="22225" cap="rnd">
              <a:solidFill>
                <a:schemeClr val="accent1"/>
              </a:solidFill>
              <a:prstDash val="lgDashDot"/>
              <a:round/>
            </a:ln>
            <a:effectLst/>
          </c:spPr>
          <c:marker>
            <c:symbol val="circle"/>
            <c:size val="6"/>
            <c:spPr>
              <a:solidFill>
                <a:schemeClr val="lt1"/>
              </a:solidFill>
              <a:ln w="15875">
                <a:solidFill>
                  <a:schemeClr val="accent1"/>
                </a:solidFill>
                <a:round/>
              </a:ln>
              <a:effectLst/>
            </c:spPr>
          </c:marker>
          <c:xVal>
            <c:numRef>
              <c:f>'Ejercicios 5.'!$A$989:$A$992</c:f>
              <c:numCache>
                <c:formatCode>General</c:formatCode>
                <c:ptCount val="4"/>
                <c:pt idx="0">
                  <c:v>-5</c:v>
                </c:pt>
                <c:pt idx="1">
                  <c:v>0</c:v>
                </c:pt>
                <c:pt idx="2">
                  <c:v>2.5</c:v>
                </c:pt>
                <c:pt idx="3">
                  <c:v>10</c:v>
                </c:pt>
              </c:numCache>
            </c:numRef>
          </c:xVal>
          <c:yVal>
            <c:numRef>
              <c:f>'Ejercicios 5.'!$B$989:$B$992</c:f>
              <c:numCache>
                <c:formatCode>0.0</c:formatCode>
                <c:ptCount val="4"/>
                <c:pt idx="0">
                  <c:v>0</c:v>
                </c:pt>
                <c:pt idx="1">
                  <c:v>3.3333333333333335</c:v>
                </c:pt>
                <c:pt idx="2" formatCode="General">
                  <c:v>5</c:v>
                </c:pt>
                <c:pt idx="3" formatCode="General">
                  <c:v>10</c:v>
                </c:pt>
              </c:numCache>
            </c:numRef>
          </c:yVal>
          <c:smooth val="0"/>
          <c:extLst>
            <c:ext xmlns:c16="http://schemas.microsoft.com/office/drawing/2014/chart" uri="{C3380CC4-5D6E-409C-BE32-E72D297353CC}">
              <c16:uniqueId val="{00000000-625C-45CD-AA2B-1DD83A2AA752}"/>
            </c:ext>
          </c:extLst>
        </c:ser>
        <c:ser>
          <c:idx val="1"/>
          <c:order val="1"/>
          <c:tx>
            <c:strRef>
              <c:f>'Ejercicios 5.'!$C$985</c:f>
              <c:strCache>
                <c:ptCount val="1"/>
                <c:pt idx="0">
                  <c:v>QS=-225+67.5Px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5.'!$C$989:$C$992</c:f>
              <c:numCache>
                <c:formatCode>General</c:formatCode>
                <c:ptCount val="4"/>
                <c:pt idx="0">
                  <c:v>-225</c:v>
                </c:pt>
                <c:pt idx="1">
                  <c:v>0</c:v>
                </c:pt>
                <c:pt idx="2">
                  <c:v>112.5</c:v>
                </c:pt>
                <c:pt idx="3">
                  <c:v>450</c:v>
                </c:pt>
              </c:numCache>
            </c:numRef>
          </c:xVal>
          <c:yVal>
            <c:numRef>
              <c:f>'Ejercicios 5.'!$D$989:$D$992</c:f>
              <c:numCache>
                <c:formatCode>0.0</c:formatCode>
                <c:ptCount val="4"/>
                <c:pt idx="0">
                  <c:v>0</c:v>
                </c:pt>
                <c:pt idx="1">
                  <c:v>3.3333333333333335</c:v>
                </c:pt>
                <c:pt idx="2">
                  <c:v>5</c:v>
                </c:pt>
                <c:pt idx="3">
                  <c:v>10</c:v>
                </c:pt>
              </c:numCache>
            </c:numRef>
          </c:yVal>
          <c:smooth val="0"/>
          <c:extLst>
            <c:ext xmlns:c16="http://schemas.microsoft.com/office/drawing/2014/chart" uri="{C3380CC4-5D6E-409C-BE32-E72D297353CC}">
              <c16:uniqueId val="{00000001-625C-45CD-AA2B-1DD83A2AA75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5.'!$A$1000</c:f>
              <c:strCache>
                <c:ptCount val="1"/>
                <c:pt idx="0">
                  <c:v>QS=-1+Px</c:v>
                </c:pt>
              </c:strCache>
            </c:strRef>
          </c:tx>
          <c:spPr>
            <a:ln w="22225" cap="rnd">
              <a:solidFill>
                <a:schemeClr val="accent1"/>
              </a:solidFill>
              <a:prstDash val="dashDot"/>
              <a:round/>
            </a:ln>
            <a:effectLst/>
          </c:spPr>
          <c:marker>
            <c:symbol val="circle"/>
            <c:size val="6"/>
            <c:spPr>
              <a:solidFill>
                <a:schemeClr val="lt1"/>
              </a:solidFill>
              <a:ln w="15875">
                <a:solidFill>
                  <a:schemeClr val="accent1"/>
                </a:solidFill>
                <a:round/>
              </a:ln>
              <a:effectLst/>
            </c:spPr>
          </c:marker>
          <c:xVal>
            <c:numRef>
              <c:f>'Ejercicios 5.'!$A$1004:$A$1006</c:f>
              <c:numCache>
                <c:formatCode>General</c:formatCode>
                <c:ptCount val="3"/>
                <c:pt idx="0">
                  <c:v>-1</c:v>
                </c:pt>
                <c:pt idx="1">
                  <c:v>2.5</c:v>
                </c:pt>
                <c:pt idx="2">
                  <c:v>5</c:v>
                </c:pt>
              </c:numCache>
            </c:numRef>
          </c:xVal>
          <c:yVal>
            <c:numRef>
              <c:f>'Ejercicios 5.'!$B$1004:$B$1006</c:f>
              <c:numCache>
                <c:formatCode>General</c:formatCode>
                <c:ptCount val="3"/>
                <c:pt idx="0">
                  <c:v>0</c:v>
                </c:pt>
                <c:pt idx="1">
                  <c:v>3.5</c:v>
                </c:pt>
                <c:pt idx="2">
                  <c:v>6</c:v>
                </c:pt>
              </c:numCache>
            </c:numRef>
          </c:yVal>
          <c:smooth val="0"/>
          <c:extLst>
            <c:ext xmlns:c16="http://schemas.microsoft.com/office/drawing/2014/chart" uri="{C3380CC4-5D6E-409C-BE32-E72D297353CC}">
              <c16:uniqueId val="{00000000-A171-421D-B64B-44C03ED3DDA2}"/>
            </c:ext>
          </c:extLst>
        </c:ser>
        <c:ser>
          <c:idx val="1"/>
          <c:order val="1"/>
          <c:tx>
            <c:strRef>
              <c:f>'Ejercicios 5.'!$C$1000</c:f>
              <c:strCache>
                <c:ptCount val="1"/>
                <c:pt idx="0">
                  <c:v>QD=6-Px</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xVal>
            <c:numRef>
              <c:f>'Ejercicios 5.'!$C$1004:$C$1006</c:f>
              <c:numCache>
                <c:formatCode>General</c:formatCode>
                <c:ptCount val="3"/>
                <c:pt idx="0">
                  <c:v>6</c:v>
                </c:pt>
                <c:pt idx="1">
                  <c:v>2.5</c:v>
                </c:pt>
                <c:pt idx="2">
                  <c:v>0</c:v>
                </c:pt>
              </c:numCache>
            </c:numRef>
          </c:xVal>
          <c:yVal>
            <c:numRef>
              <c:f>'Ejercicios 5.'!$B$1004:$B$1006</c:f>
              <c:numCache>
                <c:formatCode>General</c:formatCode>
                <c:ptCount val="3"/>
                <c:pt idx="0">
                  <c:v>0</c:v>
                </c:pt>
                <c:pt idx="1">
                  <c:v>3.5</c:v>
                </c:pt>
                <c:pt idx="2">
                  <c:v>6</c:v>
                </c:pt>
              </c:numCache>
            </c:numRef>
          </c:yVal>
          <c:smooth val="0"/>
          <c:extLst>
            <c:ext xmlns:c16="http://schemas.microsoft.com/office/drawing/2014/chart" uri="{C3380CC4-5D6E-409C-BE32-E72D297353CC}">
              <c16:uniqueId val="{00000001-A171-421D-B64B-44C03ED3DDA2}"/>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5.'!$A$1018</c:f>
              <c:strCache>
                <c:ptCount val="1"/>
                <c:pt idx="0">
                  <c:v>QS=-5+5Px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5.'!$A$1022:$A$1024</c:f>
              <c:numCache>
                <c:formatCode>General</c:formatCode>
                <c:ptCount val="3"/>
                <c:pt idx="0">
                  <c:v>-5</c:v>
                </c:pt>
                <c:pt idx="1">
                  <c:v>6.1111111111111107</c:v>
                </c:pt>
                <c:pt idx="2">
                  <c:v>13.75</c:v>
                </c:pt>
              </c:numCache>
            </c:numRef>
          </c:xVal>
          <c:yVal>
            <c:numRef>
              <c:f>'Ejercicios 5.'!$B$1022:$B$1024</c:f>
              <c:numCache>
                <c:formatCode>0.00</c:formatCode>
                <c:ptCount val="3"/>
                <c:pt idx="0" formatCode="General">
                  <c:v>0</c:v>
                </c:pt>
                <c:pt idx="1">
                  <c:v>2.2222222222222223</c:v>
                </c:pt>
                <c:pt idx="2" formatCode="General">
                  <c:v>3.75</c:v>
                </c:pt>
              </c:numCache>
            </c:numRef>
          </c:yVal>
          <c:smooth val="0"/>
          <c:extLst>
            <c:ext xmlns:c16="http://schemas.microsoft.com/office/drawing/2014/chart" uri="{C3380CC4-5D6E-409C-BE32-E72D297353CC}">
              <c16:uniqueId val="{00000000-8E6D-40E0-A97E-0FC241FC5191}"/>
            </c:ext>
          </c:extLst>
        </c:ser>
        <c:ser>
          <c:idx val="1"/>
          <c:order val="1"/>
          <c:tx>
            <c:strRef>
              <c:f>'Ejercicios 5.'!$C$1018</c:f>
              <c:strCache>
                <c:ptCount val="1"/>
                <c:pt idx="0">
                  <c:v>QD=15-4Px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5.'!$C$1022:$C$1024</c:f>
              <c:numCache>
                <c:formatCode>General</c:formatCode>
                <c:ptCount val="3"/>
                <c:pt idx="0">
                  <c:v>15</c:v>
                </c:pt>
                <c:pt idx="1">
                  <c:v>6.1111111111111107</c:v>
                </c:pt>
                <c:pt idx="2">
                  <c:v>0</c:v>
                </c:pt>
              </c:numCache>
            </c:numRef>
          </c:xVal>
          <c:yVal>
            <c:numRef>
              <c:f>'Ejercicios 5.'!$D$1022:$D$1024</c:f>
              <c:numCache>
                <c:formatCode>0.00</c:formatCode>
                <c:ptCount val="3"/>
                <c:pt idx="0" formatCode="General">
                  <c:v>0</c:v>
                </c:pt>
                <c:pt idx="1">
                  <c:v>2.2222222222222223</c:v>
                </c:pt>
                <c:pt idx="2" formatCode="General">
                  <c:v>3.75</c:v>
                </c:pt>
              </c:numCache>
            </c:numRef>
          </c:yVal>
          <c:smooth val="0"/>
          <c:extLst>
            <c:ext xmlns:c16="http://schemas.microsoft.com/office/drawing/2014/chart" uri="{C3380CC4-5D6E-409C-BE32-E72D297353CC}">
              <c16:uniqueId val="{00000001-8E6D-40E0-A97E-0FC241FC519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5.'!$A$1035</c:f>
              <c:strCache>
                <c:ptCount val="1"/>
                <c:pt idx="0">
                  <c:v>QS=-5+0.3Px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5.'!$A$1039:$A$1041</c:f>
              <c:numCache>
                <c:formatCode>General</c:formatCode>
                <c:ptCount val="3"/>
                <c:pt idx="0">
                  <c:v>-5</c:v>
                </c:pt>
                <c:pt idx="1">
                  <c:v>4.375</c:v>
                </c:pt>
                <c:pt idx="2">
                  <c:v>7</c:v>
                </c:pt>
              </c:numCache>
            </c:numRef>
          </c:xVal>
          <c:yVal>
            <c:numRef>
              <c:f>'Ejercicios 5.'!$B$1039:$B$1041</c:f>
              <c:numCache>
                <c:formatCode>0.00</c:formatCode>
                <c:ptCount val="3"/>
                <c:pt idx="0" formatCode="General">
                  <c:v>0</c:v>
                </c:pt>
                <c:pt idx="1">
                  <c:v>31.25</c:v>
                </c:pt>
                <c:pt idx="2" formatCode="General">
                  <c:v>40</c:v>
                </c:pt>
              </c:numCache>
            </c:numRef>
          </c:yVal>
          <c:smooth val="0"/>
          <c:extLst>
            <c:ext xmlns:c16="http://schemas.microsoft.com/office/drawing/2014/chart" uri="{C3380CC4-5D6E-409C-BE32-E72D297353CC}">
              <c16:uniqueId val="{00000000-B3B7-4096-898C-366DB91C70D6}"/>
            </c:ext>
          </c:extLst>
        </c:ser>
        <c:ser>
          <c:idx val="1"/>
          <c:order val="1"/>
          <c:tx>
            <c:strRef>
              <c:f>'Ejercicios 5.'!$C$1035</c:f>
              <c:strCache>
                <c:ptCount val="1"/>
                <c:pt idx="0">
                  <c:v>QD=20-(1/2)Px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5.'!$C$1039:$C$1041</c:f>
              <c:numCache>
                <c:formatCode>General</c:formatCode>
                <c:ptCount val="3"/>
                <c:pt idx="0">
                  <c:v>20</c:v>
                </c:pt>
                <c:pt idx="1">
                  <c:v>4.375</c:v>
                </c:pt>
                <c:pt idx="2">
                  <c:v>0</c:v>
                </c:pt>
              </c:numCache>
            </c:numRef>
          </c:xVal>
          <c:yVal>
            <c:numRef>
              <c:f>'Ejercicios 5.'!$D$1039:$D$1041</c:f>
              <c:numCache>
                <c:formatCode>0.00</c:formatCode>
                <c:ptCount val="3"/>
                <c:pt idx="0" formatCode="General">
                  <c:v>0</c:v>
                </c:pt>
                <c:pt idx="1">
                  <c:v>31.25</c:v>
                </c:pt>
                <c:pt idx="2" formatCode="General">
                  <c:v>40</c:v>
                </c:pt>
              </c:numCache>
            </c:numRef>
          </c:yVal>
          <c:smooth val="0"/>
          <c:extLst>
            <c:ext xmlns:c16="http://schemas.microsoft.com/office/drawing/2014/chart" uri="{C3380CC4-5D6E-409C-BE32-E72D297353CC}">
              <c16:uniqueId val="{00000001-B3B7-4096-898C-366DB91C70D6}"/>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5.'!$A$1052</c:f>
              <c:strCache>
                <c:ptCount val="1"/>
                <c:pt idx="0">
                  <c:v>QS=-15+Px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5.'!$A$1056:$A$1058</c:f>
              <c:numCache>
                <c:formatCode>General</c:formatCode>
                <c:ptCount val="3"/>
                <c:pt idx="0">
                  <c:v>-15</c:v>
                </c:pt>
                <c:pt idx="1">
                  <c:v>45</c:v>
                </c:pt>
                <c:pt idx="2">
                  <c:v>75</c:v>
                </c:pt>
              </c:numCache>
            </c:numRef>
          </c:xVal>
          <c:yVal>
            <c:numRef>
              <c:f>'Ejercicios 5.'!$B$1056:$B$1058</c:f>
              <c:numCache>
                <c:formatCode>0.00</c:formatCode>
                <c:ptCount val="3"/>
                <c:pt idx="0" formatCode="General">
                  <c:v>0</c:v>
                </c:pt>
                <c:pt idx="1">
                  <c:v>60</c:v>
                </c:pt>
                <c:pt idx="2" formatCode="General">
                  <c:v>90</c:v>
                </c:pt>
              </c:numCache>
            </c:numRef>
          </c:yVal>
          <c:smooth val="0"/>
          <c:extLst>
            <c:ext xmlns:c16="http://schemas.microsoft.com/office/drawing/2014/chart" uri="{C3380CC4-5D6E-409C-BE32-E72D297353CC}">
              <c16:uniqueId val="{00000000-7B07-4053-8EC5-FBB7C77E4FB5}"/>
            </c:ext>
          </c:extLst>
        </c:ser>
        <c:ser>
          <c:idx val="1"/>
          <c:order val="1"/>
          <c:tx>
            <c:strRef>
              <c:f>'Ejercicios 5.'!$C$1052</c:f>
              <c:strCache>
                <c:ptCount val="1"/>
                <c:pt idx="0">
                  <c:v>QD=135-1.5Px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5.'!$C$1056:$C$1058</c:f>
              <c:numCache>
                <c:formatCode>General</c:formatCode>
                <c:ptCount val="3"/>
                <c:pt idx="0">
                  <c:v>135</c:v>
                </c:pt>
                <c:pt idx="1">
                  <c:v>45</c:v>
                </c:pt>
                <c:pt idx="2">
                  <c:v>0</c:v>
                </c:pt>
              </c:numCache>
            </c:numRef>
          </c:xVal>
          <c:yVal>
            <c:numRef>
              <c:f>'Ejercicios 5.'!$D$1056:$D$1058</c:f>
              <c:numCache>
                <c:formatCode>0.00</c:formatCode>
                <c:ptCount val="3"/>
                <c:pt idx="0" formatCode="General">
                  <c:v>0</c:v>
                </c:pt>
                <c:pt idx="1">
                  <c:v>60</c:v>
                </c:pt>
                <c:pt idx="2" formatCode="General">
                  <c:v>90</c:v>
                </c:pt>
              </c:numCache>
            </c:numRef>
          </c:yVal>
          <c:smooth val="0"/>
          <c:extLst>
            <c:ext xmlns:c16="http://schemas.microsoft.com/office/drawing/2014/chart" uri="{C3380CC4-5D6E-409C-BE32-E72D297353CC}">
              <c16:uniqueId val="{00000001-7B07-4053-8EC5-FBB7C77E4FB5}"/>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5.'!$A$1070</c:f>
              <c:strCache>
                <c:ptCount val="1"/>
                <c:pt idx="0">
                  <c:v>QS=-10+5Px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5.'!$A$1074:$A$1076</c:f>
              <c:numCache>
                <c:formatCode>General</c:formatCode>
                <c:ptCount val="3"/>
                <c:pt idx="0">
                  <c:v>-10</c:v>
                </c:pt>
                <c:pt idx="1">
                  <c:v>32.307692307692307</c:v>
                </c:pt>
                <c:pt idx="2">
                  <c:v>52.5</c:v>
                </c:pt>
              </c:numCache>
            </c:numRef>
          </c:xVal>
          <c:yVal>
            <c:numRef>
              <c:f>'Ejercicios 5.'!$B$1074:$B$1076</c:f>
              <c:numCache>
                <c:formatCode>0.00</c:formatCode>
                <c:ptCount val="3"/>
                <c:pt idx="0" formatCode="General">
                  <c:v>0</c:v>
                </c:pt>
                <c:pt idx="1">
                  <c:v>8.4615384615384617</c:v>
                </c:pt>
                <c:pt idx="2" formatCode="General">
                  <c:v>12.5</c:v>
                </c:pt>
              </c:numCache>
            </c:numRef>
          </c:yVal>
          <c:smooth val="0"/>
          <c:extLst>
            <c:ext xmlns:c16="http://schemas.microsoft.com/office/drawing/2014/chart" uri="{C3380CC4-5D6E-409C-BE32-E72D297353CC}">
              <c16:uniqueId val="{00000000-9830-4568-8C47-0022805FC4A8}"/>
            </c:ext>
          </c:extLst>
        </c:ser>
        <c:ser>
          <c:idx val="1"/>
          <c:order val="1"/>
          <c:tx>
            <c:strRef>
              <c:f>'Ejercicios 5.'!$C$1070</c:f>
              <c:strCache>
                <c:ptCount val="1"/>
                <c:pt idx="0">
                  <c:v>QD=100-8Px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5.'!$C$1074:$C$1076</c:f>
              <c:numCache>
                <c:formatCode>General</c:formatCode>
                <c:ptCount val="3"/>
                <c:pt idx="0">
                  <c:v>100</c:v>
                </c:pt>
                <c:pt idx="1">
                  <c:v>32.307692307692307</c:v>
                </c:pt>
                <c:pt idx="2">
                  <c:v>0</c:v>
                </c:pt>
              </c:numCache>
            </c:numRef>
          </c:xVal>
          <c:yVal>
            <c:numRef>
              <c:f>'Ejercicios 5.'!$D$1074:$D$1076</c:f>
              <c:numCache>
                <c:formatCode>0.00</c:formatCode>
                <c:ptCount val="3"/>
                <c:pt idx="0" formatCode="General">
                  <c:v>0</c:v>
                </c:pt>
                <c:pt idx="1">
                  <c:v>8.4615384615384617</c:v>
                </c:pt>
                <c:pt idx="2" formatCode="General">
                  <c:v>12.5</c:v>
                </c:pt>
              </c:numCache>
            </c:numRef>
          </c:yVal>
          <c:smooth val="0"/>
          <c:extLst>
            <c:ext xmlns:c16="http://schemas.microsoft.com/office/drawing/2014/chart" uri="{C3380CC4-5D6E-409C-BE32-E72D297353CC}">
              <c16:uniqueId val="{00000001-9830-4568-8C47-0022805FC4A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5.'!$A$1087</c:f>
              <c:strCache>
                <c:ptCount val="1"/>
                <c:pt idx="0">
                  <c:v>QS=-8+14Px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5.'!$A$1091:$A$1093</c:f>
              <c:numCache>
                <c:formatCode>General</c:formatCode>
                <c:ptCount val="3"/>
                <c:pt idx="0">
                  <c:v>-8</c:v>
                </c:pt>
                <c:pt idx="1">
                  <c:v>28.689655172413794</c:v>
                </c:pt>
                <c:pt idx="2">
                  <c:v>55.466666666666669</c:v>
                </c:pt>
              </c:numCache>
            </c:numRef>
          </c:xVal>
          <c:yVal>
            <c:numRef>
              <c:f>'Ejercicios 5.'!$B$1091:$B$1093</c:f>
              <c:numCache>
                <c:formatCode>0.00</c:formatCode>
                <c:ptCount val="3"/>
                <c:pt idx="0" formatCode="General">
                  <c:v>0</c:v>
                </c:pt>
                <c:pt idx="1">
                  <c:v>2.6206896551724137</c:v>
                </c:pt>
                <c:pt idx="2" formatCode="General">
                  <c:v>4.5333333333333332</c:v>
                </c:pt>
              </c:numCache>
            </c:numRef>
          </c:yVal>
          <c:smooth val="0"/>
          <c:extLst>
            <c:ext xmlns:c16="http://schemas.microsoft.com/office/drawing/2014/chart" uri="{C3380CC4-5D6E-409C-BE32-E72D297353CC}">
              <c16:uniqueId val="{00000000-8300-4EA0-B934-B46CE9841408}"/>
            </c:ext>
          </c:extLst>
        </c:ser>
        <c:ser>
          <c:idx val="1"/>
          <c:order val="1"/>
          <c:tx>
            <c:strRef>
              <c:f>'Ejercicios 5.'!$C$1087</c:f>
              <c:strCache>
                <c:ptCount val="1"/>
                <c:pt idx="0">
                  <c:v>QD=68-15Px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5.'!$C$1091:$C$1093</c:f>
              <c:numCache>
                <c:formatCode>General</c:formatCode>
                <c:ptCount val="3"/>
                <c:pt idx="0">
                  <c:v>68</c:v>
                </c:pt>
                <c:pt idx="1">
                  <c:v>28.689655172413794</c:v>
                </c:pt>
                <c:pt idx="2">
                  <c:v>0</c:v>
                </c:pt>
              </c:numCache>
            </c:numRef>
          </c:xVal>
          <c:yVal>
            <c:numRef>
              <c:f>'Ejercicios 5.'!$D$1091:$D$1093</c:f>
              <c:numCache>
                <c:formatCode>0.00</c:formatCode>
                <c:ptCount val="3"/>
                <c:pt idx="0" formatCode="General">
                  <c:v>0</c:v>
                </c:pt>
                <c:pt idx="1">
                  <c:v>2.6206896551724137</c:v>
                </c:pt>
                <c:pt idx="2" formatCode="General">
                  <c:v>4.5333333333333332</c:v>
                </c:pt>
              </c:numCache>
            </c:numRef>
          </c:yVal>
          <c:smooth val="0"/>
          <c:extLst>
            <c:ext xmlns:c16="http://schemas.microsoft.com/office/drawing/2014/chart" uri="{C3380CC4-5D6E-409C-BE32-E72D297353CC}">
              <c16:uniqueId val="{00000001-8300-4EA0-B934-B46CE9841408}"/>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5.'!$A$1103</c:f>
              <c:strCache>
                <c:ptCount val="1"/>
                <c:pt idx="0">
                  <c:v>QS=-15+30Px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5.'!$A$1107:$A$1109</c:f>
              <c:numCache>
                <c:formatCode>General</c:formatCode>
                <c:ptCount val="3"/>
                <c:pt idx="0">
                  <c:v>-15</c:v>
                </c:pt>
                <c:pt idx="1">
                  <c:v>136.76470588235293</c:v>
                </c:pt>
                <c:pt idx="2">
                  <c:v>465</c:v>
                </c:pt>
              </c:numCache>
            </c:numRef>
          </c:xVal>
          <c:yVal>
            <c:numRef>
              <c:f>'Ejercicios 5.'!$B$1107:$B$1109</c:f>
              <c:numCache>
                <c:formatCode>0.00</c:formatCode>
                <c:ptCount val="3"/>
                <c:pt idx="0" formatCode="General">
                  <c:v>0</c:v>
                </c:pt>
                <c:pt idx="1">
                  <c:v>5.0588235294117645</c:v>
                </c:pt>
                <c:pt idx="2" formatCode="General">
                  <c:v>16</c:v>
                </c:pt>
              </c:numCache>
            </c:numRef>
          </c:yVal>
          <c:smooth val="0"/>
          <c:extLst>
            <c:ext xmlns:c16="http://schemas.microsoft.com/office/drawing/2014/chart" uri="{C3380CC4-5D6E-409C-BE32-E72D297353CC}">
              <c16:uniqueId val="{00000000-BEED-41D4-B38C-31B918F4BE3C}"/>
            </c:ext>
          </c:extLst>
        </c:ser>
        <c:ser>
          <c:idx val="1"/>
          <c:order val="1"/>
          <c:tx>
            <c:strRef>
              <c:f>'Ejercicios 5.'!$C$1103</c:f>
              <c:strCache>
                <c:ptCount val="1"/>
                <c:pt idx="0">
                  <c:v>QD=200-12.5Px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5.'!$C$1107:$C$1109</c:f>
              <c:numCache>
                <c:formatCode>General</c:formatCode>
                <c:ptCount val="3"/>
                <c:pt idx="0">
                  <c:v>200</c:v>
                </c:pt>
                <c:pt idx="1">
                  <c:v>136.76470588235293</c:v>
                </c:pt>
                <c:pt idx="2">
                  <c:v>0</c:v>
                </c:pt>
              </c:numCache>
            </c:numRef>
          </c:xVal>
          <c:yVal>
            <c:numRef>
              <c:f>'Ejercicios 5.'!$D$1107:$D$1109</c:f>
              <c:numCache>
                <c:formatCode>0.00</c:formatCode>
                <c:ptCount val="3"/>
                <c:pt idx="0" formatCode="General">
                  <c:v>0</c:v>
                </c:pt>
                <c:pt idx="1">
                  <c:v>5.0588235294117645</c:v>
                </c:pt>
                <c:pt idx="2" formatCode="General">
                  <c:v>16</c:v>
                </c:pt>
              </c:numCache>
            </c:numRef>
          </c:yVal>
          <c:smooth val="0"/>
          <c:extLst>
            <c:ext xmlns:c16="http://schemas.microsoft.com/office/drawing/2014/chart" uri="{C3380CC4-5D6E-409C-BE32-E72D297353CC}">
              <c16:uniqueId val="{00000001-BEED-41D4-B38C-31B918F4BE3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5.'!$A$1121</c:f>
              <c:strCache>
                <c:ptCount val="1"/>
                <c:pt idx="0">
                  <c:v>QS=-80+20Px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5.'!$A$1125:$A$1127</c:f>
              <c:numCache>
                <c:formatCode>General</c:formatCode>
                <c:ptCount val="3"/>
                <c:pt idx="0">
                  <c:v>-80</c:v>
                </c:pt>
                <c:pt idx="1">
                  <c:v>106.66666666666669</c:v>
                </c:pt>
                <c:pt idx="2">
                  <c:v>192</c:v>
                </c:pt>
              </c:numCache>
            </c:numRef>
          </c:xVal>
          <c:yVal>
            <c:numRef>
              <c:f>'Ejercicios 5.'!$B$1125:$B$1127</c:f>
              <c:numCache>
                <c:formatCode>0.00</c:formatCode>
                <c:ptCount val="3"/>
                <c:pt idx="0" formatCode="General">
                  <c:v>0</c:v>
                </c:pt>
                <c:pt idx="1">
                  <c:v>9.3333333333333339</c:v>
                </c:pt>
                <c:pt idx="2" formatCode="General">
                  <c:v>13.6</c:v>
                </c:pt>
              </c:numCache>
            </c:numRef>
          </c:yVal>
          <c:smooth val="0"/>
          <c:extLst>
            <c:ext xmlns:c16="http://schemas.microsoft.com/office/drawing/2014/chart" uri="{C3380CC4-5D6E-409C-BE32-E72D297353CC}">
              <c16:uniqueId val="{00000000-0349-47B3-A597-7C7BF86673E0}"/>
            </c:ext>
          </c:extLst>
        </c:ser>
        <c:ser>
          <c:idx val="1"/>
          <c:order val="1"/>
          <c:tx>
            <c:strRef>
              <c:f>'Ejercicios 5.'!$C$1121</c:f>
              <c:strCache>
                <c:ptCount val="1"/>
                <c:pt idx="0">
                  <c:v>QD=340-25Px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5.'!$C$1125:$C$1127</c:f>
              <c:numCache>
                <c:formatCode>General</c:formatCode>
                <c:ptCount val="3"/>
                <c:pt idx="0">
                  <c:v>340</c:v>
                </c:pt>
                <c:pt idx="1">
                  <c:v>106.66666666666666</c:v>
                </c:pt>
                <c:pt idx="2">
                  <c:v>0</c:v>
                </c:pt>
              </c:numCache>
            </c:numRef>
          </c:xVal>
          <c:yVal>
            <c:numRef>
              <c:f>'Ejercicios 5.'!$D$1125:$D$1127</c:f>
              <c:numCache>
                <c:formatCode>0.00</c:formatCode>
                <c:ptCount val="3"/>
                <c:pt idx="0" formatCode="General">
                  <c:v>0</c:v>
                </c:pt>
                <c:pt idx="1">
                  <c:v>9.3333333333333339</c:v>
                </c:pt>
                <c:pt idx="2" formatCode="General">
                  <c:v>13.6</c:v>
                </c:pt>
              </c:numCache>
            </c:numRef>
          </c:yVal>
          <c:smooth val="0"/>
          <c:extLst>
            <c:ext xmlns:c16="http://schemas.microsoft.com/office/drawing/2014/chart" uri="{C3380CC4-5D6E-409C-BE32-E72D297353CC}">
              <c16:uniqueId val="{00000001-0349-47B3-A597-7C7BF86673E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5.'!$A$1137</c:f>
              <c:strCache>
                <c:ptCount val="1"/>
                <c:pt idx="0">
                  <c:v>QS=-40+4Px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5.'!$A$1141:$A$1143</c:f>
              <c:numCache>
                <c:formatCode>General</c:formatCode>
                <c:ptCount val="3"/>
                <c:pt idx="0">
                  <c:v>-40</c:v>
                </c:pt>
                <c:pt idx="1">
                  <c:v>23.75</c:v>
                </c:pt>
                <c:pt idx="2">
                  <c:v>31.666666666666671</c:v>
                </c:pt>
              </c:numCache>
            </c:numRef>
          </c:xVal>
          <c:yVal>
            <c:numRef>
              <c:f>'Ejercicios 5.'!$B$1141:$B$1143</c:f>
              <c:numCache>
                <c:formatCode>0.00</c:formatCode>
                <c:ptCount val="3"/>
                <c:pt idx="0" formatCode="General">
                  <c:v>0</c:v>
                </c:pt>
                <c:pt idx="1">
                  <c:v>15.9375</c:v>
                </c:pt>
                <c:pt idx="2" formatCode="General">
                  <c:v>17.916666666666668</c:v>
                </c:pt>
              </c:numCache>
            </c:numRef>
          </c:yVal>
          <c:smooth val="0"/>
          <c:extLst>
            <c:ext xmlns:c16="http://schemas.microsoft.com/office/drawing/2014/chart" uri="{C3380CC4-5D6E-409C-BE32-E72D297353CC}">
              <c16:uniqueId val="{00000000-4EFA-4157-AFFA-DC391AB7A5F1}"/>
            </c:ext>
          </c:extLst>
        </c:ser>
        <c:ser>
          <c:idx val="1"/>
          <c:order val="1"/>
          <c:tx>
            <c:strRef>
              <c:f>'Ejercicios 5.'!$C$1137</c:f>
              <c:strCache>
                <c:ptCount val="1"/>
                <c:pt idx="0">
                  <c:v>QD=215-12Px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5.'!$C$1141:$C$1143</c:f>
              <c:numCache>
                <c:formatCode>General</c:formatCode>
                <c:ptCount val="3"/>
                <c:pt idx="0">
                  <c:v>215</c:v>
                </c:pt>
                <c:pt idx="1">
                  <c:v>23.75</c:v>
                </c:pt>
                <c:pt idx="2">
                  <c:v>0</c:v>
                </c:pt>
              </c:numCache>
            </c:numRef>
          </c:xVal>
          <c:yVal>
            <c:numRef>
              <c:f>'Ejercicios 5.'!$D$1141:$D$1143</c:f>
              <c:numCache>
                <c:formatCode>0.00</c:formatCode>
                <c:ptCount val="3"/>
                <c:pt idx="0" formatCode="General">
                  <c:v>0</c:v>
                </c:pt>
                <c:pt idx="1">
                  <c:v>15.9375</c:v>
                </c:pt>
                <c:pt idx="2" formatCode="General">
                  <c:v>17.916666666666668</c:v>
                </c:pt>
              </c:numCache>
            </c:numRef>
          </c:yVal>
          <c:smooth val="0"/>
          <c:extLst>
            <c:ext xmlns:c16="http://schemas.microsoft.com/office/drawing/2014/chart" uri="{C3380CC4-5D6E-409C-BE32-E72D297353CC}">
              <c16:uniqueId val="{00000001-4EFA-4157-AFFA-DC391AB7A5F1}"/>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5.'!$A$1154</c:f>
              <c:strCache>
                <c:ptCount val="1"/>
                <c:pt idx="0">
                  <c:v>QS=-16+8Px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5.'!$A$1158:$A$1160</c:f>
              <c:numCache>
                <c:formatCode>General</c:formatCode>
                <c:ptCount val="3"/>
                <c:pt idx="0">
                  <c:v>-16</c:v>
                </c:pt>
                <c:pt idx="1">
                  <c:v>52.765957446808514</c:v>
                </c:pt>
                <c:pt idx="2">
                  <c:v>165.33333333333334</c:v>
                </c:pt>
              </c:numCache>
            </c:numRef>
          </c:xVal>
          <c:yVal>
            <c:numRef>
              <c:f>'Ejercicios 5.'!$B$1158:$B$1160</c:f>
              <c:numCache>
                <c:formatCode>0.00</c:formatCode>
                <c:ptCount val="3"/>
                <c:pt idx="0" formatCode="General">
                  <c:v>0</c:v>
                </c:pt>
                <c:pt idx="1">
                  <c:v>8.5957446808510642</c:v>
                </c:pt>
                <c:pt idx="2" formatCode="General">
                  <c:v>22.666666666666668</c:v>
                </c:pt>
              </c:numCache>
            </c:numRef>
          </c:yVal>
          <c:smooth val="0"/>
          <c:extLst>
            <c:ext xmlns:c16="http://schemas.microsoft.com/office/drawing/2014/chart" uri="{C3380CC4-5D6E-409C-BE32-E72D297353CC}">
              <c16:uniqueId val="{00000000-471F-4B53-8FF7-4A424AB8201F}"/>
            </c:ext>
          </c:extLst>
        </c:ser>
        <c:ser>
          <c:idx val="1"/>
          <c:order val="1"/>
          <c:tx>
            <c:strRef>
              <c:f>'Ejercicios 5.'!$C$1154</c:f>
              <c:strCache>
                <c:ptCount val="1"/>
                <c:pt idx="0">
                  <c:v>QD=85-(15/4)Px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5.'!$C$1158:$C$1160</c:f>
              <c:numCache>
                <c:formatCode>General</c:formatCode>
                <c:ptCount val="3"/>
                <c:pt idx="0">
                  <c:v>85</c:v>
                </c:pt>
                <c:pt idx="1">
                  <c:v>52.765957446808507</c:v>
                </c:pt>
                <c:pt idx="2">
                  <c:v>0</c:v>
                </c:pt>
              </c:numCache>
            </c:numRef>
          </c:xVal>
          <c:yVal>
            <c:numRef>
              <c:f>'Ejercicios 5.'!$D$1158:$D$1160</c:f>
              <c:numCache>
                <c:formatCode>0.00</c:formatCode>
                <c:ptCount val="3"/>
                <c:pt idx="0" formatCode="General">
                  <c:v>0</c:v>
                </c:pt>
                <c:pt idx="1">
                  <c:v>8.5957446808510642</c:v>
                </c:pt>
                <c:pt idx="2" formatCode="General">
                  <c:v>22.666666666666668</c:v>
                </c:pt>
              </c:numCache>
            </c:numRef>
          </c:yVal>
          <c:smooth val="0"/>
          <c:extLst>
            <c:ext xmlns:c16="http://schemas.microsoft.com/office/drawing/2014/chart" uri="{C3380CC4-5D6E-409C-BE32-E72D297353CC}">
              <c16:uniqueId val="{00000001-471F-4B53-8FF7-4A424AB8201F}"/>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5.'!$A$1170</c:f>
              <c:strCache>
                <c:ptCount val="1"/>
                <c:pt idx="0">
                  <c:v>QS=-8+0.25Px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5.'!$A$1174:$A$1176</c:f>
              <c:numCache>
                <c:formatCode>General</c:formatCode>
                <c:ptCount val="3"/>
                <c:pt idx="0">
                  <c:v>-8</c:v>
                </c:pt>
                <c:pt idx="1">
                  <c:v>6.2857142857142865</c:v>
                </c:pt>
                <c:pt idx="2">
                  <c:v>22</c:v>
                </c:pt>
              </c:numCache>
            </c:numRef>
          </c:xVal>
          <c:yVal>
            <c:numRef>
              <c:f>'Ejercicios 5.'!$B$1174:$B$1176</c:f>
              <c:numCache>
                <c:formatCode>0.00</c:formatCode>
                <c:ptCount val="3"/>
                <c:pt idx="0" formatCode="General">
                  <c:v>0</c:v>
                </c:pt>
                <c:pt idx="1">
                  <c:v>57.142857142857146</c:v>
                </c:pt>
                <c:pt idx="2" formatCode="General">
                  <c:v>120</c:v>
                </c:pt>
              </c:numCache>
            </c:numRef>
          </c:yVal>
          <c:smooth val="0"/>
          <c:extLst>
            <c:ext xmlns:c16="http://schemas.microsoft.com/office/drawing/2014/chart" uri="{C3380CC4-5D6E-409C-BE32-E72D297353CC}">
              <c16:uniqueId val="{00000000-0A7C-4241-AEDD-1B3F08D33430}"/>
            </c:ext>
          </c:extLst>
        </c:ser>
        <c:ser>
          <c:idx val="1"/>
          <c:order val="1"/>
          <c:tx>
            <c:strRef>
              <c:f>'Ejercicios 5.'!$C$1170</c:f>
              <c:strCache>
                <c:ptCount val="1"/>
                <c:pt idx="0">
                  <c:v>QD=12-(1/10)Px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5.'!$C$1174:$C$1176</c:f>
              <c:numCache>
                <c:formatCode>General</c:formatCode>
                <c:ptCount val="3"/>
                <c:pt idx="0">
                  <c:v>12</c:v>
                </c:pt>
                <c:pt idx="1">
                  <c:v>6.2857142857142847</c:v>
                </c:pt>
                <c:pt idx="2">
                  <c:v>0</c:v>
                </c:pt>
              </c:numCache>
            </c:numRef>
          </c:xVal>
          <c:yVal>
            <c:numRef>
              <c:f>'Ejercicios 5.'!$D$1174:$D$1176</c:f>
              <c:numCache>
                <c:formatCode>0.00</c:formatCode>
                <c:ptCount val="3"/>
                <c:pt idx="0" formatCode="General">
                  <c:v>0</c:v>
                </c:pt>
                <c:pt idx="1">
                  <c:v>57.142857142857146</c:v>
                </c:pt>
                <c:pt idx="2" formatCode="General">
                  <c:v>120</c:v>
                </c:pt>
              </c:numCache>
            </c:numRef>
          </c:yVal>
          <c:smooth val="0"/>
          <c:extLst>
            <c:ext xmlns:c16="http://schemas.microsoft.com/office/drawing/2014/chart" uri="{C3380CC4-5D6E-409C-BE32-E72D297353CC}">
              <c16:uniqueId val="{00000001-0A7C-4241-AEDD-1B3F08D33430}"/>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Oferta y 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5.'!$A$1188</c:f>
              <c:strCache>
                <c:ptCount val="1"/>
                <c:pt idx="0">
                  <c:v>QS=-10+0.5Px</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xVal>
            <c:numRef>
              <c:f>'Ejercicios 5.'!$A$1192:$A$1194</c:f>
              <c:numCache>
                <c:formatCode>General</c:formatCode>
                <c:ptCount val="3"/>
                <c:pt idx="0">
                  <c:v>-10</c:v>
                </c:pt>
                <c:pt idx="1">
                  <c:v>-1</c:v>
                </c:pt>
                <c:pt idx="2">
                  <c:v>-1.25</c:v>
                </c:pt>
              </c:numCache>
            </c:numRef>
          </c:xVal>
          <c:yVal>
            <c:numRef>
              <c:f>'Ejercicios 5.'!$B$1192:$B$1194</c:f>
              <c:numCache>
                <c:formatCode>0.00</c:formatCode>
                <c:ptCount val="3"/>
                <c:pt idx="0" formatCode="General">
                  <c:v>0</c:v>
                </c:pt>
                <c:pt idx="1">
                  <c:v>18</c:v>
                </c:pt>
                <c:pt idx="2" formatCode="General">
                  <c:v>17.5</c:v>
                </c:pt>
              </c:numCache>
            </c:numRef>
          </c:yVal>
          <c:smooth val="0"/>
          <c:extLst>
            <c:ext xmlns:c16="http://schemas.microsoft.com/office/drawing/2014/chart" uri="{C3380CC4-5D6E-409C-BE32-E72D297353CC}">
              <c16:uniqueId val="{00000000-F4AC-42DC-8287-0A65C6826DBC}"/>
            </c:ext>
          </c:extLst>
        </c:ser>
        <c:ser>
          <c:idx val="1"/>
          <c:order val="1"/>
          <c:tx>
            <c:strRef>
              <c:f>'Ejercicios 5.'!$C$1188</c:f>
              <c:strCache>
                <c:ptCount val="1"/>
                <c:pt idx="0">
                  <c:v>QD=35-2Px</c:v>
                </c:pt>
              </c:strCache>
            </c:strRef>
          </c:tx>
          <c:spPr>
            <a:ln w="22225" cap="rnd">
              <a:solidFill>
                <a:schemeClr val="accent2"/>
              </a:solidFill>
              <a:prstDash val="lgDashDot"/>
              <a:round/>
            </a:ln>
            <a:effectLst/>
          </c:spPr>
          <c:marker>
            <c:symbol val="circle"/>
            <c:size val="6"/>
            <c:spPr>
              <a:solidFill>
                <a:schemeClr val="lt1"/>
              </a:solidFill>
              <a:ln w="15875">
                <a:solidFill>
                  <a:schemeClr val="accent2"/>
                </a:solidFill>
                <a:round/>
              </a:ln>
              <a:effectLst/>
            </c:spPr>
          </c:marker>
          <c:xVal>
            <c:numRef>
              <c:f>'Ejercicios 5.'!$C$1192:$C$1194</c:f>
              <c:numCache>
                <c:formatCode>General</c:formatCode>
                <c:ptCount val="3"/>
                <c:pt idx="0">
                  <c:v>35</c:v>
                </c:pt>
                <c:pt idx="1">
                  <c:v>-1</c:v>
                </c:pt>
                <c:pt idx="2">
                  <c:v>0</c:v>
                </c:pt>
              </c:numCache>
            </c:numRef>
          </c:xVal>
          <c:yVal>
            <c:numRef>
              <c:f>'Ejercicios 5.'!$D$1192:$D$1194</c:f>
              <c:numCache>
                <c:formatCode>0.00</c:formatCode>
                <c:ptCount val="3"/>
                <c:pt idx="0" formatCode="General">
                  <c:v>0</c:v>
                </c:pt>
                <c:pt idx="1">
                  <c:v>18</c:v>
                </c:pt>
                <c:pt idx="2" formatCode="General">
                  <c:v>17.5</c:v>
                </c:pt>
              </c:numCache>
            </c:numRef>
          </c:yVal>
          <c:smooth val="0"/>
          <c:extLst>
            <c:ext xmlns:c16="http://schemas.microsoft.com/office/drawing/2014/chart" uri="{C3380CC4-5D6E-409C-BE32-E72D297353CC}">
              <c16:uniqueId val="{00000001-F4AC-42DC-8287-0A65C6826DBC}"/>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Demanda de un bien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MX"/>
        </a:p>
      </c:txPr>
    </c:title>
    <c:autoTitleDeleted val="0"/>
    <c:plotArea>
      <c:layout>
        <c:manualLayout>
          <c:layoutTarget val="inner"/>
          <c:xMode val="edge"/>
          <c:yMode val="edge"/>
          <c:x val="9.987270341207348E-2"/>
          <c:y val="0.1413425925925926"/>
          <c:w val="0.84734951881014875"/>
          <c:h val="0.61706802274715655"/>
        </c:manualLayout>
      </c:layout>
      <c:scatterChart>
        <c:scatterStyle val="lineMarker"/>
        <c:varyColors val="0"/>
        <c:ser>
          <c:idx val="0"/>
          <c:order val="0"/>
          <c:tx>
            <c:strRef>
              <c:f>'Ejercicios 5.'!$A$1205</c:f>
              <c:strCache>
                <c:ptCount val="1"/>
                <c:pt idx="0">
                  <c:v>QD=12-2Px</c:v>
                </c:pt>
              </c:strCache>
            </c:strRef>
          </c:tx>
          <c:spPr>
            <a:ln w="22225" cap="rnd">
              <a:solidFill>
                <a:schemeClr val="accent1"/>
              </a:solidFill>
              <a:prstDash val="sysDash"/>
              <a:round/>
            </a:ln>
            <a:effectLst/>
          </c:spPr>
          <c:marker>
            <c:symbol val="circle"/>
            <c:size val="6"/>
            <c:spPr>
              <a:solidFill>
                <a:schemeClr val="lt1"/>
              </a:solidFill>
              <a:ln w="15875">
                <a:solidFill>
                  <a:schemeClr val="accent1"/>
                </a:solidFill>
                <a:round/>
              </a:ln>
              <a:effectLst/>
            </c:spPr>
          </c:marker>
          <c:xVal>
            <c:numRef>
              <c:f>'Ejercicios 5.'!$A$1209:$A$1211</c:f>
              <c:numCache>
                <c:formatCode>General</c:formatCode>
                <c:ptCount val="3"/>
                <c:pt idx="0">
                  <c:v>12</c:v>
                </c:pt>
                <c:pt idx="1">
                  <c:v>4</c:v>
                </c:pt>
                <c:pt idx="2">
                  <c:v>2</c:v>
                </c:pt>
              </c:numCache>
            </c:numRef>
          </c:xVal>
          <c:yVal>
            <c:numRef>
              <c:f>'Ejercicios 5.'!$B$1209:$B$1211</c:f>
              <c:numCache>
                <c:formatCode>0.00</c:formatCode>
                <c:ptCount val="3"/>
                <c:pt idx="0" formatCode="General">
                  <c:v>0</c:v>
                </c:pt>
                <c:pt idx="1">
                  <c:v>4</c:v>
                </c:pt>
                <c:pt idx="2" formatCode="General">
                  <c:v>5</c:v>
                </c:pt>
              </c:numCache>
            </c:numRef>
          </c:yVal>
          <c:smooth val="0"/>
          <c:extLst>
            <c:ext xmlns:c16="http://schemas.microsoft.com/office/drawing/2014/chart" uri="{C3380CC4-5D6E-409C-BE32-E72D297353CC}">
              <c16:uniqueId val="{00000000-1DD5-44C6-89BB-86A3DE584BD3}"/>
            </c:ext>
          </c:extLst>
        </c:ser>
        <c:ser>
          <c:idx val="1"/>
          <c:order val="1"/>
          <c:tx>
            <c:strRef>
              <c:f>'Ejercicios 5.'!$C$1205</c:f>
              <c:strCache>
                <c:ptCount val="1"/>
                <c:pt idx="0">
                  <c:v>QD=12-2Px</c:v>
                </c:pt>
              </c:strCache>
            </c:strRef>
          </c:tx>
          <c:spPr>
            <a:ln w="22225" cap="rnd">
              <a:solidFill>
                <a:schemeClr val="accent2"/>
              </a:solidFill>
              <a:prstDash val="dashDot"/>
              <a:round/>
            </a:ln>
            <a:effectLst/>
          </c:spPr>
          <c:marker>
            <c:symbol val="circle"/>
            <c:size val="6"/>
            <c:spPr>
              <a:solidFill>
                <a:schemeClr val="lt1"/>
              </a:solidFill>
              <a:ln w="15875">
                <a:solidFill>
                  <a:schemeClr val="accent2"/>
                </a:solidFill>
                <a:round/>
              </a:ln>
              <a:effectLst/>
            </c:spPr>
          </c:marker>
          <c:xVal>
            <c:numRef>
              <c:f>'Ejercicios 5.'!$C$1209:$C$1211</c:f>
              <c:numCache>
                <c:formatCode>General</c:formatCode>
                <c:ptCount val="3"/>
                <c:pt idx="0">
                  <c:v>12</c:v>
                </c:pt>
                <c:pt idx="1">
                  <c:v>6.5</c:v>
                </c:pt>
                <c:pt idx="2">
                  <c:v>5.5</c:v>
                </c:pt>
              </c:numCache>
            </c:numRef>
          </c:xVal>
          <c:yVal>
            <c:numRef>
              <c:f>'Ejercicios 5.'!$D$1209:$D$1211</c:f>
              <c:numCache>
                <c:formatCode>General</c:formatCode>
                <c:ptCount val="3"/>
                <c:pt idx="0">
                  <c:v>0</c:v>
                </c:pt>
                <c:pt idx="1">
                  <c:v>5.5</c:v>
                </c:pt>
                <c:pt idx="2">
                  <c:v>6.5</c:v>
                </c:pt>
              </c:numCache>
            </c:numRef>
          </c:yVal>
          <c:smooth val="0"/>
          <c:extLst>
            <c:ext xmlns:c16="http://schemas.microsoft.com/office/drawing/2014/chart" uri="{C3380CC4-5D6E-409C-BE32-E72D297353CC}">
              <c16:uniqueId val="{00000001-1DD5-44C6-89BB-86A3DE584BD3}"/>
            </c:ext>
          </c:extLst>
        </c:ser>
        <c:ser>
          <c:idx val="2"/>
          <c:order val="2"/>
          <c:tx>
            <c:strRef>
              <c:f>'Ejercicios 5.'!$E$1205</c:f>
              <c:strCache>
                <c:ptCount val="1"/>
                <c:pt idx="0">
                  <c:v>QD=12-2Px</c:v>
                </c:pt>
              </c:strCache>
            </c:strRef>
          </c:tx>
          <c:spPr>
            <a:ln w="22225" cap="rnd">
              <a:solidFill>
                <a:schemeClr val="accent3"/>
              </a:solidFill>
              <a:prstDash val="lgDashDotDot"/>
              <a:round/>
            </a:ln>
            <a:effectLst/>
          </c:spPr>
          <c:marker>
            <c:symbol val="circle"/>
            <c:size val="6"/>
            <c:spPr>
              <a:solidFill>
                <a:schemeClr val="lt1"/>
              </a:solidFill>
              <a:ln w="15875">
                <a:solidFill>
                  <a:schemeClr val="accent3"/>
                </a:solidFill>
                <a:round/>
              </a:ln>
              <a:effectLst/>
            </c:spPr>
          </c:marker>
          <c:xVal>
            <c:numRef>
              <c:f>'Ejercicios 5.'!$E$1209:$E$1211</c:f>
              <c:numCache>
                <c:formatCode>General</c:formatCode>
                <c:ptCount val="3"/>
                <c:pt idx="0">
                  <c:v>12</c:v>
                </c:pt>
                <c:pt idx="1">
                  <c:v>7.875</c:v>
                </c:pt>
                <c:pt idx="2">
                  <c:v>7.625</c:v>
                </c:pt>
              </c:numCache>
            </c:numRef>
          </c:xVal>
          <c:yVal>
            <c:numRef>
              <c:f>'Ejercicios 5.'!$F$1209:$F$1211</c:f>
              <c:numCache>
                <c:formatCode>General</c:formatCode>
                <c:ptCount val="3"/>
                <c:pt idx="0">
                  <c:v>0</c:v>
                </c:pt>
                <c:pt idx="1">
                  <c:v>8.25</c:v>
                </c:pt>
                <c:pt idx="2">
                  <c:v>8.75</c:v>
                </c:pt>
              </c:numCache>
            </c:numRef>
          </c:yVal>
          <c:smooth val="0"/>
          <c:extLst>
            <c:ext xmlns:c16="http://schemas.microsoft.com/office/drawing/2014/chart" uri="{C3380CC4-5D6E-409C-BE32-E72D297353CC}">
              <c16:uniqueId val="{00000002-1DD5-44C6-89BB-86A3DE584BD3}"/>
            </c:ext>
          </c:extLst>
        </c:ser>
        <c:ser>
          <c:idx val="3"/>
          <c:order val="3"/>
          <c:tx>
            <c:strRef>
              <c:f>'Ejercicios 5.'!$G$1205</c:f>
              <c:strCache>
                <c:ptCount val="1"/>
                <c:pt idx="0">
                  <c:v>Elasticidad Perfecta</c:v>
                </c:pt>
              </c:strCache>
            </c:strRef>
          </c:tx>
          <c:spPr>
            <a:ln w="22225" cap="rnd">
              <a:solidFill>
                <a:schemeClr val="accent4"/>
              </a:solidFill>
              <a:prstDash val="solid"/>
              <a:round/>
            </a:ln>
            <a:effectLst/>
          </c:spPr>
          <c:marker>
            <c:symbol val="circle"/>
            <c:size val="6"/>
            <c:spPr>
              <a:solidFill>
                <a:schemeClr val="lt1"/>
              </a:solidFill>
              <a:ln w="15875">
                <a:solidFill>
                  <a:schemeClr val="accent4"/>
                </a:solidFill>
                <a:round/>
              </a:ln>
              <a:effectLst/>
            </c:spPr>
          </c:marker>
          <c:xVal>
            <c:numRef>
              <c:f>'Ejercicios 5.'!$G$1209:$G$1210</c:f>
              <c:numCache>
                <c:formatCode>General</c:formatCode>
                <c:ptCount val="2"/>
                <c:pt idx="0">
                  <c:v>0</c:v>
                </c:pt>
                <c:pt idx="1">
                  <c:v>12</c:v>
                </c:pt>
              </c:numCache>
            </c:numRef>
          </c:xVal>
          <c:yVal>
            <c:numRef>
              <c:f>'Ejercicios 5.'!$H$1209:$H$1210</c:f>
              <c:numCache>
                <c:formatCode>General</c:formatCode>
                <c:ptCount val="2"/>
                <c:pt idx="0">
                  <c:v>3</c:v>
                </c:pt>
                <c:pt idx="1">
                  <c:v>3</c:v>
                </c:pt>
              </c:numCache>
            </c:numRef>
          </c:yVal>
          <c:smooth val="0"/>
          <c:extLst>
            <c:ext xmlns:c16="http://schemas.microsoft.com/office/drawing/2014/chart" uri="{C3380CC4-5D6E-409C-BE32-E72D297353CC}">
              <c16:uniqueId val="{00000003-1DD5-44C6-89BB-86A3DE584BD3}"/>
            </c:ext>
          </c:extLst>
        </c:ser>
        <c:dLbls>
          <c:showLegendKey val="0"/>
          <c:showVal val="0"/>
          <c:showCatName val="0"/>
          <c:showSerName val="0"/>
          <c:showPercent val="0"/>
          <c:showBubbleSize val="0"/>
        </c:dLbls>
        <c:axId val="689605439"/>
        <c:axId val="634792095"/>
      </c:scatterChart>
      <c:valAx>
        <c:axId val="68960543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baseline="0"/>
                  <a:t>Cantidad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MX"/>
          </a:p>
        </c:txPr>
        <c:crossAx val="634792095"/>
        <c:crosses val="autoZero"/>
        <c:crossBetween val="midCat"/>
      </c:valAx>
      <c:valAx>
        <c:axId val="63479209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crossAx val="6896054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3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0.xml"/><Relationship Id="rId13" Type="http://schemas.openxmlformats.org/officeDocument/2006/relationships/chart" Target="../charts/chart25.xml"/><Relationship Id="rId18" Type="http://schemas.openxmlformats.org/officeDocument/2006/relationships/chart" Target="../charts/chart30.xml"/><Relationship Id="rId3" Type="http://schemas.openxmlformats.org/officeDocument/2006/relationships/chart" Target="../charts/chart15.xml"/><Relationship Id="rId21" Type="http://schemas.openxmlformats.org/officeDocument/2006/relationships/chart" Target="../charts/chart33.xml"/><Relationship Id="rId7" Type="http://schemas.openxmlformats.org/officeDocument/2006/relationships/chart" Target="../charts/chart19.xml"/><Relationship Id="rId12" Type="http://schemas.openxmlformats.org/officeDocument/2006/relationships/chart" Target="../charts/chart24.xml"/><Relationship Id="rId17" Type="http://schemas.openxmlformats.org/officeDocument/2006/relationships/chart" Target="../charts/chart29.xml"/><Relationship Id="rId25" Type="http://schemas.openxmlformats.org/officeDocument/2006/relationships/chart" Target="../charts/chart37.xml"/><Relationship Id="rId2" Type="http://schemas.openxmlformats.org/officeDocument/2006/relationships/chart" Target="../charts/chart14.xml"/><Relationship Id="rId16" Type="http://schemas.openxmlformats.org/officeDocument/2006/relationships/chart" Target="../charts/chart28.xml"/><Relationship Id="rId20" Type="http://schemas.openxmlformats.org/officeDocument/2006/relationships/chart" Target="../charts/chart32.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24" Type="http://schemas.openxmlformats.org/officeDocument/2006/relationships/chart" Target="../charts/chart36.xml"/><Relationship Id="rId5" Type="http://schemas.openxmlformats.org/officeDocument/2006/relationships/chart" Target="../charts/chart17.xml"/><Relationship Id="rId15" Type="http://schemas.openxmlformats.org/officeDocument/2006/relationships/chart" Target="../charts/chart27.xml"/><Relationship Id="rId23" Type="http://schemas.openxmlformats.org/officeDocument/2006/relationships/chart" Target="../charts/chart35.xml"/><Relationship Id="rId10" Type="http://schemas.openxmlformats.org/officeDocument/2006/relationships/chart" Target="../charts/chart22.xml"/><Relationship Id="rId19" Type="http://schemas.openxmlformats.org/officeDocument/2006/relationships/chart" Target="../charts/chart31.xml"/><Relationship Id="rId4" Type="http://schemas.openxmlformats.org/officeDocument/2006/relationships/chart" Target="../charts/chart16.xml"/><Relationship Id="rId9" Type="http://schemas.openxmlformats.org/officeDocument/2006/relationships/chart" Target="../charts/chart21.xml"/><Relationship Id="rId14" Type="http://schemas.openxmlformats.org/officeDocument/2006/relationships/chart" Target="../charts/chart26.xml"/><Relationship Id="rId22" Type="http://schemas.openxmlformats.org/officeDocument/2006/relationships/chart" Target="../charts/chart34.xml"/></Relationships>
</file>

<file path=xl/drawings/_rels/drawing4.xml.rels><?xml version="1.0" encoding="UTF-8" standalone="yes"?>
<Relationships xmlns="http://schemas.openxmlformats.org/package/2006/relationships"><Relationship Id="rId13" Type="http://schemas.openxmlformats.org/officeDocument/2006/relationships/chart" Target="../charts/chart50.xml"/><Relationship Id="rId18" Type="http://schemas.openxmlformats.org/officeDocument/2006/relationships/chart" Target="../charts/chart55.xml"/><Relationship Id="rId26" Type="http://schemas.openxmlformats.org/officeDocument/2006/relationships/chart" Target="../charts/chart63.xml"/><Relationship Id="rId3" Type="http://schemas.openxmlformats.org/officeDocument/2006/relationships/chart" Target="../charts/chart40.xml"/><Relationship Id="rId21" Type="http://schemas.openxmlformats.org/officeDocument/2006/relationships/chart" Target="../charts/chart58.xml"/><Relationship Id="rId34" Type="http://schemas.openxmlformats.org/officeDocument/2006/relationships/chart" Target="../charts/chart71.xml"/><Relationship Id="rId7" Type="http://schemas.openxmlformats.org/officeDocument/2006/relationships/chart" Target="../charts/chart44.xml"/><Relationship Id="rId12" Type="http://schemas.openxmlformats.org/officeDocument/2006/relationships/chart" Target="../charts/chart49.xml"/><Relationship Id="rId17" Type="http://schemas.openxmlformats.org/officeDocument/2006/relationships/chart" Target="../charts/chart54.xml"/><Relationship Id="rId25" Type="http://schemas.openxmlformats.org/officeDocument/2006/relationships/chart" Target="../charts/chart62.xml"/><Relationship Id="rId33" Type="http://schemas.openxmlformats.org/officeDocument/2006/relationships/chart" Target="../charts/chart70.xml"/><Relationship Id="rId2" Type="http://schemas.openxmlformats.org/officeDocument/2006/relationships/chart" Target="../charts/chart39.xml"/><Relationship Id="rId16" Type="http://schemas.openxmlformats.org/officeDocument/2006/relationships/chart" Target="../charts/chart53.xml"/><Relationship Id="rId20" Type="http://schemas.openxmlformats.org/officeDocument/2006/relationships/chart" Target="../charts/chart57.xml"/><Relationship Id="rId29" Type="http://schemas.openxmlformats.org/officeDocument/2006/relationships/chart" Target="../charts/chart66.xml"/><Relationship Id="rId1" Type="http://schemas.openxmlformats.org/officeDocument/2006/relationships/chart" Target="../charts/chart38.xml"/><Relationship Id="rId6" Type="http://schemas.openxmlformats.org/officeDocument/2006/relationships/chart" Target="../charts/chart43.xml"/><Relationship Id="rId11" Type="http://schemas.openxmlformats.org/officeDocument/2006/relationships/chart" Target="../charts/chart48.xml"/><Relationship Id="rId24" Type="http://schemas.openxmlformats.org/officeDocument/2006/relationships/chart" Target="../charts/chart61.xml"/><Relationship Id="rId32" Type="http://schemas.openxmlformats.org/officeDocument/2006/relationships/chart" Target="../charts/chart69.xml"/><Relationship Id="rId5" Type="http://schemas.openxmlformats.org/officeDocument/2006/relationships/chart" Target="../charts/chart42.xml"/><Relationship Id="rId15" Type="http://schemas.openxmlformats.org/officeDocument/2006/relationships/chart" Target="../charts/chart52.xml"/><Relationship Id="rId23" Type="http://schemas.openxmlformats.org/officeDocument/2006/relationships/chart" Target="../charts/chart60.xml"/><Relationship Id="rId28" Type="http://schemas.openxmlformats.org/officeDocument/2006/relationships/chart" Target="../charts/chart65.xml"/><Relationship Id="rId10" Type="http://schemas.openxmlformats.org/officeDocument/2006/relationships/chart" Target="../charts/chart47.xml"/><Relationship Id="rId19" Type="http://schemas.openxmlformats.org/officeDocument/2006/relationships/chart" Target="../charts/chart56.xml"/><Relationship Id="rId31" Type="http://schemas.openxmlformats.org/officeDocument/2006/relationships/chart" Target="../charts/chart68.xml"/><Relationship Id="rId4" Type="http://schemas.openxmlformats.org/officeDocument/2006/relationships/chart" Target="../charts/chart41.xml"/><Relationship Id="rId9" Type="http://schemas.openxmlformats.org/officeDocument/2006/relationships/chart" Target="../charts/chart46.xml"/><Relationship Id="rId14" Type="http://schemas.openxmlformats.org/officeDocument/2006/relationships/chart" Target="../charts/chart51.xml"/><Relationship Id="rId22" Type="http://schemas.openxmlformats.org/officeDocument/2006/relationships/chart" Target="../charts/chart59.xml"/><Relationship Id="rId27" Type="http://schemas.openxmlformats.org/officeDocument/2006/relationships/chart" Target="../charts/chart64.xml"/><Relationship Id="rId30" Type="http://schemas.openxmlformats.org/officeDocument/2006/relationships/chart" Target="../charts/chart67.xml"/><Relationship Id="rId8" Type="http://schemas.openxmlformats.org/officeDocument/2006/relationships/chart" Target="../charts/chart45.xml"/></Relationships>
</file>

<file path=xl/drawings/_rels/drawing5.xml.rels><?xml version="1.0" encoding="UTF-8" standalone="yes"?>
<Relationships xmlns="http://schemas.openxmlformats.org/package/2006/relationships"><Relationship Id="rId26" Type="http://schemas.openxmlformats.org/officeDocument/2006/relationships/chart" Target="../charts/chart97.xml"/><Relationship Id="rId21" Type="http://schemas.openxmlformats.org/officeDocument/2006/relationships/chart" Target="../charts/chart92.xml"/><Relationship Id="rId42" Type="http://schemas.openxmlformats.org/officeDocument/2006/relationships/chart" Target="../charts/chart113.xml"/><Relationship Id="rId47" Type="http://schemas.openxmlformats.org/officeDocument/2006/relationships/chart" Target="../charts/chart118.xml"/><Relationship Id="rId63" Type="http://schemas.openxmlformats.org/officeDocument/2006/relationships/chart" Target="../charts/chart134.xml"/><Relationship Id="rId68" Type="http://schemas.openxmlformats.org/officeDocument/2006/relationships/chart" Target="../charts/chart139.xml"/><Relationship Id="rId2" Type="http://schemas.openxmlformats.org/officeDocument/2006/relationships/chart" Target="../charts/chart73.xml"/><Relationship Id="rId16" Type="http://schemas.openxmlformats.org/officeDocument/2006/relationships/chart" Target="../charts/chart87.xml"/><Relationship Id="rId29" Type="http://schemas.openxmlformats.org/officeDocument/2006/relationships/chart" Target="../charts/chart100.xml"/><Relationship Id="rId11" Type="http://schemas.openxmlformats.org/officeDocument/2006/relationships/chart" Target="../charts/chart82.xml"/><Relationship Id="rId24" Type="http://schemas.openxmlformats.org/officeDocument/2006/relationships/chart" Target="../charts/chart95.xml"/><Relationship Id="rId32" Type="http://schemas.openxmlformats.org/officeDocument/2006/relationships/chart" Target="../charts/chart103.xml"/><Relationship Id="rId37" Type="http://schemas.openxmlformats.org/officeDocument/2006/relationships/chart" Target="../charts/chart108.xml"/><Relationship Id="rId40" Type="http://schemas.openxmlformats.org/officeDocument/2006/relationships/chart" Target="../charts/chart111.xml"/><Relationship Id="rId45" Type="http://schemas.openxmlformats.org/officeDocument/2006/relationships/chart" Target="../charts/chart116.xml"/><Relationship Id="rId53" Type="http://schemas.openxmlformats.org/officeDocument/2006/relationships/chart" Target="../charts/chart124.xml"/><Relationship Id="rId58" Type="http://schemas.openxmlformats.org/officeDocument/2006/relationships/chart" Target="../charts/chart129.xml"/><Relationship Id="rId66" Type="http://schemas.openxmlformats.org/officeDocument/2006/relationships/chart" Target="../charts/chart137.xml"/><Relationship Id="rId74" Type="http://schemas.openxmlformats.org/officeDocument/2006/relationships/chart" Target="../charts/chart145.xml"/><Relationship Id="rId5" Type="http://schemas.openxmlformats.org/officeDocument/2006/relationships/chart" Target="../charts/chart76.xml"/><Relationship Id="rId61" Type="http://schemas.openxmlformats.org/officeDocument/2006/relationships/chart" Target="../charts/chart132.xml"/><Relationship Id="rId19" Type="http://schemas.openxmlformats.org/officeDocument/2006/relationships/chart" Target="../charts/chart90.xml"/><Relationship Id="rId14" Type="http://schemas.openxmlformats.org/officeDocument/2006/relationships/chart" Target="../charts/chart85.xml"/><Relationship Id="rId22" Type="http://schemas.openxmlformats.org/officeDocument/2006/relationships/chart" Target="../charts/chart93.xml"/><Relationship Id="rId27" Type="http://schemas.openxmlformats.org/officeDocument/2006/relationships/chart" Target="../charts/chart98.xml"/><Relationship Id="rId30" Type="http://schemas.openxmlformats.org/officeDocument/2006/relationships/chart" Target="../charts/chart101.xml"/><Relationship Id="rId35" Type="http://schemas.openxmlformats.org/officeDocument/2006/relationships/chart" Target="../charts/chart106.xml"/><Relationship Id="rId43" Type="http://schemas.openxmlformats.org/officeDocument/2006/relationships/chart" Target="../charts/chart114.xml"/><Relationship Id="rId48" Type="http://schemas.openxmlformats.org/officeDocument/2006/relationships/chart" Target="../charts/chart119.xml"/><Relationship Id="rId56" Type="http://schemas.openxmlformats.org/officeDocument/2006/relationships/chart" Target="../charts/chart127.xml"/><Relationship Id="rId64" Type="http://schemas.openxmlformats.org/officeDocument/2006/relationships/chart" Target="../charts/chart135.xml"/><Relationship Id="rId69" Type="http://schemas.openxmlformats.org/officeDocument/2006/relationships/chart" Target="../charts/chart140.xml"/><Relationship Id="rId8" Type="http://schemas.openxmlformats.org/officeDocument/2006/relationships/chart" Target="../charts/chart79.xml"/><Relationship Id="rId51" Type="http://schemas.openxmlformats.org/officeDocument/2006/relationships/chart" Target="../charts/chart122.xml"/><Relationship Id="rId72" Type="http://schemas.openxmlformats.org/officeDocument/2006/relationships/chart" Target="../charts/chart143.xml"/><Relationship Id="rId3" Type="http://schemas.openxmlformats.org/officeDocument/2006/relationships/chart" Target="../charts/chart74.xml"/><Relationship Id="rId12" Type="http://schemas.openxmlformats.org/officeDocument/2006/relationships/chart" Target="../charts/chart83.xml"/><Relationship Id="rId17" Type="http://schemas.openxmlformats.org/officeDocument/2006/relationships/chart" Target="../charts/chart88.xml"/><Relationship Id="rId25" Type="http://schemas.openxmlformats.org/officeDocument/2006/relationships/chart" Target="../charts/chart96.xml"/><Relationship Id="rId33" Type="http://schemas.openxmlformats.org/officeDocument/2006/relationships/chart" Target="../charts/chart104.xml"/><Relationship Id="rId38" Type="http://schemas.openxmlformats.org/officeDocument/2006/relationships/chart" Target="../charts/chart109.xml"/><Relationship Id="rId46" Type="http://schemas.openxmlformats.org/officeDocument/2006/relationships/chart" Target="../charts/chart117.xml"/><Relationship Id="rId59" Type="http://schemas.openxmlformats.org/officeDocument/2006/relationships/chart" Target="../charts/chart130.xml"/><Relationship Id="rId67" Type="http://schemas.openxmlformats.org/officeDocument/2006/relationships/chart" Target="../charts/chart138.xml"/><Relationship Id="rId20" Type="http://schemas.openxmlformats.org/officeDocument/2006/relationships/chart" Target="../charts/chart91.xml"/><Relationship Id="rId41" Type="http://schemas.openxmlformats.org/officeDocument/2006/relationships/chart" Target="../charts/chart112.xml"/><Relationship Id="rId54" Type="http://schemas.openxmlformats.org/officeDocument/2006/relationships/chart" Target="../charts/chart125.xml"/><Relationship Id="rId62" Type="http://schemas.openxmlformats.org/officeDocument/2006/relationships/chart" Target="../charts/chart133.xml"/><Relationship Id="rId70" Type="http://schemas.openxmlformats.org/officeDocument/2006/relationships/chart" Target="../charts/chart141.xml"/><Relationship Id="rId75" Type="http://schemas.openxmlformats.org/officeDocument/2006/relationships/chart" Target="../charts/chart146.xml"/><Relationship Id="rId1" Type="http://schemas.openxmlformats.org/officeDocument/2006/relationships/chart" Target="../charts/chart72.xml"/><Relationship Id="rId6" Type="http://schemas.openxmlformats.org/officeDocument/2006/relationships/chart" Target="../charts/chart77.xml"/><Relationship Id="rId15" Type="http://schemas.openxmlformats.org/officeDocument/2006/relationships/chart" Target="../charts/chart86.xml"/><Relationship Id="rId23" Type="http://schemas.openxmlformats.org/officeDocument/2006/relationships/chart" Target="../charts/chart94.xml"/><Relationship Id="rId28" Type="http://schemas.openxmlformats.org/officeDocument/2006/relationships/chart" Target="../charts/chart99.xml"/><Relationship Id="rId36" Type="http://schemas.openxmlformats.org/officeDocument/2006/relationships/chart" Target="../charts/chart107.xml"/><Relationship Id="rId49" Type="http://schemas.openxmlformats.org/officeDocument/2006/relationships/chart" Target="../charts/chart120.xml"/><Relationship Id="rId57" Type="http://schemas.openxmlformats.org/officeDocument/2006/relationships/chart" Target="../charts/chart128.xml"/><Relationship Id="rId10" Type="http://schemas.openxmlformats.org/officeDocument/2006/relationships/chart" Target="../charts/chart81.xml"/><Relationship Id="rId31" Type="http://schemas.openxmlformats.org/officeDocument/2006/relationships/chart" Target="../charts/chart102.xml"/><Relationship Id="rId44" Type="http://schemas.openxmlformats.org/officeDocument/2006/relationships/chart" Target="../charts/chart115.xml"/><Relationship Id="rId52" Type="http://schemas.openxmlformats.org/officeDocument/2006/relationships/chart" Target="../charts/chart123.xml"/><Relationship Id="rId60" Type="http://schemas.openxmlformats.org/officeDocument/2006/relationships/chart" Target="../charts/chart131.xml"/><Relationship Id="rId65" Type="http://schemas.openxmlformats.org/officeDocument/2006/relationships/chart" Target="../charts/chart136.xml"/><Relationship Id="rId73" Type="http://schemas.openxmlformats.org/officeDocument/2006/relationships/chart" Target="../charts/chart144.xml"/><Relationship Id="rId4" Type="http://schemas.openxmlformats.org/officeDocument/2006/relationships/chart" Target="../charts/chart75.xml"/><Relationship Id="rId9" Type="http://schemas.openxmlformats.org/officeDocument/2006/relationships/chart" Target="../charts/chart80.xml"/><Relationship Id="rId13" Type="http://schemas.openxmlformats.org/officeDocument/2006/relationships/chart" Target="../charts/chart84.xml"/><Relationship Id="rId18" Type="http://schemas.openxmlformats.org/officeDocument/2006/relationships/chart" Target="../charts/chart89.xml"/><Relationship Id="rId39" Type="http://schemas.openxmlformats.org/officeDocument/2006/relationships/chart" Target="../charts/chart110.xml"/><Relationship Id="rId34" Type="http://schemas.openxmlformats.org/officeDocument/2006/relationships/chart" Target="../charts/chart105.xml"/><Relationship Id="rId50" Type="http://schemas.openxmlformats.org/officeDocument/2006/relationships/chart" Target="../charts/chart121.xml"/><Relationship Id="rId55" Type="http://schemas.openxmlformats.org/officeDocument/2006/relationships/chart" Target="../charts/chart126.xml"/><Relationship Id="rId7" Type="http://schemas.openxmlformats.org/officeDocument/2006/relationships/chart" Target="../charts/chart78.xml"/><Relationship Id="rId71" Type="http://schemas.openxmlformats.org/officeDocument/2006/relationships/chart" Target="../charts/chart142.xml"/></Relationships>
</file>

<file path=xl/drawings/drawing1.xml><?xml version="1.0" encoding="utf-8"?>
<xdr:wsDr xmlns:xdr="http://schemas.openxmlformats.org/drawingml/2006/spreadsheetDrawing" xmlns:a="http://schemas.openxmlformats.org/drawingml/2006/main">
  <xdr:twoCellAnchor>
    <xdr:from>
      <xdr:col>11</xdr:col>
      <xdr:colOff>19049</xdr:colOff>
      <xdr:row>25</xdr:row>
      <xdr:rowOff>52387</xdr:rowOff>
    </xdr:from>
    <xdr:to>
      <xdr:col>19</xdr:col>
      <xdr:colOff>419100</xdr:colOff>
      <xdr:row>38</xdr:row>
      <xdr:rowOff>161925</xdr:rowOff>
    </xdr:to>
    <xdr:graphicFrame macro="">
      <xdr:nvGraphicFramePr>
        <xdr:cNvPr id="4" name="Gráfico 3">
          <a:extLst>
            <a:ext uri="{FF2B5EF4-FFF2-40B4-BE49-F238E27FC236}">
              <a16:creationId xmlns:a16="http://schemas.microsoft.com/office/drawing/2014/main" id="{BB498381-E8AC-43CE-B729-E5B894242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4762</xdr:rowOff>
    </xdr:from>
    <xdr:to>
      <xdr:col>9</xdr:col>
      <xdr:colOff>0</xdr:colOff>
      <xdr:row>15</xdr:row>
      <xdr:rowOff>80962</xdr:rowOff>
    </xdr:to>
    <xdr:graphicFrame macro="">
      <xdr:nvGraphicFramePr>
        <xdr:cNvPr id="2" name="Gráfico 1">
          <a:extLst>
            <a:ext uri="{FF2B5EF4-FFF2-40B4-BE49-F238E27FC236}">
              <a16:creationId xmlns:a16="http://schemas.microsoft.com/office/drawing/2014/main" id="{C8979FB4-6554-40B0-A0BE-1AD8BD19C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17</xdr:row>
      <xdr:rowOff>0</xdr:rowOff>
    </xdr:from>
    <xdr:to>
      <xdr:col>9</xdr:col>
      <xdr:colOff>9525</xdr:colOff>
      <xdr:row>31</xdr:row>
      <xdr:rowOff>76200</xdr:rowOff>
    </xdr:to>
    <xdr:graphicFrame macro="">
      <xdr:nvGraphicFramePr>
        <xdr:cNvPr id="3" name="Gráfico 2">
          <a:extLst>
            <a:ext uri="{FF2B5EF4-FFF2-40B4-BE49-F238E27FC236}">
              <a16:creationId xmlns:a16="http://schemas.microsoft.com/office/drawing/2014/main" id="{AE03BF40-E204-464D-8814-51DD99A7C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34</xdr:row>
      <xdr:rowOff>0</xdr:rowOff>
    </xdr:from>
    <xdr:to>
      <xdr:col>9</xdr:col>
      <xdr:colOff>0</xdr:colOff>
      <xdr:row>48</xdr:row>
      <xdr:rowOff>76200</xdr:rowOff>
    </xdr:to>
    <xdr:graphicFrame macro="">
      <xdr:nvGraphicFramePr>
        <xdr:cNvPr id="4" name="Gráfico 3">
          <a:extLst>
            <a:ext uri="{FF2B5EF4-FFF2-40B4-BE49-F238E27FC236}">
              <a16:creationId xmlns:a16="http://schemas.microsoft.com/office/drawing/2014/main" id="{20B79B52-DC5A-4FA6-9E7A-15C2A38A8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51</xdr:row>
      <xdr:rowOff>0</xdr:rowOff>
    </xdr:from>
    <xdr:to>
      <xdr:col>9</xdr:col>
      <xdr:colOff>0</xdr:colOff>
      <xdr:row>65</xdr:row>
      <xdr:rowOff>76200</xdr:rowOff>
    </xdr:to>
    <xdr:graphicFrame macro="">
      <xdr:nvGraphicFramePr>
        <xdr:cNvPr id="5" name="Gráfico 4">
          <a:extLst>
            <a:ext uri="{FF2B5EF4-FFF2-40B4-BE49-F238E27FC236}">
              <a16:creationId xmlns:a16="http://schemas.microsoft.com/office/drawing/2014/main" id="{D83193FF-B154-42BD-A71C-C02B44D21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67</xdr:row>
      <xdr:rowOff>0</xdr:rowOff>
    </xdr:from>
    <xdr:to>
      <xdr:col>12</xdr:col>
      <xdr:colOff>0</xdr:colOff>
      <xdr:row>81</xdr:row>
      <xdr:rowOff>76200</xdr:rowOff>
    </xdr:to>
    <xdr:graphicFrame macro="">
      <xdr:nvGraphicFramePr>
        <xdr:cNvPr id="7" name="Gráfico 6">
          <a:extLst>
            <a:ext uri="{FF2B5EF4-FFF2-40B4-BE49-F238E27FC236}">
              <a16:creationId xmlns:a16="http://schemas.microsoft.com/office/drawing/2014/main" id="{528ACDF2-A6EE-4D27-BF83-F2E4D7DC8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92</xdr:row>
      <xdr:rowOff>0</xdr:rowOff>
    </xdr:from>
    <xdr:to>
      <xdr:col>13</xdr:col>
      <xdr:colOff>0</xdr:colOff>
      <xdr:row>106</xdr:row>
      <xdr:rowOff>76200</xdr:rowOff>
    </xdr:to>
    <xdr:graphicFrame macro="">
      <xdr:nvGraphicFramePr>
        <xdr:cNvPr id="8" name="Gráfico 7">
          <a:extLst>
            <a:ext uri="{FF2B5EF4-FFF2-40B4-BE49-F238E27FC236}">
              <a16:creationId xmlns:a16="http://schemas.microsoft.com/office/drawing/2014/main" id="{09E018F9-0B7D-4316-A542-12B860B37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752475</xdr:colOff>
      <xdr:row>109</xdr:row>
      <xdr:rowOff>0</xdr:rowOff>
    </xdr:from>
    <xdr:to>
      <xdr:col>12</xdr:col>
      <xdr:colOff>752475</xdr:colOff>
      <xdr:row>123</xdr:row>
      <xdr:rowOff>76200</xdr:rowOff>
    </xdr:to>
    <xdr:graphicFrame macro="">
      <xdr:nvGraphicFramePr>
        <xdr:cNvPr id="9" name="Gráfico 8">
          <a:extLst>
            <a:ext uri="{FF2B5EF4-FFF2-40B4-BE49-F238E27FC236}">
              <a16:creationId xmlns:a16="http://schemas.microsoft.com/office/drawing/2014/main" id="{B0DEA120-816F-4F25-BCD0-FCC70F0E6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126</xdr:row>
      <xdr:rowOff>0</xdr:rowOff>
    </xdr:from>
    <xdr:to>
      <xdr:col>13</xdr:col>
      <xdr:colOff>0</xdr:colOff>
      <xdr:row>140</xdr:row>
      <xdr:rowOff>76200</xdr:rowOff>
    </xdr:to>
    <xdr:graphicFrame macro="">
      <xdr:nvGraphicFramePr>
        <xdr:cNvPr id="10" name="Gráfico 9">
          <a:extLst>
            <a:ext uri="{FF2B5EF4-FFF2-40B4-BE49-F238E27FC236}">
              <a16:creationId xmlns:a16="http://schemas.microsoft.com/office/drawing/2014/main" id="{0F9FFC79-BFF8-4CF3-8242-FAFEC7B86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0</xdr:colOff>
      <xdr:row>142</xdr:row>
      <xdr:rowOff>0</xdr:rowOff>
    </xdr:from>
    <xdr:to>
      <xdr:col>13</xdr:col>
      <xdr:colOff>0</xdr:colOff>
      <xdr:row>156</xdr:row>
      <xdr:rowOff>76200</xdr:rowOff>
    </xdr:to>
    <xdr:graphicFrame macro="">
      <xdr:nvGraphicFramePr>
        <xdr:cNvPr id="11" name="Gráfico 10">
          <a:extLst>
            <a:ext uri="{FF2B5EF4-FFF2-40B4-BE49-F238E27FC236}">
              <a16:creationId xmlns:a16="http://schemas.microsoft.com/office/drawing/2014/main" id="{074485ED-2A05-43F1-BDF6-B6EE77FF4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158</xdr:row>
      <xdr:rowOff>0</xdr:rowOff>
    </xdr:from>
    <xdr:to>
      <xdr:col>13</xdr:col>
      <xdr:colOff>0</xdr:colOff>
      <xdr:row>172</xdr:row>
      <xdr:rowOff>76200</xdr:rowOff>
    </xdr:to>
    <xdr:graphicFrame macro="">
      <xdr:nvGraphicFramePr>
        <xdr:cNvPr id="12" name="Gráfico 11">
          <a:extLst>
            <a:ext uri="{FF2B5EF4-FFF2-40B4-BE49-F238E27FC236}">
              <a16:creationId xmlns:a16="http://schemas.microsoft.com/office/drawing/2014/main" id="{75B5226F-B21F-4DAC-BD05-4B6670967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175</xdr:row>
      <xdr:rowOff>0</xdr:rowOff>
    </xdr:from>
    <xdr:to>
      <xdr:col>13</xdr:col>
      <xdr:colOff>0</xdr:colOff>
      <xdr:row>189</xdr:row>
      <xdr:rowOff>76200</xdr:rowOff>
    </xdr:to>
    <xdr:graphicFrame macro="">
      <xdr:nvGraphicFramePr>
        <xdr:cNvPr id="13" name="Gráfico 12">
          <a:extLst>
            <a:ext uri="{FF2B5EF4-FFF2-40B4-BE49-F238E27FC236}">
              <a16:creationId xmlns:a16="http://schemas.microsoft.com/office/drawing/2014/main" id="{78342177-AA7E-439D-A29B-1606D5943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9</xdr:col>
      <xdr:colOff>0</xdr:colOff>
      <xdr:row>15</xdr:row>
      <xdr:rowOff>76200</xdr:rowOff>
    </xdr:to>
    <xdr:graphicFrame macro="">
      <xdr:nvGraphicFramePr>
        <xdr:cNvPr id="2" name="Gráfico 1">
          <a:extLst>
            <a:ext uri="{FF2B5EF4-FFF2-40B4-BE49-F238E27FC236}">
              <a16:creationId xmlns:a16="http://schemas.microsoft.com/office/drawing/2014/main" id="{A5221650-E7AE-46E5-9C86-0DC74610E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18</xdr:row>
      <xdr:rowOff>0</xdr:rowOff>
    </xdr:from>
    <xdr:to>
      <xdr:col>9</xdr:col>
      <xdr:colOff>0</xdr:colOff>
      <xdr:row>32</xdr:row>
      <xdr:rowOff>76200</xdr:rowOff>
    </xdr:to>
    <xdr:graphicFrame macro="">
      <xdr:nvGraphicFramePr>
        <xdr:cNvPr id="5" name="Gráfico 4">
          <a:extLst>
            <a:ext uri="{FF2B5EF4-FFF2-40B4-BE49-F238E27FC236}">
              <a16:creationId xmlns:a16="http://schemas.microsoft.com/office/drawing/2014/main" id="{198BE524-F7EF-4A0F-9B6E-8589802B70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34</xdr:row>
      <xdr:rowOff>0</xdr:rowOff>
    </xdr:from>
    <xdr:to>
      <xdr:col>9</xdr:col>
      <xdr:colOff>0</xdr:colOff>
      <xdr:row>48</xdr:row>
      <xdr:rowOff>76200</xdr:rowOff>
    </xdr:to>
    <xdr:graphicFrame macro="">
      <xdr:nvGraphicFramePr>
        <xdr:cNvPr id="6" name="Gráfico 5">
          <a:extLst>
            <a:ext uri="{FF2B5EF4-FFF2-40B4-BE49-F238E27FC236}">
              <a16:creationId xmlns:a16="http://schemas.microsoft.com/office/drawing/2014/main" id="{64AE84B2-D4EC-4F26-8528-45021EA80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50</xdr:row>
      <xdr:rowOff>0</xdr:rowOff>
    </xdr:from>
    <xdr:to>
      <xdr:col>9</xdr:col>
      <xdr:colOff>0</xdr:colOff>
      <xdr:row>64</xdr:row>
      <xdr:rowOff>76200</xdr:rowOff>
    </xdr:to>
    <xdr:graphicFrame macro="">
      <xdr:nvGraphicFramePr>
        <xdr:cNvPr id="7" name="Gráfico 6">
          <a:extLst>
            <a:ext uri="{FF2B5EF4-FFF2-40B4-BE49-F238E27FC236}">
              <a16:creationId xmlns:a16="http://schemas.microsoft.com/office/drawing/2014/main" id="{F69AA947-BB29-4E9B-8752-CB195CB63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68</xdr:row>
      <xdr:rowOff>0</xdr:rowOff>
    </xdr:from>
    <xdr:to>
      <xdr:col>9</xdr:col>
      <xdr:colOff>0</xdr:colOff>
      <xdr:row>82</xdr:row>
      <xdr:rowOff>76200</xdr:rowOff>
    </xdr:to>
    <xdr:graphicFrame macro="">
      <xdr:nvGraphicFramePr>
        <xdr:cNvPr id="8" name="Gráfico 7">
          <a:extLst>
            <a:ext uri="{FF2B5EF4-FFF2-40B4-BE49-F238E27FC236}">
              <a16:creationId xmlns:a16="http://schemas.microsoft.com/office/drawing/2014/main" id="{379B0585-81F1-4961-95FE-00DFE8BCF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84</xdr:row>
      <xdr:rowOff>0</xdr:rowOff>
    </xdr:from>
    <xdr:to>
      <xdr:col>9</xdr:col>
      <xdr:colOff>0</xdr:colOff>
      <xdr:row>98</xdr:row>
      <xdr:rowOff>76200</xdr:rowOff>
    </xdr:to>
    <xdr:graphicFrame macro="">
      <xdr:nvGraphicFramePr>
        <xdr:cNvPr id="9" name="Gráfico 8">
          <a:extLst>
            <a:ext uri="{FF2B5EF4-FFF2-40B4-BE49-F238E27FC236}">
              <a16:creationId xmlns:a16="http://schemas.microsoft.com/office/drawing/2014/main" id="{185043AF-C90B-4736-9C6E-3D2632713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523875</xdr:colOff>
      <xdr:row>100</xdr:row>
      <xdr:rowOff>76200</xdr:rowOff>
    </xdr:from>
    <xdr:to>
      <xdr:col>9</xdr:col>
      <xdr:colOff>523875</xdr:colOff>
      <xdr:row>114</xdr:row>
      <xdr:rowOff>152400</xdr:rowOff>
    </xdr:to>
    <xdr:graphicFrame macro="">
      <xdr:nvGraphicFramePr>
        <xdr:cNvPr id="10" name="Gráfico 9">
          <a:extLst>
            <a:ext uri="{FF2B5EF4-FFF2-40B4-BE49-F238E27FC236}">
              <a16:creationId xmlns:a16="http://schemas.microsoft.com/office/drawing/2014/main" id="{3BF96128-7A58-498B-B26E-C61B4B6DA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581025</xdr:colOff>
      <xdr:row>116</xdr:row>
      <xdr:rowOff>0</xdr:rowOff>
    </xdr:from>
    <xdr:to>
      <xdr:col>9</xdr:col>
      <xdr:colOff>581025</xdr:colOff>
      <xdr:row>130</xdr:row>
      <xdr:rowOff>76200</xdr:rowOff>
    </xdr:to>
    <xdr:graphicFrame macro="">
      <xdr:nvGraphicFramePr>
        <xdr:cNvPr id="11" name="Gráfico 10">
          <a:extLst>
            <a:ext uri="{FF2B5EF4-FFF2-40B4-BE49-F238E27FC236}">
              <a16:creationId xmlns:a16="http://schemas.microsoft.com/office/drawing/2014/main" id="{DBBD57B9-EC4D-4E4F-9CD5-4F171908F3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133</xdr:row>
      <xdr:rowOff>0</xdr:rowOff>
    </xdr:from>
    <xdr:to>
      <xdr:col>10</xdr:col>
      <xdr:colOff>0</xdr:colOff>
      <xdr:row>147</xdr:row>
      <xdr:rowOff>76200</xdr:rowOff>
    </xdr:to>
    <xdr:graphicFrame macro="">
      <xdr:nvGraphicFramePr>
        <xdr:cNvPr id="12" name="Gráfico 11">
          <a:extLst>
            <a:ext uri="{FF2B5EF4-FFF2-40B4-BE49-F238E27FC236}">
              <a16:creationId xmlns:a16="http://schemas.microsoft.com/office/drawing/2014/main" id="{D4080EE8-C4F2-4844-873B-07959FBCB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xdr:colOff>
      <xdr:row>149</xdr:row>
      <xdr:rowOff>0</xdr:rowOff>
    </xdr:from>
    <xdr:to>
      <xdr:col>6</xdr:col>
      <xdr:colOff>447675</xdr:colOff>
      <xdr:row>163</xdr:row>
      <xdr:rowOff>76200</xdr:rowOff>
    </xdr:to>
    <xdr:graphicFrame macro="">
      <xdr:nvGraphicFramePr>
        <xdr:cNvPr id="13" name="Gráfico 12">
          <a:extLst>
            <a:ext uri="{FF2B5EF4-FFF2-40B4-BE49-F238E27FC236}">
              <a16:creationId xmlns:a16="http://schemas.microsoft.com/office/drawing/2014/main" id="{20BDE75F-2E1C-4157-B3B1-F2E73FF35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165</xdr:row>
      <xdr:rowOff>0</xdr:rowOff>
    </xdr:from>
    <xdr:to>
      <xdr:col>10</xdr:col>
      <xdr:colOff>0</xdr:colOff>
      <xdr:row>181</xdr:row>
      <xdr:rowOff>76200</xdr:rowOff>
    </xdr:to>
    <xdr:graphicFrame macro="">
      <xdr:nvGraphicFramePr>
        <xdr:cNvPr id="14" name="Gráfico 13">
          <a:extLst>
            <a:ext uri="{FF2B5EF4-FFF2-40B4-BE49-F238E27FC236}">
              <a16:creationId xmlns:a16="http://schemas.microsoft.com/office/drawing/2014/main" id="{53EAA1E3-0725-4687-9665-865259B3E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183</xdr:row>
      <xdr:rowOff>0</xdr:rowOff>
    </xdr:from>
    <xdr:to>
      <xdr:col>11</xdr:col>
      <xdr:colOff>0</xdr:colOff>
      <xdr:row>200</xdr:row>
      <xdr:rowOff>76200</xdr:rowOff>
    </xdr:to>
    <xdr:graphicFrame macro="">
      <xdr:nvGraphicFramePr>
        <xdr:cNvPr id="15" name="Gráfico 14">
          <a:extLst>
            <a:ext uri="{FF2B5EF4-FFF2-40B4-BE49-F238E27FC236}">
              <a16:creationId xmlns:a16="http://schemas.microsoft.com/office/drawing/2014/main" id="{003CC1E4-8D1C-4811-81CA-C763EB3A3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202</xdr:row>
      <xdr:rowOff>0</xdr:rowOff>
    </xdr:from>
    <xdr:to>
      <xdr:col>11</xdr:col>
      <xdr:colOff>0</xdr:colOff>
      <xdr:row>219</xdr:row>
      <xdr:rowOff>76200</xdr:rowOff>
    </xdr:to>
    <xdr:graphicFrame macro="">
      <xdr:nvGraphicFramePr>
        <xdr:cNvPr id="16" name="Gráfico 15">
          <a:extLst>
            <a:ext uri="{FF2B5EF4-FFF2-40B4-BE49-F238E27FC236}">
              <a16:creationId xmlns:a16="http://schemas.microsoft.com/office/drawing/2014/main" id="{8D1D2466-AA40-4107-BC17-A54AE88C3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0</xdr:colOff>
      <xdr:row>221</xdr:row>
      <xdr:rowOff>0</xdr:rowOff>
    </xdr:from>
    <xdr:to>
      <xdr:col>11</xdr:col>
      <xdr:colOff>0</xdr:colOff>
      <xdr:row>238</xdr:row>
      <xdr:rowOff>76200</xdr:rowOff>
    </xdr:to>
    <xdr:graphicFrame macro="">
      <xdr:nvGraphicFramePr>
        <xdr:cNvPr id="17" name="Gráfico 16">
          <a:extLst>
            <a:ext uri="{FF2B5EF4-FFF2-40B4-BE49-F238E27FC236}">
              <a16:creationId xmlns:a16="http://schemas.microsoft.com/office/drawing/2014/main" id="{5EE94D68-2F04-4994-A98C-F304B286F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0</xdr:colOff>
      <xdr:row>239</xdr:row>
      <xdr:rowOff>0</xdr:rowOff>
    </xdr:from>
    <xdr:to>
      <xdr:col>11</xdr:col>
      <xdr:colOff>0</xdr:colOff>
      <xdr:row>256</xdr:row>
      <xdr:rowOff>76200</xdr:rowOff>
    </xdr:to>
    <xdr:graphicFrame macro="">
      <xdr:nvGraphicFramePr>
        <xdr:cNvPr id="18" name="Gráfico 17">
          <a:extLst>
            <a:ext uri="{FF2B5EF4-FFF2-40B4-BE49-F238E27FC236}">
              <a16:creationId xmlns:a16="http://schemas.microsoft.com/office/drawing/2014/main" id="{7663A541-C05A-43E9-87EB-FC307CD51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257</xdr:row>
      <xdr:rowOff>0</xdr:rowOff>
    </xdr:from>
    <xdr:to>
      <xdr:col>11</xdr:col>
      <xdr:colOff>0</xdr:colOff>
      <xdr:row>274</xdr:row>
      <xdr:rowOff>76200</xdr:rowOff>
    </xdr:to>
    <xdr:graphicFrame macro="">
      <xdr:nvGraphicFramePr>
        <xdr:cNvPr id="19" name="Gráfico 18">
          <a:extLst>
            <a:ext uri="{FF2B5EF4-FFF2-40B4-BE49-F238E27FC236}">
              <a16:creationId xmlns:a16="http://schemas.microsoft.com/office/drawing/2014/main" id="{9E30E223-C9F5-45CA-BC44-5D9DF465B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0</xdr:colOff>
      <xdr:row>275</xdr:row>
      <xdr:rowOff>0</xdr:rowOff>
    </xdr:from>
    <xdr:to>
      <xdr:col>9</xdr:col>
      <xdr:colOff>0</xdr:colOff>
      <xdr:row>292</xdr:row>
      <xdr:rowOff>76200</xdr:rowOff>
    </xdr:to>
    <xdr:graphicFrame macro="">
      <xdr:nvGraphicFramePr>
        <xdr:cNvPr id="20" name="Gráfico 19">
          <a:extLst>
            <a:ext uri="{FF2B5EF4-FFF2-40B4-BE49-F238E27FC236}">
              <a16:creationId xmlns:a16="http://schemas.microsoft.com/office/drawing/2014/main" id="{7B785F4E-76FE-434C-9965-7B9BAA174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0</xdr:colOff>
      <xdr:row>293</xdr:row>
      <xdr:rowOff>0</xdr:rowOff>
    </xdr:from>
    <xdr:to>
      <xdr:col>9</xdr:col>
      <xdr:colOff>0</xdr:colOff>
      <xdr:row>310</xdr:row>
      <xdr:rowOff>76200</xdr:rowOff>
    </xdr:to>
    <xdr:graphicFrame macro="">
      <xdr:nvGraphicFramePr>
        <xdr:cNvPr id="22" name="Gráfico 21">
          <a:extLst>
            <a:ext uri="{FF2B5EF4-FFF2-40B4-BE49-F238E27FC236}">
              <a16:creationId xmlns:a16="http://schemas.microsoft.com/office/drawing/2014/main" id="{DD5F3811-A3EE-41A9-B786-D140D61EC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0</xdr:colOff>
      <xdr:row>311</xdr:row>
      <xdr:rowOff>0</xdr:rowOff>
    </xdr:from>
    <xdr:to>
      <xdr:col>9</xdr:col>
      <xdr:colOff>0</xdr:colOff>
      <xdr:row>328</xdr:row>
      <xdr:rowOff>76200</xdr:rowOff>
    </xdr:to>
    <xdr:graphicFrame macro="">
      <xdr:nvGraphicFramePr>
        <xdr:cNvPr id="21" name="Gráfico 20">
          <a:extLst>
            <a:ext uri="{FF2B5EF4-FFF2-40B4-BE49-F238E27FC236}">
              <a16:creationId xmlns:a16="http://schemas.microsoft.com/office/drawing/2014/main" id="{EBD94DDF-C694-4E89-8A9F-E941C7F3E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0</xdr:colOff>
      <xdr:row>330</xdr:row>
      <xdr:rowOff>0</xdr:rowOff>
    </xdr:from>
    <xdr:to>
      <xdr:col>9</xdr:col>
      <xdr:colOff>0</xdr:colOff>
      <xdr:row>347</xdr:row>
      <xdr:rowOff>76200</xdr:rowOff>
    </xdr:to>
    <xdr:graphicFrame macro="">
      <xdr:nvGraphicFramePr>
        <xdr:cNvPr id="23" name="Gráfico 22">
          <a:extLst>
            <a:ext uri="{FF2B5EF4-FFF2-40B4-BE49-F238E27FC236}">
              <a16:creationId xmlns:a16="http://schemas.microsoft.com/office/drawing/2014/main" id="{3D94F13B-D634-450D-B8C8-D518EAF653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0</xdr:colOff>
      <xdr:row>349</xdr:row>
      <xdr:rowOff>0</xdr:rowOff>
    </xdr:from>
    <xdr:to>
      <xdr:col>9</xdr:col>
      <xdr:colOff>0</xdr:colOff>
      <xdr:row>366</xdr:row>
      <xdr:rowOff>76200</xdr:rowOff>
    </xdr:to>
    <xdr:graphicFrame macro="">
      <xdr:nvGraphicFramePr>
        <xdr:cNvPr id="24" name="Gráfico 23">
          <a:extLst>
            <a:ext uri="{FF2B5EF4-FFF2-40B4-BE49-F238E27FC236}">
              <a16:creationId xmlns:a16="http://schemas.microsoft.com/office/drawing/2014/main" id="{81119B1C-CB3B-4BC4-A5E2-4F26DEE56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xdr:col>
      <xdr:colOff>0</xdr:colOff>
      <xdr:row>368</xdr:row>
      <xdr:rowOff>0</xdr:rowOff>
    </xdr:from>
    <xdr:to>
      <xdr:col>9</xdr:col>
      <xdr:colOff>0</xdr:colOff>
      <xdr:row>385</xdr:row>
      <xdr:rowOff>76200</xdr:rowOff>
    </xdr:to>
    <xdr:graphicFrame macro="">
      <xdr:nvGraphicFramePr>
        <xdr:cNvPr id="25" name="Gráfico 24">
          <a:extLst>
            <a:ext uri="{FF2B5EF4-FFF2-40B4-BE49-F238E27FC236}">
              <a16:creationId xmlns:a16="http://schemas.microsoft.com/office/drawing/2014/main" id="{EA9DF20F-16F9-46BF-9870-CCE889E5A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xdr:col>
      <xdr:colOff>0</xdr:colOff>
      <xdr:row>387</xdr:row>
      <xdr:rowOff>0</xdr:rowOff>
    </xdr:from>
    <xdr:to>
      <xdr:col>9</xdr:col>
      <xdr:colOff>0</xdr:colOff>
      <xdr:row>404</xdr:row>
      <xdr:rowOff>76200</xdr:rowOff>
    </xdr:to>
    <xdr:graphicFrame macro="">
      <xdr:nvGraphicFramePr>
        <xdr:cNvPr id="26" name="Gráfico 25">
          <a:extLst>
            <a:ext uri="{FF2B5EF4-FFF2-40B4-BE49-F238E27FC236}">
              <a16:creationId xmlns:a16="http://schemas.microsoft.com/office/drawing/2014/main" id="{438D20F8-BCC7-4E82-987D-269ED0E8B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3</xdr:col>
      <xdr:colOff>0</xdr:colOff>
      <xdr:row>406</xdr:row>
      <xdr:rowOff>0</xdr:rowOff>
    </xdr:from>
    <xdr:to>
      <xdr:col>9</xdr:col>
      <xdr:colOff>0</xdr:colOff>
      <xdr:row>423</xdr:row>
      <xdr:rowOff>76200</xdr:rowOff>
    </xdr:to>
    <xdr:graphicFrame macro="">
      <xdr:nvGraphicFramePr>
        <xdr:cNvPr id="27" name="Gráfico 26">
          <a:extLst>
            <a:ext uri="{FF2B5EF4-FFF2-40B4-BE49-F238E27FC236}">
              <a16:creationId xmlns:a16="http://schemas.microsoft.com/office/drawing/2014/main" id="{BA9D6C49-FF9A-44C3-BB9A-39D3A8D6C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3</xdr:col>
      <xdr:colOff>0</xdr:colOff>
      <xdr:row>425</xdr:row>
      <xdr:rowOff>0</xdr:rowOff>
    </xdr:from>
    <xdr:to>
      <xdr:col>9</xdr:col>
      <xdr:colOff>0</xdr:colOff>
      <xdr:row>442</xdr:row>
      <xdr:rowOff>76200</xdr:rowOff>
    </xdr:to>
    <xdr:graphicFrame macro="">
      <xdr:nvGraphicFramePr>
        <xdr:cNvPr id="28" name="Gráfico 27">
          <a:extLst>
            <a:ext uri="{FF2B5EF4-FFF2-40B4-BE49-F238E27FC236}">
              <a16:creationId xmlns:a16="http://schemas.microsoft.com/office/drawing/2014/main" id="{D39E3295-AA6D-44D0-AA7C-1A23BFE1E1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1</xdr:row>
      <xdr:rowOff>9525</xdr:rowOff>
    </xdr:from>
    <xdr:to>
      <xdr:col>9</xdr:col>
      <xdr:colOff>9525</xdr:colOff>
      <xdr:row>15</xdr:row>
      <xdr:rowOff>85725</xdr:rowOff>
    </xdr:to>
    <xdr:graphicFrame macro="">
      <xdr:nvGraphicFramePr>
        <xdr:cNvPr id="2" name="Gráfico 1">
          <a:extLst>
            <a:ext uri="{FF2B5EF4-FFF2-40B4-BE49-F238E27FC236}">
              <a16:creationId xmlns:a16="http://schemas.microsoft.com/office/drawing/2014/main" id="{4824102B-017C-4CC0-8D9B-0091114C03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752475</xdr:colOff>
      <xdr:row>19</xdr:row>
      <xdr:rowOff>0</xdr:rowOff>
    </xdr:from>
    <xdr:to>
      <xdr:col>8</xdr:col>
      <xdr:colOff>752475</xdr:colOff>
      <xdr:row>33</xdr:row>
      <xdr:rowOff>76200</xdr:rowOff>
    </xdr:to>
    <xdr:graphicFrame macro="">
      <xdr:nvGraphicFramePr>
        <xdr:cNvPr id="3" name="Gráfico 2">
          <a:extLst>
            <a:ext uri="{FF2B5EF4-FFF2-40B4-BE49-F238E27FC236}">
              <a16:creationId xmlns:a16="http://schemas.microsoft.com/office/drawing/2014/main" id="{F4881F35-C1F6-45F4-9E04-148A899D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37</xdr:row>
      <xdr:rowOff>0</xdr:rowOff>
    </xdr:from>
    <xdr:to>
      <xdr:col>9</xdr:col>
      <xdr:colOff>0</xdr:colOff>
      <xdr:row>51</xdr:row>
      <xdr:rowOff>76200</xdr:rowOff>
    </xdr:to>
    <xdr:graphicFrame macro="">
      <xdr:nvGraphicFramePr>
        <xdr:cNvPr id="4" name="Gráfico 3">
          <a:extLst>
            <a:ext uri="{FF2B5EF4-FFF2-40B4-BE49-F238E27FC236}">
              <a16:creationId xmlns:a16="http://schemas.microsoft.com/office/drawing/2014/main" id="{20E14305-91E6-4C01-B813-6F2E9C9ED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58</xdr:row>
      <xdr:rowOff>0</xdr:rowOff>
    </xdr:from>
    <xdr:to>
      <xdr:col>9</xdr:col>
      <xdr:colOff>0</xdr:colOff>
      <xdr:row>72</xdr:row>
      <xdr:rowOff>76200</xdr:rowOff>
    </xdr:to>
    <xdr:graphicFrame macro="">
      <xdr:nvGraphicFramePr>
        <xdr:cNvPr id="5" name="Gráfico 4">
          <a:extLst>
            <a:ext uri="{FF2B5EF4-FFF2-40B4-BE49-F238E27FC236}">
              <a16:creationId xmlns:a16="http://schemas.microsoft.com/office/drawing/2014/main" id="{1F0E0A1F-0B30-4347-9B43-87BF5E13D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80</xdr:row>
      <xdr:rowOff>0</xdr:rowOff>
    </xdr:from>
    <xdr:to>
      <xdr:col>9</xdr:col>
      <xdr:colOff>0</xdr:colOff>
      <xdr:row>94</xdr:row>
      <xdr:rowOff>76200</xdr:rowOff>
    </xdr:to>
    <xdr:graphicFrame macro="">
      <xdr:nvGraphicFramePr>
        <xdr:cNvPr id="6" name="Gráfico 5">
          <a:extLst>
            <a:ext uri="{FF2B5EF4-FFF2-40B4-BE49-F238E27FC236}">
              <a16:creationId xmlns:a16="http://schemas.microsoft.com/office/drawing/2014/main" id="{0369FC65-4D3F-4C0F-8C05-1C73D241A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101</xdr:row>
      <xdr:rowOff>0</xdr:rowOff>
    </xdr:from>
    <xdr:to>
      <xdr:col>9</xdr:col>
      <xdr:colOff>0</xdr:colOff>
      <xdr:row>115</xdr:row>
      <xdr:rowOff>76200</xdr:rowOff>
    </xdr:to>
    <xdr:graphicFrame macro="">
      <xdr:nvGraphicFramePr>
        <xdr:cNvPr id="7" name="Gráfico 6">
          <a:extLst>
            <a:ext uri="{FF2B5EF4-FFF2-40B4-BE49-F238E27FC236}">
              <a16:creationId xmlns:a16="http://schemas.microsoft.com/office/drawing/2014/main" id="{71771115-B04F-4604-A1E5-233EEB221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117</xdr:row>
      <xdr:rowOff>0</xdr:rowOff>
    </xdr:from>
    <xdr:to>
      <xdr:col>9</xdr:col>
      <xdr:colOff>0</xdr:colOff>
      <xdr:row>131</xdr:row>
      <xdr:rowOff>76200</xdr:rowOff>
    </xdr:to>
    <xdr:graphicFrame macro="">
      <xdr:nvGraphicFramePr>
        <xdr:cNvPr id="8" name="Gráfico 7">
          <a:extLst>
            <a:ext uri="{FF2B5EF4-FFF2-40B4-BE49-F238E27FC236}">
              <a16:creationId xmlns:a16="http://schemas.microsoft.com/office/drawing/2014/main" id="{ABBF9A8E-D6C0-4A9B-9A89-A99284C75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133</xdr:row>
      <xdr:rowOff>0</xdr:rowOff>
    </xdr:from>
    <xdr:to>
      <xdr:col>9</xdr:col>
      <xdr:colOff>0</xdr:colOff>
      <xdr:row>147</xdr:row>
      <xdr:rowOff>76200</xdr:rowOff>
    </xdr:to>
    <xdr:graphicFrame macro="">
      <xdr:nvGraphicFramePr>
        <xdr:cNvPr id="9" name="Gráfico 8">
          <a:extLst>
            <a:ext uri="{FF2B5EF4-FFF2-40B4-BE49-F238E27FC236}">
              <a16:creationId xmlns:a16="http://schemas.microsoft.com/office/drawing/2014/main" id="{0AB5054A-4DE9-4864-A2B3-643189EC8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0</xdr:colOff>
      <xdr:row>148</xdr:row>
      <xdr:rowOff>0</xdr:rowOff>
    </xdr:from>
    <xdr:to>
      <xdr:col>9</xdr:col>
      <xdr:colOff>0</xdr:colOff>
      <xdr:row>162</xdr:row>
      <xdr:rowOff>76200</xdr:rowOff>
    </xdr:to>
    <xdr:graphicFrame macro="">
      <xdr:nvGraphicFramePr>
        <xdr:cNvPr id="10" name="Gráfico 9">
          <a:extLst>
            <a:ext uri="{FF2B5EF4-FFF2-40B4-BE49-F238E27FC236}">
              <a16:creationId xmlns:a16="http://schemas.microsoft.com/office/drawing/2014/main" id="{FC8B379C-3A52-4251-931C-60BF60866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0</xdr:colOff>
      <xdr:row>163</xdr:row>
      <xdr:rowOff>0</xdr:rowOff>
    </xdr:from>
    <xdr:to>
      <xdr:col>9</xdr:col>
      <xdr:colOff>0</xdr:colOff>
      <xdr:row>177</xdr:row>
      <xdr:rowOff>76200</xdr:rowOff>
    </xdr:to>
    <xdr:graphicFrame macro="">
      <xdr:nvGraphicFramePr>
        <xdr:cNvPr id="11" name="Gráfico 10">
          <a:extLst>
            <a:ext uri="{FF2B5EF4-FFF2-40B4-BE49-F238E27FC236}">
              <a16:creationId xmlns:a16="http://schemas.microsoft.com/office/drawing/2014/main" id="{3E6C9F69-7EA6-4E37-9117-FC0DBA122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179</xdr:row>
      <xdr:rowOff>0</xdr:rowOff>
    </xdr:from>
    <xdr:to>
      <xdr:col>9</xdr:col>
      <xdr:colOff>0</xdr:colOff>
      <xdr:row>193</xdr:row>
      <xdr:rowOff>76200</xdr:rowOff>
    </xdr:to>
    <xdr:graphicFrame macro="">
      <xdr:nvGraphicFramePr>
        <xdr:cNvPr id="12" name="Gráfico 11">
          <a:extLst>
            <a:ext uri="{FF2B5EF4-FFF2-40B4-BE49-F238E27FC236}">
              <a16:creationId xmlns:a16="http://schemas.microsoft.com/office/drawing/2014/main" id="{C606FE4C-E828-4B31-BED0-5C0790B92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0</xdr:colOff>
      <xdr:row>196</xdr:row>
      <xdr:rowOff>0</xdr:rowOff>
    </xdr:from>
    <xdr:to>
      <xdr:col>9</xdr:col>
      <xdr:colOff>0</xdr:colOff>
      <xdr:row>210</xdr:row>
      <xdr:rowOff>76200</xdr:rowOff>
    </xdr:to>
    <xdr:graphicFrame macro="">
      <xdr:nvGraphicFramePr>
        <xdr:cNvPr id="13" name="Gráfico 12">
          <a:extLst>
            <a:ext uri="{FF2B5EF4-FFF2-40B4-BE49-F238E27FC236}">
              <a16:creationId xmlns:a16="http://schemas.microsoft.com/office/drawing/2014/main" id="{67ED1725-0248-405D-8FD3-00CFEEB76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212</xdr:row>
      <xdr:rowOff>0</xdr:rowOff>
    </xdr:from>
    <xdr:to>
      <xdr:col>9</xdr:col>
      <xdr:colOff>0</xdr:colOff>
      <xdr:row>226</xdr:row>
      <xdr:rowOff>76200</xdr:rowOff>
    </xdr:to>
    <xdr:graphicFrame macro="">
      <xdr:nvGraphicFramePr>
        <xdr:cNvPr id="14" name="Gráfico 13">
          <a:extLst>
            <a:ext uri="{FF2B5EF4-FFF2-40B4-BE49-F238E27FC236}">
              <a16:creationId xmlns:a16="http://schemas.microsoft.com/office/drawing/2014/main" id="{80143383-181A-435F-A8DA-3100F04DA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228</xdr:row>
      <xdr:rowOff>0</xdr:rowOff>
    </xdr:from>
    <xdr:to>
      <xdr:col>9</xdr:col>
      <xdr:colOff>0</xdr:colOff>
      <xdr:row>242</xdr:row>
      <xdr:rowOff>76200</xdr:rowOff>
    </xdr:to>
    <xdr:graphicFrame macro="">
      <xdr:nvGraphicFramePr>
        <xdr:cNvPr id="15" name="Gráfico 14">
          <a:extLst>
            <a:ext uri="{FF2B5EF4-FFF2-40B4-BE49-F238E27FC236}">
              <a16:creationId xmlns:a16="http://schemas.microsoft.com/office/drawing/2014/main" id="{3C9055EF-1977-4471-8E15-66D761E30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0</xdr:colOff>
      <xdr:row>243</xdr:row>
      <xdr:rowOff>0</xdr:rowOff>
    </xdr:from>
    <xdr:to>
      <xdr:col>9</xdr:col>
      <xdr:colOff>0</xdr:colOff>
      <xdr:row>257</xdr:row>
      <xdr:rowOff>76200</xdr:rowOff>
    </xdr:to>
    <xdr:graphicFrame macro="">
      <xdr:nvGraphicFramePr>
        <xdr:cNvPr id="17" name="Gráfico 16">
          <a:extLst>
            <a:ext uri="{FF2B5EF4-FFF2-40B4-BE49-F238E27FC236}">
              <a16:creationId xmlns:a16="http://schemas.microsoft.com/office/drawing/2014/main" id="{30D26B1D-FF12-4580-BFC6-5D8F818FE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11906</xdr:colOff>
      <xdr:row>259</xdr:row>
      <xdr:rowOff>0</xdr:rowOff>
    </xdr:from>
    <xdr:to>
      <xdr:col>9</xdr:col>
      <xdr:colOff>11906</xdr:colOff>
      <xdr:row>273</xdr:row>
      <xdr:rowOff>76200</xdr:rowOff>
    </xdr:to>
    <xdr:graphicFrame macro="">
      <xdr:nvGraphicFramePr>
        <xdr:cNvPr id="18" name="Gráfico 17">
          <a:extLst>
            <a:ext uri="{FF2B5EF4-FFF2-40B4-BE49-F238E27FC236}">
              <a16:creationId xmlns:a16="http://schemas.microsoft.com/office/drawing/2014/main" id="{4ECC4AFD-C8E9-4A7A-994A-7411D88EE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0</xdr:colOff>
      <xdr:row>275</xdr:row>
      <xdr:rowOff>0</xdr:rowOff>
    </xdr:from>
    <xdr:to>
      <xdr:col>9</xdr:col>
      <xdr:colOff>0</xdr:colOff>
      <xdr:row>289</xdr:row>
      <xdr:rowOff>76200</xdr:rowOff>
    </xdr:to>
    <xdr:graphicFrame macro="">
      <xdr:nvGraphicFramePr>
        <xdr:cNvPr id="19" name="Gráfico 18">
          <a:extLst>
            <a:ext uri="{FF2B5EF4-FFF2-40B4-BE49-F238E27FC236}">
              <a16:creationId xmlns:a16="http://schemas.microsoft.com/office/drawing/2014/main" id="{3B21355F-CC48-4C51-BFB8-0C21A47C1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11905</xdr:colOff>
      <xdr:row>298</xdr:row>
      <xdr:rowOff>166687</xdr:rowOff>
    </xdr:from>
    <xdr:to>
      <xdr:col>9</xdr:col>
      <xdr:colOff>11905</xdr:colOff>
      <xdr:row>313</xdr:row>
      <xdr:rowOff>52387</xdr:rowOff>
    </xdr:to>
    <xdr:graphicFrame macro="">
      <xdr:nvGraphicFramePr>
        <xdr:cNvPr id="20" name="Gráfico 19">
          <a:extLst>
            <a:ext uri="{FF2B5EF4-FFF2-40B4-BE49-F238E27FC236}">
              <a16:creationId xmlns:a16="http://schemas.microsoft.com/office/drawing/2014/main" id="{46FA3E52-8569-4649-AD28-6BC57F016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219075</xdr:colOff>
      <xdr:row>321</xdr:row>
      <xdr:rowOff>95250</xdr:rowOff>
    </xdr:from>
    <xdr:to>
      <xdr:col>10</xdr:col>
      <xdr:colOff>219075</xdr:colOff>
      <xdr:row>335</xdr:row>
      <xdr:rowOff>171450</xdr:rowOff>
    </xdr:to>
    <xdr:graphicFrame macro="">
      <xdr:nvGraphicFramePr>
        <xdr:cNvPr id="25" name="Gráfico 24">
          <a:extLst>
            <a:ext uri="{FF2B5EF4-FFF2-40B4-BE49-F238E27FC236}">
              <a16:creationId xmlns:a16="http://schemas.microsoft.com/office/drawing/2014/main" id="{30D6B1B1-EC5A-4FE3-BDA3-D7A03C6A6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219075</xdr:colOff>
      <xdr:row>337</xdr:row>
      <xdr:rowOff>9525</xdr:rowOff>
    </xdr:from>
    <xdr:to>
      <xdr:col>10</xdr:col>
      <xdr:colOff>219075</xdr:colOff>
      <xdr:row>351</xdr:row>
      <xdr:rowOff>85725</xdr:rowOff>
    </xdr:to>
    <xdr:graphicFrame macro="">
      <xdr:nvGraphicFramePr>
        <xdr:cNvPr id="21" name="Gráfico 20">
          <a:extLst>
            <a:ext uri="{FF2B5EF4-FFF2-40B4-BE49-F238E27FC236}">
              <a16:creationId xmlns:a16="http://schemas.microsoft.com/office/drawing/2014/main" id="{2A737C67-6FE9-44ED-8631-3EC8182B5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238125</xdr:colOff>
      <xdr:row>352</xdr:row>
      <xdr:rowOff>19050</xdr:rowOff>
    </xdr:from>
    <xdr:to>
      <xdr:col>10</xdr:col>
      <xdr:colOff>238125</xdr:colOff>
      <xdr:row>366</xdr:row>
      <xdr:rowOff>95250</xdr:rowOff>
    </xdr:to>
    <xdr:graphicFrame macro="">
      <xdr:nvGraphicFramePr>
        <xdr:cNvPr id="22" name="Gráfico 21">
          <a:extLst>
            <a:ext uri="{FF2B5EF4-FFF2-40B4-BE49-F238E27FC236}">
              <a16:creationId xmlns:a16="http://schemas.microsoft.com/office/drawing/2014/main" id="{E8573E3E-3342-44D0-AEA5-6AFB8E6E0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123825</xdr:colOff>
      <xdr:row>366</xdr:row>
      <xdr:rowOff>171450</xdr:rowOff>
    </xdr:from>
    <xdr:to>
      <xdr:col>11</xdr:col>
      <xdr:colOff>123825</xdr:colOff>
      <xdr:row>381</xdr:row>
      <xdr:rowOff>57150</xdr:rowOff>
    </xdr:to>
    <xdr:graphicFrame macro="">
      <xdr:nvGraphicFramePr>
        <xdr:cNvPr id="23" name="Gráfico 22">
          <a:extLst>
            <a:ext uri="{FF2B5EF4-FFF2-40B4-BE49-F238E27FC236}">
              <a16:creationId xmlns:a16="http://schemas.microsoft.com/office/drawing/2014/main" id="{8A0CA4E6-356B-494E-B3E2-30228FCB9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xdr:col>
      <xdr:colOff>142875</xdr:colOff>
      <xdr:row>382</xdr:row>
      <xdr:rowOff>9525</xdr:rowOff>
    </xdr:from>
    <xdr:to>
      <xdr:col>11</xdr:col>
      <xdr:colOff>142875</xdr:colOff>
      <xdr:row>396</xdr:row>
      <xdr:rowOff>85725</xdr:rowOff>
    </xdr:to>
    <xdr:graphicFrame macro="">
      <xdr:nvGraphicFramePr>
        <xdr:cNvPr id="24" name="Gráfico 23">
          <a:extLst>
            <a:ext uri="{FF2B5EF4-FFF2-40B4-BE49-F238E27FC236}">
              <a16:creationId xmlns:a16="http://schemas.microsoft.com/office/drawing/2014/main" id="{5091C455-2D2D-421D-9D65-53FD052F9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xdr:col>
      <xdr:colOff>161925</xdr:colOff>
      <xdr:row>397</xdr:row>
      <xdr:rowOff>47625</xdr:rowOff>
    </xdr:from>
    <xdr:to>
      <xdr:col>11</xdr:col>
      <xdr:colOff>161925</xdr:colOff>
      <xdr:row>411</xdr:row>
      <xdr:rowOff>123825</xdr:rowOff>
    </xdr:to>
    <xdr:graphicFrame macro="">
      <xdr:nvGraphicFramePr>
        <xdr:cNvPr id="26" name="Gráfico 25">
          <a:extLst>
            <a:ext uri="{FF2B5EF4-FFF2-40B4-BE49-F238E27FC236}">
              <a16:creationId xmlns:a16="http://schemas.microsoft.com/office/drawing/2014/main" id="{B2619CCF-D3BC-49B1-A21F-5A7CB2C52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3</xdr:col>
      <xdr:colOff>742950</xdr:colOff>
      <xdr:row>413</xdr:row>
      <xdr:rowOff>28575</xdr:rowOff>
    </xdr:from>
    <xdr:to>
      <xdr:col>9</xdr:col>
      <xdr:colOff>742950</xdr:colOff>
      <xdr:row>427</xdr:row>
      <xdr:rowOff>104775</xdr:rowOff>
    </xdr:to>
    <xdr:graphicFrame macro="">
      <xdr:nvGraphicFramePr>
        <xdr:cNvPr id="27" name="Gráfico 26">
          <a:extLst>
            <a:ext uri="{FF2B5EF4-FFF2-40B4-BE49-F238E27FC236}">
              <a16:creationId xmlns:a16="http://schemas.microsoft.com/office/drawing/2014/main" id="{CD406CDD-48F3-42FF-A2DF-FA243341B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0</xdr:colOff>
      <xdr:row>429</xdr:row>
      <xdr:rowOff>0</xdr:rowOff>
    </xdr:from>
    <xdr:to>
      <xdr:col>10</xdr:col>
      <xdr:colOff>0</xdr:colOff>
      <xdr:row>443</xdr:row>
      <xdr:rowOff>76200</xdr:rowOff>
    </xdr:to>
    <xdr:graphicFrame macro="">
      <xdr:nvGraphicFramePr>
        <xdr:cNvPr id="28" name="Gráfico 27">
          <a:extLst>
            <a:ext uri="{FF2B5EF4-FFF2-40B4-BE49-F238E27FC236}">
              <a16:creationId xmlns:a16="http://schemas.microsoft.com/office/drawing/2014/main" id="{499CCD5C-6A89-438C-9FDE-8A95D9EFB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0</xdr:colOff>
      <xdr:row>444</xdr:row>
      <xdr:rowOff>28575</xdr:rowOff>
    </xdr:from>
    <xdr:to>
      <xdr:col>10</xdr:col>
      <xdr:colOff>0</xdr:colOff>
      <xdr:row>458</xdr:row>
      <xdr:rowOff>104775</xdr:rowOff>
    </xdr:to>
    <xdr:graphicFrame macro="">
      <xdr:nvGraphicFramePr>
        <xdr:cNvPr id="29" name="Gráfico 28">
          <a:extLst>
            <a:ext uri="{FF2B5EF4-FFF2-40B4-BE49-F238E27FC236}">
              <a16:creationId xmlns:a16="http://schemas.microsoft.com/office/drawing/2014/main" id="{F2153A76-A28A-44E5-AA7F-99775D6B6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657225</xdr:colOff>
      <xdr:row>458</xdr:row>
      <xdr:rowOff>104775</xdr:rowOff>
    </xdr:from>
    <xdr:to>
      <xdr:col>10</xdr:col>
      <xdr:colOff>657225</xdr:colOff>
      <xdr:row>472</xdr:row>
      <xdr:rowOff>180975</xdr:rowOff>
    </xdr:to>
    <xdr:graphicFrame macro="">
      <xdr:nvGraphicFramePr>
        <xdr:cNvPr id="30" name="Gráfico 29">
          <a:extLst>
            <a:ext uri="{FF2B5EF4-FFF2-40B4-BE49-F238E27FC236}">
              <a16:creationId xmlns:a16="http://schemas.microsoft.com/office/drawing/2014/main" id="{3957B5F3-BCD6-4CE7-A669-537127464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xdr:col>
      <xdr:colOff>542925</xdr:colOff>
      <xdr:row>461</xdr:row>
      <xdr:rowOff>133350</xdr:rowOff>
    </xdr:from>
    <xdr:to>
      <xdr:col>11</xdr:col>
      <xdr:colOff>542925</xdr:colOff>
      <xdr:row>476</xdr:row>
      <xdr:rowOff>19050</xdr:rowOff>
    </xdr:to>
    <xdr:graphicFrame macro="">
      <xdr:nvGraphicFramePr>
        <xdr:cNvPr id="31" name="Gráfico 30">
          <a:extLst>
            <a:ext uri="{FF2B5EF4-FFF2-40B4-BE49-F238E27FC236}">
              <a16:creationId xmlns:a16="http://schemas.microsoft.com/office/drawing/2014/main" id="{32A9A909-E775-4DB9-BBF8-3E0874FB7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6</xdr:col>
      <xdr:colOff>466725</xdr:colOff>
      <xdr:row>464</xdr:row>
      <xdr:rowOff>152400</xdr:rowOff>
    </xdr:from>
    <xdr:to>
      <xdr:col>12</xdr:col>
      <xdr:colOff>466725</xdr:colOff>
      <xdr:row>479</xdr:row>
      <xdr:rowOff>38100</xdr:rowOff>
    </xdr:to>
    <xdr:graphicFrame macro="">
      <xdr:nvGraphicFramePr>
        <xdr:cNvPr id="32" name="Gráfico 31">
          <a:extLst>
            <a:ext uri="{FF2B5EF4-FFF2-40B4-BE49-F238E27FC236}">
              <a16:creationId xmlns:a16="http://schemas.microsoft.com/office/drawing/2014/main" id="{DBFD48F7-D84F-4A5A-8858-71A33751F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xdr:col>
      <xdr:colOff>371475</xdr:colOff>
      <xdr:row>485</xdr:row>
      <xdr:rowOff>0</xdr:rowOff>
    </xdr:from>
    <xdr:to>
      <xdr:col>9</xdr:col>
      <xdr:colOff>371475</xdr:colOff>
      <xdr:row>499</xdr:row>
      <xdr:rowOff>76200</xdr:rowOff>
    </xdr:to>
    <xdr:graphicFrame macro="">
      <xdr:nvGraphicFramePr>
        <xdr:cNvPr id="33" name="Gráfico 32">
          <a:extLst>
            <a:ext uri="{FF2B5EF4-FFF2-40B4-BE49-F238E27FC236}">
              <a16:creationId xmlns:a16="http://schemas.microsoft.com/office/drawing/2014/main" id="{06FF8E8A-AB74-44D1-8E8A-86B3961E8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371475</xdr:colOff>
      <xdr:row>488</xdr:row>
      <xdr:rowOff>133350</xdr:rowOff>
    </xdr:from>
    <xdr:to>
      <xdr:col>10</xdr:col>
      <xdr:colOff>371475</xdr:colOff>
      <xdr:row>503</xdr:row>
      <xdr:rowOff>19050</xdr:rowOff>
    </xdr:to>
    <xdr:graphicFrame macro="">
      <xdr:nvGraphicFramePr>
        <xdr:cNvPr id="34" name="Gráfico 33">
          <a:extLst>
            <a:ext uri="{FF2B5EF4-FFF2-40B4-BE49-F238E27FC236}">
              <a16:creationId xmlns:a16="http://schemas.microsoft.com/office/drawing/2014/main" id="{C6D96312-DB67-418E-B92A-F44CBDEDE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xdr:col>
      <xdr:colOff>571500</xdr:colOff>
      <xdr:row>507</xdr:row>
      <xdr:rowOff>28575</xdr:rowOff>
    </xdr:from>
    <xdr:to>
      <xdr:col>9</xdr:col>
      <xdr:colOff>571500</xdr:colOff>
      <xdr:row>521</xdr:row>
      <xdr:rowOff>104775</xdr:rowOff>
    </xdr:to>
    <xdr:graphicFrame macro="">
      <xdr:nvGraphicFramePr>
        <xdr:cNvPr id="35" name="Gráfico 34">
          <a:extLst>
            <a:ext uri="{FF2B5EF4-FFF2-40B4-BE49-F238E27FC236}">
              <a16:creationId xmlns:a16="http://schemas.microsoft.com/office/drawing/2014/main" id="{9E163601-CBAE-482B-8721-212F2744F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xdr:col>
      <xdr:colOff>476250</xdr:colOff>
      <xdr:row>512</xdr:row>
      <xdr:rowOff>57150</xdr:rowOff>
    </xdr:from>
    <xdr:to>
      <xdr:col>10</xdr:col>
      <xdr:colOff>476250</xdr:colOff>
      <xdr:row>526</xdr:row>
      <xdr:rowOff>133350</xdr:rowOff>
    </xdr:to>
    <xdr:graphicFrame macro="">
      <xdr:nvGraphicFramePr>
        <xdr:cNvPr id="36" name="Gráfico 35">
          <a:extLst>
            <a:ext uri="{FF2B5EF4-FFF2-40B4-BE49-F238E27FC236}">
              <a16:creationId xmlns:a16="http://schemas.microsoft.com/office/drawing/2014/main" id="{9407ACE0-C45C-4CCF-A6B5-BF2C7BA87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752475</xdr:colOff>
      <xdr:row>0</xdr:row>
      <xdr:rowOff>19050</xdr:rowOff>
    </xdr:from>
    <xdr:to>
      <xdr:col>8</xdr:col>
      <xdr:colOff>752475</xdr:colOff>
      <xdr:row>14</xdr:row>
      <xdr:rowOff>95250</xdr:rowOff>
    </xdr:to>
    <xdr:graphicFrame macro="">
      <xdr:nvGraphicFramePr>
        <xdr:cNvPr id="2" name="Gráfico 1">
          <a:extLst>
            <a:ext uri="{FF2B5EF4-FFF2-40B4-BE49-F238E27FC236}">
              <a16:creationId xmlns:a16="http://schemas.microsoft.com/office/drawing/2014/main" id="{D6D378CA-E64B-4DA7-A63A-BFE7DC705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15</xdr:row>
      <xdr:rowOff>0</xdr:rowOff>
    </xdr:from>
    <xdr:to>
      <xdr:col>9</xdr:col>
      <xdr:colOff>0</xdr:colOff>
      <xdr:row>29</xdr:row>
      <xdr:rowOff>76200</xdr:rowOff>
    </xdr:to>
    <xdr:graphicFrame macro="">
      <xdr:nvGraphicFramePr>
        <xdr:cNvPr id="3" name="Gráfico 2">
          <a:extLst>
            <a:ext uri="{FF2B5EF4-FFF2-40B4-BE49-F238E27FC236}">
              <a16:creationId xmlns:a16="http://schemas.microsoft.com/office/drawing/2014/main" id="{E80865B5-E72C-4F16-9DED-5DF6BBAAD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29</xdr:row>
      <xdr:rowOff>180975</xdr:rowOff>
    </xdr:from>
    <xdr:to>
      <xdr:col>9</xdr:col>
      <xdr:colOff>76200</xdr:colOff>
      <xdr:row>44</xdr:row>
      <xdr:rowOff>66675</xdr:rowOff>
    </xdr:to>
    <xdr:graphicFrame macro="">
      <xdr:nvGraphicFramePr>
        <xdr:cNvPr id="4" name="Gráfico 3">
          <a:extLst>
            <a:ext uri="{FF2B5EF4-FFF2-40B4-BE49-F238E27FC236}">
              <a16:creationId xmlns:a16="http://schemas.microsoft.com/office/drawing/2014/main" id="{B3924E0A-F64B-42BA-A65C-68D1D10FC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57150</xdr:colOff>
      <xdr:row>44</xdr:row>
      <xdr:rowOff>133350</xdr:rowOff>
    </xdr:from>
    <xdr:to>
      <xdr:col>12</xdr:col>
      <xdr:colOff>57150</xdr:colOff>
      <xdr:row>59</xdr:row>
      <xdr:rowOff>19050</xdr:rowOff>
    </xdr:to>
    <xdr:graphicFrame macro="">
      <xdr:nvGraphicFramePr>
        <xdr:cNvPr id="5" name="Gráfico 4">
          <a:extLst>
            <a:ext uri="{FF2B5EF4-FFF2-40B4-BE49-F238E27FC236}">
              <a16:creationId xmlns:a16="http://schemas.microsoft.com/office/drawing/2014/main" id="{5E1F023F-974D-4849-876E-965854067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60</xdr:row>
      <xdr:rowOff>0</xdr:rowOff>
    </xdr:from>
    <xdr:to>
      <xdr:col>8</xdr:col>
      <xdr:colOff>0</xdr:colOff>
      <xdr:row>74</xdr:row>
      <xdr:rowOff>76200</xdr:rowOff>
    </xdr:to>
    <xdr:graphicFrame macro="">
      <xdr:nvGraphicFramePr>
        <xdr:cNvPr id="8" name="Gráfico 7">
          <a:extLst>
            <a:ext uri="{FF2B5EF4-FFF2-40B4-BE49-F238E27FC236}">
              <a16:creationId xmlns:a16="http://schemas.microsoft.com/office/drawing/2014/main" id="{8E47127C-8F18-446D-A2FB-E8FDF3D2C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76</xdr:row>
      <xdr:rowOff>0</xdr:rowOff>
    </xdr:from>
    <xdr:to>
      <xdr:col>8</xdr:col>
      <xdr:colOff>0</xdr:colOff>
      <xdr:row>90</xdr:row>
      <xdr:rowOff>76200</xdr:rowOff>
    </xdr:to>
    <xdr:graphicFrame macro="">
      <xdr:nvGraphicFramePr>
        <xdr:cNvPr id="9" name="Gráfico 8">
          <a:extLst>
            <a:ext uri="{FF2B5EF4-FFF2-40B4-BE49-F238E27FC236}">
              <a16:creationId xmlns:a16="http://schemas.microsoft.com/office/drawing/2014/main" id="{6745F686-ABFB-468E-8F68-51365DFB7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92</xdr:row>
      <xdr:rowOff>0</xdr:rowOff>
    </xdr:from>
    <xdr:to>
      <xdr:col>8</xdr:col>
      <xdr:colOff>0</xdr:colOff>
      <xdr:row>106</xdr:row>
      <xdr:rowOff>76200</xdr:rowOff>
    </xdr:to>
    <xdr:graphicFrame macro="">
      <xdr:nvGraphicFramePr>
        <xdr:cNvPr id="10" name="Gráfico 9">
          <a:extLst>
            <a:ext uri="{FF2B5EF4-FFF2-40B4-BE49-F238E27FC236}">
              <a16:creationId xmlns:a16="http://schemas.microsoft.com/office/drawing/2014/main" id="{99BB3A1F-E5C5-4C3E-AF8D-2CBC81D843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152400</xdr:colOff>
      <xdr:row>108</xdr:row>
      <xdr:rowOff>9525</xdr:rowOff>
    </xdr:from>
    <xdr:to>
      <xdr:col>12</xdr:col>
      <xdr:colOff>152400</xdr:colOff>
      <xdr:row>122</xdr:row>
      <xdr:rowOff>85725</xdr:rowOff>
    </xdr:to>
    <xdr:graphicFrame macro="">
      <xdr:nvGraphicFramePr>
        <xdr:cNvPr id="11" name="Gráfico 10">
          <a:extLst>
            <a:ext uri="{FF2B5EF4-FFF2-40B4-BE49-F238E27FC236}">
              <a16:creationId xmlns:a16="http://schemas.microsoft.com/office/drawing/2014/main" id="{063EE4F2-E348-489D-AC35-4D84E171A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0</xdr:colOff>
      <xdr:row>124</xdr:row>
      <xdr:rowOff>0</xdr:rowOff>
    </xdr:from>
    <xdr:to>
      <xdr:col>8</xdr:col>
      <xdr:colOff>0</xdr:colOff>
      <xdr:row>138</xdr:row>
      <xdr:rowOff>76200</xdr:rowOff>
    </xdr:to>
    <xdr:graphicFrame macro="">
      <xdr:nvGraphicFramePr>
        <xdr:cNvPr id="12" name="Gráfico 11">
          <a:extLst>
            <a:ext uri="{FF2B5EF4-FFF2-40B4-BE49-F238E27FC236}">
              <a16:creationId xmlns:a16="http://schemas.microsoft.com/office/drawing/2014/main" id="{A15463EF-8E6F-4340-92FD-1CDB4CAF4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0</xdr:colOff>
      <xdr:row>139</xdr:row>
      <xdr:rowOff>0</xdr:rowOff>
    </xdr:from>
    <xdr:to>
      <xdr:col>8</xdr:col>
      <xdr:colOff>0</xdr:colOff>
      <xdr:row>153</xdr:row>
      <xdr:rowOff>76200</xdr:rowOff>
    </xdr:to>
    <xdr:graphicFrame macro="">
      <xdr:nvGraphicFramePr>
        <xdr:cNvPr id="13" name="Gráfico 12">
          <a:extLst>
            <a:ext uri="{FF2B5EF4-FFF2-40B4-BE49-F238E27FC236}">
              <a16:creationId xmlns:a16="http://schemas.microsoft.com/office/drawing/2014/main" id="{388D1439-416D-42A4-A9FB-A96D49BEB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104775</xdr:colOff>
      <xdr:row>154</xdr:row>
      <xdr:rowOff>0</xdr:rowOff>
    </xdr:from>
    <xdr:to>
      <xdr:col>12</xdr:col>
      <xdr:colOff>104775</xdr:colOff>
      <xdr:row>168</xdr:row>
      <xdr:rowOff>76200</xdr:rowOff>
    </xdr:to>
    <xdr:graphicFrame macro="">
      <xdr:nvGraphicFramePr>
        <xdr:cNvPr id="14" name="Gráfico 13">
          <a:extLst>
            <a:ext uri="{FF2B5EF4-FFF2-40B4-BE49-F238E27FC236}">
              <a16:creationId xmlns:a16="http://schemas.microsoft.com/office/drawing/2014/main" id="{A9C9481A-00DB-4E77-AC2A-C96D1A9BC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0</xdr:colOff>
      <xdr:row>169</xdr:row>
      <xdr:rowOff>0</xdr:rowOff>
    </xdr:from>
    <xdr:to>
      <xdr:col>8</xdr:col>
      <xdr:colOff>0</xdr:colOff>
      <xdr:row>183</xdr:row>
      <xdr:rowOff>76200</xdr:rowOff>
    </xdr:to>
    <xdr:graphicFrame macro="">
      <xdr:nvGraphicFramePr>
        <xdr:cNvPr id="15" name="Gráfico 14">
          <a:extLst>
            <a:ext uri="{FF2B5EF4-FFF2-40B4-BE49-F238E27FC236}">
              <a16:creationId xmlns:a16="http://schemas.microsoft.com/office/drawing/2014/main" id="{3D07379D-F51C-4A30-B165-142E39784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0</xdr:colOff>
      <xdr:row>184</xdr:row>
      <xdr:rowOff>0</xdr:rowOff>
    </xdr:from>
    <xdr:to>
      <xdr:col>8</xdr:col>
      <xdr:colOff>0</xdr:colOff>
      <xdr:row>198</xdr:row>
      <xdr:rowOff>76200</xdr:rowOff>
    </xdr:to>
    <xdr:graphicFrame macro="">
      <xdr:nvGraphicFramePr>
        <xdr:cNvPr id="16" name="Gráfico 15">
          <a:extLst>
            <a:ext uri="{FF2B5EF4-FFF2-40B4-BE49-F238E27FC236}">
              <a16:creationId xmlns:a16="http://schemas.microsoft.com/office/drawing/2014/main" id="{2469356C-AC42-4AEA-A310-A9F85B0B9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0</xdr:colOff>
      <xdr:row>199</xdr:row>
      <xdr:rowOff>0</xdr:rowOff>
    </xdr:from>
    <xdr:to>
      <xdr:col>8</xdr:col>
      <xdr:colOff>0</xdr:colOff>
      <xdr:row>213</xdr:row>
      <xdr:rowOff>76200</xdr:rowOff>
    </xdr:to>
    <xdr:graphicFrame macro="">
      <xdr:nvGraphicFramePr>
        <xdr:cNvPr id="17" name="Gráfico 16">
          <a:extLst>
            <a:ext uri="{FF2B5EF4-FFF2-40B4-BE49-F238E27FC236}">
              <a16:creationId xmlns:a16="http://schemas.microsoft.com/office/drawing/2014/main" id="{B325FEBF-E9DE-4776-B859-3AC34B5DD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114300</xdr:colOff>
      <xdr:row>214</xdr:row>
      <xdr:rowOff>0</xdr:rowOff>
    </xdr:from>
    <xdr:to>
      <xdr:col>12</xdr:col>
      <xdr:colOff>114300</xdr:colOff>
      <xdr:row>228</xdr:row>
      <xdr:rowOff>76200</xdr:rowOff>
    </xdr:to>
    <xdr:graphicFrame macro="">
      <xdr:nvGraphicFramePr>
        <xdr:cNvPr id="18" name="Gráfico 17">
          <a:extLst>
            <a:ext uri="{FF2B5EF4-FFF2-40B4-BE49-F238E27FC236}">
              <a16:creationId xmlns:a16="http://schemas.microsoft.com/office/drawing/2014/main" id="{E803EC7E-2B0F-4619-8CDA-C0436EFE7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0</xdr:colOff>
      <xdr:row>230</xdr:row>
      <xdr:rowOff>0</xdr:rowOff>
    </xdr:from>
    <xdr:to>
      <xdr:col>8</xdr:col>
      <xdr:colOff>0</xdr:colOff>
      <xdr:row>244</xdr:row>
      <xdr:rowOff>76200</xdr:rowOff>
    </xdr:to>
    <xdr:graphicFrame macro="">
      <xdr:nvGraphicFramePr>
        <xdr:cNvPr id="19" name="Gráfico 18">
          <a:extLst>
            <a:ext uri="{FF2B5EF4-FFF2-40B4-BE49-F238E27FC236}">
              <a16:creationId xmlns:a16="http://schemas.microsoft.com/office/drawing/2014/main" id="{EDAF3744-0B4C-4266-B304-F467B4394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0</xdr:colOff>
      <xdr:row>246</xdr:row>
      <xdr:rowOff>0</xdr:rowOff>
    </xdr:from>
    <xdr:to>
      <xdr:col>8</xdr:col>
      <xdr:colOff>0</xdr:colOff>
      <xdr:row>260</xdr:row>
      <xdr:rowOff>76200</xdr:rowOff>
    </xdr:to>
    <xdr:graphicFrame macro="">
      <xdr:nvGraphicFramePr>
        <xdr:cNvPr id="20" name="Gráfico 19">
          <a:extLst>
            <a:ext uri="{FF2B5EF4-FFF2-40B4-BE49-F238E27FC236}">
              <a16:creationId xmlns:a16="http://schemas.microsoft.com/office/drawing/2014/main" id="{4C4EFC3A-1AD9-40EC-A10C-399DDDA80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0</xdr:colOff>
      <xdr:row>261</xdr:row>
      <xdr:rowOff>0</xdr:rowOff>
    </xdr:from>
    <xdr:to>
      <xdr:col>8</xdr:col>
      <xdr:colOff>0</xdr:colOff>
      <xdr:row>275</xdr:row>
      <xdr:rowOff>76200</xdr:rowOff>
    </xdr:to>
    <xdr:graphicFrame macro="">
      <xdr:nvGraphicFramePr>
        <xdr:cNvPr id="21" name="Gráfico 20">
          <a:extLst>
            <a:ext uri="{FF2B5EF4-FFF2-40B4-BE49-F238E27FC236}">
              <a16:creationId xmlns:a16="http://schemas.microsoft.com/office/drawing/2014/main" id="{1CEDA165-DC6A-4E41-B77D-E87E91342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0</xdr:colOff>
      <xdr:row>277</xdr:row>
      <xdr:rowOff>0</xdr:rowOff>
    </xdr:from>
    <xdr:to>
      <xdr:col>12</xdr:col>
      <xdr:colOff>0</xdr:colOff>
      <xdr:row>291</xdr:row>
      <xdr:rowOff>76200</xdr:rowOff>
    </xdr:to>
    <xdr:graphicFrame macro="">
      <xdr:nvGraphicFramePr>
        <xdr:cNvPr id="22" name="Gráfico 21">
          <a:extLst>
            <a:ext uri="{FF2B5EF4-FFF2-40B4-BE49-F238E27FC236}">
              <a16:creationId xmlns:a16="http://schemas.microsoft.com/office/drawing/2014/main" id="{D2783E3B-867D-4ACF-89DB-7DABAC625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0</xdr:colOff>
      <xdr:row>292</xdr:row>
      <xdr:rowOff>0</xdr:rowOff>
    </xdr:from>
    <xdr:to>
      <xdr:col>8</xdr:col>
      <xdr:colOff>0</xdr:colOff>
      <xdr:row>306</xdr:row>
      <xdr:rowOff>76200</xdr:rowOff>
    </xdr:to>
    <xdr:graphicFrame macro="">
      <xdr:nvGraphicFramePr>
        <xdr:cNvPr id="23" name="Gráfico 22">
          <a:extLst>
            <a:ext uri="{FF2B5EF4-FFF2-40B4-BE49-F238E27FC236}">
              <a16:creationId xmlns:a16="http://schemas.microsoft.com/office/drawing/2014/main" id="{43288BDD-521B-4104-93E5-AE2637B9D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0</xdr:colOff>
      <xdr:row>307</xdr:row>
      <xdr:rowOff>0</xdr:rowOff>
    </xdr:from>
    <xdr:to>
      <xdr:col>8</xdr:col>
      <xdr:colOff>0</xdr:colOff>
      <xdr:row>321</xdr:row>
      <xdr:rowOff>76200</xdr:rowOff>
    </xdr:to>
    <xdr:graphicFrame macro="">
      <xdr:nvGraphicFramePr>
        <xdr:cNvPr id="24" name="Gráfico 23">
          <a:extLst>
            <a:ext uri="{FF2B5EF4-FFF2-40B4-BE49-F238E27FC236}">
              <a16:creationId xmlns:a16="http://schemas.microsoft.com/office/drawing/2014/main" id="{4840E338-331D-4D2F-948A-11DD9E5442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0</xdr:colOff>
      <xdr:row>322</xdr:row>
      <xdr:rowOff>0</xdr:rowOff>
    </xdr:from>
    <xdr:to>
      <xdr:col>8</xdr:col>
      <xdr:colOff>0</xdr:colOff>
      <xdr:row>336</xdr:row>
      <xdr:rowOff>76200</xdr:rowOff>
    </xdr:to>
    <xdr:graphicFrame macro="">
      <xdr:nvGraphicFramePr>
        <xdr:cNvPr id="25" name="Gráfico 24">
          <a:extLst>
            <a:ext uri="{FF2B5EF4-FFF2-40B4-BE49-F238E27FC236}">
              <a16:creationId xmlns:a16="http://schemas.microsoft.com/office/drawing/2014/main" id="{DFE6A3EB-4DDA-4FEA-8C16-ECA06367C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6</xdr:col>
      <xdr:colOff>104775</xdr:colOff>
      <xdr:row>337</xdr:row>
      <xdr:rowOff>0</xdr:rowOff>
    </xdr:from>
    <xdr:to>
      <xdr:col>12</xdr:col>
      <xdr:colOff>104775</xdr:colOff>
      <xdr:row>351</xdr:row>
      <xdr:rowOff>76200</xdr:rowOff>
    </xdr:to>
    <xdr:graphicFrame macro="">
      <xdr:nvGraphicFramePr>
        <xdr:cNvPr id="26" name="Gráfico 25">
          <a:extLst>
            <a:ext uri="{FF2B5EF4-FFF2-40B4-BE49-F238E27FC236}">
              <a16:creationId xmlns:a16="http://schemas.microsoft.com/office/drawing/2014/main" id="{F63E3DE7-8668-4330-91ED-3A42BAD14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xdr:col>
      <xdr:colOff>0</xdr:colOff>
      <xdr:row>352</xdr:row>
      <xdr:rowOff>0</xdr:rowOff>
    </xdr:from>
    <xdr:to>
      <xdr:col>10</xdr:col>
      <xdr:colOff>0</xdr:colOff>
      <xdr:row>366</xdr:row>
      <xdr:rowOff>76200</xdr:rowOff>
    </xdr:to>
    <xdr:graphicFrame macro="">
      <xdr:nvGraphicFramePr>
        <xdr:cNvPr id="27" name="Gráfico 26">
          <a:extLst>
            <a:ext uri="{FF2B5EF4-FFF2-40B4-BE49-F238E27FC236}">
              <a16:creationId xmlns:a16="http://schemas.microsoft.com/office/drawing/2014/main" id="{35A833B9-B29C-4588-B74E-ACB234C5B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0</xdr:colOff>
      <xdr:row>367</xdr:row>
      <xdr:rowOff>0</xdr:rowOff>
    </xdr:from>
    <xdr:to>
      <xdr:col>10</xdr:col>
      <xdr:colOff>0</xdr:colOff>
      <xdr:row>381</xdr:row>
      <xdr:rowOff>76200</xdr:rowOff>
    </xdr:to>
    <xdr:graphicFrame macro="">
      <xdr:nvGraphicFramePr>
        <xdr:cNvPr id="28" name="Gráfico 27">
          <a:extLst>
            <a:ext uri="{FF2B5EF4-FFF2-40B4-BE49-F238E27FC236}">
              <a16:creationId xmlns:a16="http://schemas.microsoft.com/office/drawing/2014/main" id="{92D07D11-DD05-4136-8B9D-AF9FBE7C7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0</xdr:colOff>
      <xdr:row>382</xdr:row>
      <xdr:rowOff>0</xdr:rowOff>
    </xdr:from>
    <xdr:to>
      <xdr:col>10</xdr:col>
      <xdr:colOff>0</xdr:colOff>
      <xdr:row>396</xdr:row>
      <xdr:rowOff>76200</xdr:rowOff>
    </xdr:to>
    <xdr:graphicFrame macro="">
      <xdr:nvGraphicFramePr>
        <xdr:cNvPr id="30" name="Gráfico 29">
          <a:extLst>
            <a:ext uri="{FF2B5EF4-FFF2-40B4-BE49-F238E27FC236}">
              <a16:creationId xmlns:a16="http://schemas.microsoft.com/office/drawing/2014/main" id="{8B274371-6C09-4DAB-8B6C-250DAB156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0</xdr:colOff>
      <xdr:row>397</xdr:row>
      <xdr:rowOff>0</xdr:rowOff>
    </xdr:from>
    <xdr:to>
      <xdr:col>10</xdr:col>
      <xdr:colOff>0</xdr:colOff>
      <xdr:row>411</xdr:row>
      <xdr:rowOff>76200</xdr:rowOff>
    </xdr:to>
    <xdr:graphicFrame macro="">
      <xdr:nvGraphicFramePr>
        <xdr:cNvPr id="31" name="Gráfico 30">
          <a:extLst>
            <a:ext uri="{FF2B5EF4-FFF2-40B4-BE49-F238E27FC236}">
              <a16:creationId xmlns:a16="http://schemas.microsoft.com/office/drawing/2014/main" id="{71E684B5-43DF-4D3E-A329-D24133607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0</xdr:colOff>
      <xdr:row>413</xdr:row>
      <xdr:rowOff>0</xdr:rowOff>
    </xdr:from>
    <xdr:to>
      <xdr:col>10</xdr:col>
      <xdr:colOff>0</xdr:colOff>
      <xdr:row>427</xdr:row>
      <xdr:rowOff>76200</xdr:rowOff>
    </xdr:to>
    <xdr:graphicFrame macro="">
      <xdr:nvGraphicFramePr>
        <xdr:cNvPr id="32" name="Gráfico 31">
          <a:extLst>
            <a:ext uri="{FF2B5EF4-FFF2-40B4-BE49-F238E27FC236}">
              <a16:creationId xmlns:a16="http://schemas.microsoft.com/office/drawing/2014/main" id="{2CFAEB69-C9AE-40EA-935C-312E5168E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4</xdr:col>
      <xdr:colOff>0</xdr:colOff>
      <xdr:row>428</xdr:row>
      <xdr:rowOff>0</xdr:rowOff>
    </xdr:from>
    <xdr:to>
      <xdr:col>10</xdr:col>
      <xdr:colOff>0</xdr:colOff>
      <xdr:row>442</xdr:row>
      <xdr:rowOff>76200</xdr:rowOff>
    </xdr:to>
    <xdr:graphicFrame macro="">
      <xdr:nvGraphicFramePr>
        <xdr:cNvPr id="33" name="Gráfico 32">
          <a:extLst>
            <a:ext uri="{FF2B5EF4-FFF2-40B4-BE49-F238E27FC236}">
              <a16:creationId xmlns:a16="http://schemas.microsoft.com/office/drawing/2014/main" id="{6C4B32DA-3268-4017-963F-34F5F2A4E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4</xdr:col>
      <xdr:colOff>0</xdr:colOff>
      <xdr:row>443</xdr:row>
      <xdr:rowOff>0</xdr:rowOff>
    </xdr:from>
    <xdr:to>
      <xdr:col>10</xdr:col>
      <xdr:colOff>0</xdr:colOff>
      <xdr:row>457</xdr:row>
      <xdr:rowOff>76200</xdr:rowOff>
    </xdr:to>
    <xdr:graphicFrame macro="">
      <xdr:nvGraphicFramePr>
        <xdr:cNvPr id="34" name="Gráfico 33">
          <a:extLst>
            <a:ext uri="{FF2B5EF4-FFF2-40B4-BE49-F238E27FC236}">
              <a16:creationId xmlns:a16="http://schemas.microsoft.com/office/drawing/2014/main" id="{AD6D664F-6178-4A1E-9315-7388AE821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0</xdr:colOff>
      <xdr:row>458</xdr:row>
      <xdr:rowOff>0</xdr:rowOff>
    </xdr:from>
    <xdr:to>
      <xdr:col>10</xdr:col>
      <xdr:colOff>0</xdr:colOff>
      <xdr:row>472</xdr:row>
      <xdr:rowOff>76200</xdr:rowOff>
    </xdr:to>
    <xdr:graphicFrame macro="">
      <xdr:nvGraphicFramePr>
        <xdr:cNvPr id="35" name="Gráfico 34">
          <a:extLst>
            <a:ext uri="{FF2B5EF4-FFF2-40B4-BE49-F238E27FC236}">
              <a16:creationId xmlns:a16="http://schemas.microsoft.com/office/drawing/2014/main" id="{C5B9738A-E120-40A0-9225-E615DF7EB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0</xdr:colOff>
      <xdr:row>473</xdr:row>
      <xdr:rowOff>0</xdr:rowOff>
    </xdr:from>
    <xdr:to>
      <xdr:col>10</xdr:col>
      <xdr:colOff>0</xdr:colOff>
      <xdr:row>487</xdr:row>
      <xdr:rowOff>76200</xdr:rowOff>
    </xdr:to>
    <xdr:graphicFrame macro="">
      <xdr:nvGraphicFramePr>
        <xdr:cNvPr id="36" name="Gráfico 35">
          <a:extLst>
            <a:ext uri="{FF2B5EF4-FFF2-40B4-BE49-F238E27FC236}">
              <a16:creationId xmlns:a16="http://schemas.microsoft.com/office/drawing/2014/main" id="{61F8A387-43BA-4D78-B577-F5EB33FEC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xdr:col>
      <xdr:colOff>0</xdr:colOff>
      <xdr:row>488</xdr:row>
      <xdr:rowOff>0</xdr:rowOff>
    </xdr:from>
    <xdr:to>
      <xdr:col>10</xdr:col>
      <xdr:colOff>0</xdr:colOff>
      <xdr:row>502</xdr:row>
      <xdr:rowOff>76200</xdr:rowOff>
    </xdr:to>
    <xdr:graphicFrame macro="">
      <xdr:nvGraphicFramePr>
        <xdr:cNvPr id="37" name="Gráfico 36">
          <a:extLst>
            <a:ext uri="{FF2B5EF4-FFF2-40B4-BE49-F238E27FC236}">
              <a16:creationId xmlns:a16="http://schemas.microsoft.com/office/drawing/2014/main" id="{A6428D3D-9CCD-4A06-8B88-9DB96BFC7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xdr:col>
      <xdr:colOff>0</xdr:colOff>
      <xdr:row>504</xdr:row>
      <xdr:rowOff>0</xdr:rowOff>
    </xdr:from>
    <xdr:to>
      <xdr:col>8</xdr:col>
      <xdr:colOff>0</xdr:colOff>
      <xdr:row>519</xdr:row>
      <xdr:rowOff>76200</xdr:rowOff>
    </xdr:to>
    <xdr:graphicFrame macro="">
      <xdr:nvGraphicFramePr>
        <xdr:cNvPr id="38" name="Gráfico 37">
          <a:extLst>
            <a:ext uri="{FF2B5EF4-FFF2-40B4-BE49-F238E27FC236}">
              <a16:creationId xmlns:a16="http://schemas.microsoft.com/office/drawing/2014/main" id="{49C8AD5D-601B-4686-8535-4A50F16FE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2</xdr:col>
      <xdr:colOff>0</xdr:colOff>
      <xdr:row>520</xdr:row>
      <xdr:rowOff>0</xdr:rowOff>
    </xdr:from>
    <xdr:to>
      <xdr:col>8</xdr:col>
      <xdr:colOff>0</xdr:colOff>
      <xdr:row>535</xdr:row>
      <xdr:rowOff>76200</xdr:rowOff>
    </xdr:to>
    <xdr:graphicFrame macro="">
      <xdr:nvGraphicFramePr>
        <xdr:cNvPr id="39" name="Gráfico 38">
          <a:extLst>
            <a:ext uri="{FF2B5EF4-FFF2-40B4-BE49-F238E27FC236}">
              <a16:creationId xmlns:a16="http://schemas.microsoft.com/office/drawing/2014/main" id="{44F883D5-6B41-4104-BE77-3E70B8005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2</xdr:col>
      <xdr:colOff>0</xdr:colOff>
      <xdr:row>536</xdr:row>
      <xdr:rowOff>0</xdr:rowOff>
    </xdr:from>
    <xdr:to>
      <xdr:col>8</xdr:col>
      <xdr:colOff>0</xdr:colOff>
      <xdr:row>551</xdr:row>
      <xdr:rowOff>76200</xdr:rowOff>
    </xdr:to>
    <xdr:graphicFrame macro="">
      <xdr:nvGraphicFramePr>
        <xdr:cNvPr id="40" name="Gráfico 39">
          <a:extLst>
            <a:ext uri="{FF2B5EF4-FFF2-40B4-BE49-F238E27FC236}">
              <a16:creationId xmlns:a16="http://schemas.microsoft.com/office/drawing/2014/main" id="{DE8DE51F-C86F-452E-AA09-4BB891811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xdr:col>
      <xdr:colOff>0</xdr:colOff>
      <xdr:row>552</xdr:row>
      <xdr:rowOff>0</xdr:rowOff>
    </xdr:from>
    <xdr:to>
      <xdr:col>8</xdr:col>
      <xdr:colOff>0</xdr:colOff>
      <xdr:row>567</xdr:row>
      <xdr:rowOff>76200</xdr:rowOff>
    </xdr:to>
    <xdr:graphicFrame macro="">
      <xdr:nvGraphicFramePr>
        <xdr:cNvPr id="41" name="Gráfico 40">
          <a:extLst>
            <a:ext uri="{FF2B5EF4-FFF2-40B4-BE49-F238E27FC236}">
              <a16:creationId xmlns:a16="http://schemas.microsoft.com/office/drawing/2014/main" id="{41EE62AF-0DB5-4569-B827-463078170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2</xdr:col>
      <xdr:colOff>0</xdr:colOff>
      <xdr:row>587</xdr:row>
      <xdr:rowOff>0</xdr:rowOff>
    </xdr:from>
    <xdr:to>
      <xdr:col>8</xdr:col>
      <xdr:colOff>0</xdr:colOff>
      <xdr:row>602</xdr:row>
      <xdr:rowOff>76200</xdr:rowOff>
    </xdr:to>
    <xdr:graphicFrame macro="">
      <xdr:nvGraphicFramePr>
        <xdr:cNvPr id="42" name="Gráfico 41">
          <a:extLst>
            <a:ext uri="{FF2B5EF4-FFF2-40B4-BE49-F238E27FC236}">
              <a16:creationId xmlns:a16="http://schemas.microsoft.com/office/drawing/2014/main" id="{DE17AF4C-832A-4EA0-809A-F0329EF10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5</xdr:col>
      <xdr:colOff>0</xdr:colOff>
      <xdr:row>568</xdr:row>
      <xdr:rowOff>0</xdr:rowOff>
    </xdr:from>
    <xdr:to>
      <xdr:col>11</xdr:col>
      <xdr:colOff>0</xdr:colOff>
      <xdr:row>584</xdr:row>
      <xdr:rowOff>76200</xdr:rowOff>
    </xdr:to>
    <xdr:graphicFrame macro="">
      <xdr:nvGraphicFramePr>
        <xdr:cNvPr id="43" name="Gráfico 42">
          <a:extLst>
            <a:ext uri="{FF2B5EF4-FFF2-40B4-BE49-F238E27FC236}">
              <a16:creationId xmlns:a16="http://schemas.microsoft.com/office/drawing/2014/main" id="{1299E6D5-1FA2-4106-B330-25142507A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2</xdr:col>
      <xdr:colOff>0</xdr:colOff>
      <xdr:row>603</xdr:row>
      <xdr:rowOff>0</xdr:rowOff>
    </xdr:from>
    <xdr:to>
      <xdr:col>8</xdr:col>
      <xdr:colOff>0</xdr:colOff>
      <xdr:row>618</xdr:row>
      <xdr:rowOff>76200</xdr:rowOff>
    </xdr:to>
    <xdr:graphicFrame macro="">
      <xdr:nvGraphicFramePr>
        <xdr:cNvPr id="44" name="Gráfico 43">
          <a:extLst>
            <a:ext uri="{FF2B5EF4-FFF2-40B4-BE49-F238E27FC236}">
              <a16:creationId xmlns:a16="http://schemas.microsoft.com/office/drawing/2014/main" id="{AFD3A8EE-4E25-4308-B172-FB8EC7E52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4</xdr:col>
      <xdr:colOff>0</xdr:colOff>
      <xdr:row>619</xdr:row>
      <xdr:rowOff>0</xdr:rowOff>
    </xdr:from>
    <xdr:to>
      <xdr:col>10</xdr:col>
      <xdr:colOff>0</xdr:colOff>
      <xdr:row>635</xdr:row>
      <xdr:rowOff>76200</xdr:rowOff>
    </xdr:to>
    <xdr:graphicFrame macro="">
      <xdr:nvGraphicFramePr>
        <xdr:cNvPr id="45" name="Gráfico 44">
          <a:extLst>
            <a:ext uri="{FF2B5EF4-FFF2-40B4-BE49-F238E27FC236}">
              <a16:creationId xmlns:a16="http://schemas.microsoft.com/office/drawing/2014/main" id="{FA22D84D-354C-4FDC-93D1-1C747A48E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xdr:col>
      <xdr:colOff>0</xdr:colOff>
      <xdr:row>636</xdr:row>
      <xdr:rowOff>0</xdr:rowOff>
    </xdr:from>
    <xdr:to>
      <xdr:col>8</xdr:col>
      <xdr:colOff>0</xdr:colOff>
      <xdr:row>652</xdr:row>
      <xdr:rowOff>76200</xdr:rowOff>
    </xdr:to>
    <xdr:graphicFrame macro="">
      <xdr:nvGraphicFramePr>
        <xdr:cNvPr id="46" name="Gráfico 45">
          <a:extLst>
            <a:ext uri="{FF2B5EF4-FFF2-40B4-BE49-F238E27FC236}">
              <a16:creationId xmlns:a16="http://schemas.microsoft.com/office/drawing/2014/main" id="{993B32EF-2833-4BCF-99D4-4445CF1E63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2</xdr:col>
      <xdr:colOff>0</xdr:colOff>
      <xdr:row>654</xdr:row>
      <xdr:rowOff>0</xdr:rowOff>
    </xdr:from>
    <xdr:to>
      <xdr:col>8</xdr:col>
      <xdr:colOff>0</xdr:colOff>
      <xdr:row>670</xdr:row>
      <xdr:rowOff>76200</xdr:rowOff>
    </xdr:to>
    <xdr:graphicFrame macro="">
      <xdr:nvGraphicFramePr>
        <xdr:cNvPr id="47" name="Gráfico 46">
          <a:extLst>
            <a:ext uri="{FF2B5EF4-FFF2-40B4-BE49-F238E27FC236}">
              <a16:creationId xmlns:a16="http://schemas.microsoft.com/office/drawing/2014/main" id="{33B48301-B360-4AF0-B64D-3166EFEF5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xdr:col>
      <xdr:colOff>0</xdr:colOff>
      <xdr:row>672</xdr:row>
      <xdr:rowOff>0</xdr:rowOff>
    </xdr:from>
    <xdr:to>
      <xdr:col>8</xdr:col>
      <xdr:colOff>0</xdr:colOff>
      <xdr:row>688</xdr:row>
      <xdr:rowOff>76200</xdr:rowOff>
    </xdr:to>
    <xdr:graphicFrame macro="">
      <xdr:nvGraphicFramePr>
        <xdr:cNvPr id="48" name="Gráfico 47">
          <a:extLst>
            <a:ext uri="{FF2B5EF4-FFF2-40B4-BE49-F238E27FC236}">
              <a16:creationId xmlns:a16="http://schemas.microsoft.com/office/drawing/2014/main" id="{C4CDA3A6-8DD7-4F21-8D12-7B4E053C0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4</xdr:col>
      <xdr:colOff>0</xdr:colOff>
      <xdr:row>689</xdr:row>
      <xdr:rowOff>0</xdr:rowOff>
    </xdr:from>
    <xdr:to>
      <xdr:col>10</xdr:col>
      <xdr:colOff>0</xdr:colOff>
      <xdr:row>705</xdr:row>
      <xdr:rowOff>76200</xdr:rowOff>
    </xdr:to>
    <xdr:graphicFrame macro="">
      <xdr:nvGraphicFramePr>
        <xdr:cNvPr id="49" name="Gráfico 48">
          <a:extLst>
            <a:ext uri="{FF2B5EF4-FFF2-40B4-BE49-F238E27FC236}">
              <a16:creationId xmlns:a16="http://schemas.microsoft.com/office/drawing/2014/main" id="{A5EDD927-FA61-4194-8342-1ED9433B6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2</xdr:col>
      <xdr:colOff>0</xdr:colOff>
      <xdr:row>706</xdr:row>
      <xdr:rowOff>0</xdr:rowOff>
    </xdr:from>
    <xdr:to>
      <xdr:col>8</xdr:col>
      <xdr:colOff>0</xdr:colOff>
      <xdr:row>722</xdr:row>
      <xdr:rowOff>76200</xdr:rowOff>
    </xdr:to>
    <xdr:graphicFrame macro="">
      <xdr:nvGraphicFramePr>
        <xdr:cNvPr id="50" name="Gráfico 49">
          <a:extLst>
            <a:ext uri="{FF2B5EF4-FFF2-40B4-BE49-F238E27FC236}">
              <a16:creationId xmlns:a16="http://schemas.microsoft.com/office/drawing/2014/main" id="{A0BA2DCC-9067-4D14-A901-76D075115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2</xdr:col>
      <xdr:colOff>0</xdr:colOff>
      <xdr:row>724</xdr:row>
      <xdr:rowOff>0</xdr:rowOff>
    </xdr:from>
    <xdr:to>
      <xdr:col>8</xdr:col>
      <xdr:colOff>0</xdr:colOff>
      <xdr:row>740</xdr:row>
      <xdr:rowOff>76200</xdr:rowOff>
    </xdr:to>
    <xdr:graphicFrame macro="">
      <xdr:nvGraphicFramePr>
        <xdr:cNvPr id="52" name="Gráfico 51">
          <a:extLst>
            <a:ext uri="{FF2B5EF4-FFF2-40B4-BE49-F238E27FC236}">
              <a16:creationId xmlns:a16="http://schemas.microsoft.com/office/drawing/2014/main" id="{B40C4C08-9F93-44DD-95DA-7D73BC47B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4</xdr:col>
      <xdr:colOff>0</xdr:colOff>
      <xdr:row>742</xdr:row>
      <xdr:rowOff>0</xdr:rowOff>
    </xdr:from>
    <xdr:to>
      <xdr:col>10</xdr:col>
      <xdr:colOff>0</xdr:colOff>
      <xdr:row>758</xdr:row>
      <xdr:rowOff>76200</xdr:rowOff>
    </xdr:to>
    <xdr:graphicFrame macro="">
      <xdr:nvGraphicFramePr>
        <xdr:cNvPr id="53" name="Gráfico 52">
          <a:extLst>
            <a:ext uri="{FF2B5EF4-FFF2-40B4-BE49-F238E27FC236}">
              <a16:creationId xmlns:a16="http://schemas.microsoft.com/office/drawing/2014/main" id="{539FCEB9-AB36-4A0D-9514-67F25FDC1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2</xdr:col>
      <xdr:colOff>0</xdr:colOff>
      <xdr:row>759</xdr:row>
      <xdr:rowOff>0</xdr:rowOff>
    </xdr:from>
    <xdr:to>
      <xdr:col>8</xdr:col>
      <xdr:colOff>0</xdr:colOff>
      <xdr:row>775</xdr:row>
      <xdr:rowOff>76200</xdr:rowOff>
    </xdr:to>
    <xdr:graphicFrame macro="">
      <xdr:nvGraphicFramePr>
        <xdr:cNvPr id="54" name="Gráfico 53">
          <a:extLst>
            <a:ext uri="{FF2B5EF4-FFF2-40B4-BE49-F238E27FC236}">
              <a16:creationId xmlns:a16="http://schemas.microsoft.com/office/drawing/2014/main" id="{C873C63A-26DB-4B4E-A412-5EDBE10F1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2</xdr:col>
      <xdr:colOff>0</xdr:colOff>
      <xdr:row>776</xdr:row>
      <xdr:rowOff>0</xdr:rowOff>
    </xdr:from>
    <xdr:to>
      <xdr:col>8</xdr:col>
      <xdr:colOff>0</xdr:colOff>
      <xdr:row>792</xdr:row>
      <xdr:rowOff>76200</xdr:rowOff>
    </xdr:to>
    <xdr:graphicFrame macro="">
      <xdr:nvGraphicFramePr>
        <xdr:cNvPr id="55" name="Gráfico 54">
          <a:extLst>
            <a:ext uri="{FF2B5EF4-FFF2-40B4-BE49-F238E27FC236}">
              <a16:creationId xmlns:a16="http://schemas.microsoft.com/office/drawing/2014/main" id="{CA992B00-01BE-4102-9DF0-3974AF9CC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4</xdr:col>
      <xdr:colOff>0</xdr:colOff>
      <xdr:row>793</xdr:row>
      <xdr:rowOff>0</xdr:rowOff>
    </xdr:from>
    <xdr:to>
      <xdr:col>10</xdr:col>
      <xdr:colOff>0</xdr:colOff>
      <xdr:row>809</xdr:row>
      <xdr:rowOff>76200</xdr:rowOff>
    </xdr:to>
    <xdr:graphicFrame macro="">
      <xdr:nvGraphicFramePr>
        <xdr:cNvPr id="56" name="Gráfico 55">
          <a:extLst>
            <a:ext uri="{FF2B5EF4-FFF2-40B4-BE49-F238E27FC236}">
              <a16:creationId xmlns:a16="http://schemas.microsoft.com/office/drawing/2014/main" id="{A6E73784-2754-4E85-9E4B-E9A10D544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2</xdr:col>
      <xdr:colOff>0</xdr:colOff>
      <xdr:row>810</xdr:row>
      <xdr:rowOff>0</xdr:rowOff>
    </xdr:from>
    <xdr:to>
      <xdr:col>8</xdr:col>
      <xdr:colOff>0</xdr:colOff>
      <xdr:row>826</xdr:row>
      <xdr:rowOff>76200</xdr:rowOff>
    </xdr:to>
    <xdr:graphicFrame macro="">
      <xdr:nvGraphicFramePr>
        <xdr:cNvPr id="57" name="Gráfico 56">
          <a:extLst>
            <a:ext uri="{FF2B5EF4-FFF2-40B4-BE49-F238E27FC236}">
              <a16:creationId xmlns:a16="http://schemas.microsoft.com/office/drawing/2014/main" id="{157F93C2-1522-4815-9797-6EF5C914B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2</xdr:col>
      <xdr:colOff>0</xdr:colOff>
      <xdr:row>827</xdr:row>
      <xdr:rowOff>0</xdr:rowOff>
    </xdr:from>
    <xdr:to>
      <xdr:col>8</xdr:col>
      <xdr:colOff>0</xdr:colOff>
      <xdr:row>843</xdr:row>
      <xdr:rowOff>76200</xdr:rowOff>
    </xdr:to>
    <xdr:graphicFrame macro="">
      <xdr:nvGraphicFramePr>
        <xdr:cNvPr id="58" name="Gráfico 57">
          <a:extLst>
            <a:ext uri="{FF2B5EF4-FFF2-40B4-BE49-F238E27FC236}">
              <a16:creationId xmlns:a16="http://schemas.microsoft.com/office/drawing/2014/main" id="{61E81E0A-A6CF-40D8-AF0D-C3F5AEF16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4</xdr:col>
      <xdr:colOff>0</xdr:colOff>
      <xdr:row>844</xdr:row>
      <xdr:rowOff>0</xdr:rowOff>
    </xdr:from>
    <xdr:to>
      <xdr:col>10</xdr:col>
      <xdr:colOff>0</xdr:colOff>
      <xdr:row>860</xdr:row>
      <xdr:rowOff>76200</xdr:rowOff>
    </xdr:to>
    <xdr:graphicFrame macro="">
      <xdr:nvGraphicFramePr>
        <xdr:cNvPr id="59" name="Gráfico 58">
          <a:extLst>
            <a:ext uri="{FF2B5EF4-FFF2-40B4-BE49-F238E27FC236}">
              <a16:creationId xmlns:a16="http://schemas.microsoft.com/office/drawing/2014/main" id="{458D0565-105A-483A-9F02-9ADE7CFC8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2</xdr:col>
      <xdr:colOff>0</xdr:colOff>
      <xdr:row>861</xdr:row>
      <xdr:rowOff>0</xdr:rowOff>
    </xdr:from>
    <xdr:to>
      <xdr:col>8</xdr:col>
      <xdr:colOff>0</xdr:colOff>
      <xdr:row>877</xdr:row>
      <xdr:rowOff>76200</xdr:rowOff>
    </xdr:to>
    <xdr:graphicFrame macro="">
      <xdr:nvGraphicFramePr>
        <xdr:cNvPr id="60" name="Gráfico 59">
          <a:extLst>
            <a:ext uri="{FF2B5EF4-FFF2-40B4-BE49-F238E27FC236}">
              <a16:creationId xmlns:a16="http://schemas.microsoft.com/office/drawing/2014/main" id="{E24331B9-EAD3-45FE-9AEF-D70BD6DCA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2</xdr:col>
      <xdr:colOff>0</xdr:colOff>
      <xdr:row>878</xdr:row>
      <xdr:rowOff>0</xdr:rowOff>
    </xdr:from>
    <xdr:to>
      <xdr:col>8</xdr:col>
      <xdr:colOff>0</xdr:colOff>
      <xdr:row>894</xdr:row>
      <xdr:rowOff>76200</xdr:rowOff>
    </xdr:to>
    <xdr:graphicFrame macro="">
      <xdr:nvGraphicFramePr>
        <xdr:cNvPr id="61" name="Gráfico 60">
          <a:extLst>
            <a:ext uri="{FF2B5EF4-FFF2-40B4-BE49-F238E27FC236}">
              <a16:creationId xmlns:a16="http://schemas.microsoft.com/office/drawing/2014/main" id="{EA0ADA2D-AC5A-4F2F-8A14-9ECC50D1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4</xdr:col>
      <xdr:colOff>0</xdr:colOff>
      <xdr:row>895</xdr:row>
      <xdr:rowOff>0</xdr:rowOff>
    </xdr:from>
    <xdr:to>
      <xdr:col>10</xdr:col>
      <xdr:colOff>0</xdr:colOff>
      <xdr:row>911</xdr:row>
      <xdr:rowOff>76200</xdr:rowOff>
    </xdr:to>
    <xdr:graphicFrame macro="">
      <xdr:nvGraphicFramePr>
        <xdr:cNvPr id="62" name="Gráfico 61">
          <a:extLst>
            <a:ext uri="{FF2B5EF4-FFF2-40B4-BE49-F238E27FC236}">
              <a16:creationId xmlns:a16="http://schemas.microsoft.com/office/drawing/2014/main" id="{3DC9D298-F0A2-4DE8-974C-BEFB76CF5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4</xdr:col>
      <xdr:colOff>0</xdr:colOff>
      <xdr:row>912</xdr:row>
      <xdr:rowOff>0</xdr:rowOff>
    </xdr:from>
    <xdr:to>
      <xdr:col>10</xdr:col>
      <xdr:colOff>0</xdr:colOff>
      <xdr:row>928</xdr:row>
      <xdr:rowOff>76200</xdr:rowOff>
    </xdr:to>
    <xdr:graphicFrame macro="">
      <xdr:nvGraphicFramePr>
        <xdr:cNvPr id="63" name="Gráfico 62">
          <a:extLst>
            <a:ext uri="{FF2B5EF4-FFF2-40B4-BE49-F238E27FC236}">
              <a16:creationId xmlns:a16="http://schemas.microsoft.com/office/drawing/2014/main" id="{55612C31-D9DB-4062-95B3-2A4B44F7F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4</xdr:col>
      <xdr:colOff>0</xdr:colOff>
      <xdr:row>929</xdr:row>
      <xdr:rowOff>0</xdr:rowOff>
    </xdr:from>
    <xdr:to>
      <xdr:col>10</xdr:col>
      <xdr:colOff>0</xdr:colOff>
      <xdr:row>945</xdr:row>
      <xdr:rowOff>76200</xdr:rowOff>
    </xdr:to>
    <xdr:graphicFrame macro="">
      <xdr:nvGraphicFramePr>
        <xdr:cNvPr id="64" name="Gráfico 63">
          <a:extLst>
            <a:ext uri="{FF2B5EF4-FFF2-40B4-BE49-F238E27FC236}">
              <a16:creationId xmlns:a16="http://schemas.microsoft.com/office/drawing/2014/main" id="{D17C9EC5-9885-4D28-B09E-1FFD90F65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4</xdr:col>
      <xdr:colOff>0</xdr:colOff>
      <xdr:row>946</xdr:row>
      <xdr:rowOff>0</xdr:rowOff>
    </xdr:from>
    <xdr:to>
      <xdr:col>10</xdr:col>
      <xdr:colOff>0</xdr:colOff>
      <xdr:row>962</xdr:row>
      <xdr:rowOff>76200</xdr:rowOff>
    </xdr:to>
    <xdr:graphicFrame macro="">
      <xdr:nvGraphicFramePr>
        <xdr:cNvPr id="65" name="Gráfico 64">
          <a:extLst>
            <a:ext uri="{FF2B5EF4-FFF2-40B4-BE49-F238E27FC236}">
              <a16:creationId xmlns:a16="http://schemas.microsoft.com/office/drawing/2014/main" id="{4BC666CD-CA49-4968-801A-D71B199FC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4</xdr:col>
      <xdr:colOff>0</xdr:colOff>
      <xdr:row>963</xdr:row>
      <xdr:rowOff>0</xdr:rowOff>
    </xdr:from>
    <xdr:to>
      <xdr:col>10</xdr:col>
      <xdr:colOff>0</xdr:colOff>
      <xdr:row>979</xdr:row>
      <xdr:rowOff>76200</xdr:rowOff>
    </xdr:to>
    <xdr:graphicFrame macro="">
      <xdr:nvGraphicFramePr>
        <xdr:cNvPr id="66" name="Gráfico 65">
          <a:extLst>
            <a:ext uri="{FF2B5EF4-FFF2-40B4-BE49-F238E27FC236}">
              <a16:creationId xmlns:a16="http://schemas.microsoft.com/office/drawing/2014/main" id="{A74CCB96-AD57-4C22-8CE7-0F6D9E5DA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4</xdr:col>
      <xdr:colOff>0</xdr:colOff>
      <xdr:row>981</xdr:row>
      <xdr:rowOff>0</xdr:rowOff>
    </xdr:from>
    <xdr:to>
      <xdr:col>10</xdr:col>
      <xdr:colOff>0</xdr:colOff>
      <xdr:row>997</xdr:row>
      <xdr:rowOff>76200</xdr:rowOff>
    </xdr:to>
    <xdr:graphicFrame macro="">
      <xdr:nvGraphicFramePr>
        <xdr:cNvPr id="67" name="Gráfico 66">
          <a:extLst>
            <a:ext uri="{FF2B5EF4-FFF2-40B4-BE49-F238E27FC236}">
              <a16:creationId xmlns:a16="http://schemas.microsoft.com/office/drawing/2014/main" id="{B3831C78-EDD2-4E93-BFF2-2A7391226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3</xdr:col>
      <xdr:colOff>0</xdr:colOff>
      <xdr:row>998</xdr:row>
      <xdr:rowOff>0</xdr:rowOff>
    </xdr:from>
    <xdr:to>
      <xdr:col>9</xdr:col>
      <xdr:colOff>0</xdr:colOff>
      <xdr:row>1014</xdr:row>
      <xdr:rowOff>76200</xdr:rowOff>
    </xdr:to>
    <xdr:graphicFrame macro="">
      <xdr:nvGraphicFramePr>
        <xdr:cNvPr id="68" name="Gráfico 67">
          <a:extLst>
            <a:ext uri="{FF2B5EF4-FFF2-40B4-BE49-F238E27FC236}">
              <a16:creationId xmlns:a16="http://schemas.microsoft.com/office/drawing/2014/main" id="{F340934A-D1D0-45D1-B2BF-22F1B2D61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twoCellAnchor>
    <xdr:from>
      <xdr:col>4</xdr:col>
      <xdr:colOff>0</xdr:colOff>
      <xdr:row>1015</xdr:row>
      <xdr:rowOff>0</xdr:rowOff>
    </xdr:from>
    <xdr:to>
      <xdr:col>10</xdr:col>
      <xdr:colOff>0</xdr:colOff>
      <xdr:row>1031</xdr:row>
      <xdr:rowOff>76200</xdr:rowOff>
    </xdr:to>
    <xdr:graphicFrame macro="">
      <xdr:nvGraphicFramePr>
        <xdr:cNvPr id="69" name="Gráfico 68">
          <a:extLst>
            <a:ext uri="{FF2B5EF4-FFF2-40B4-BE49-F238E27FC236}">
              <a16:creationId xmlns:a16="http://schemas.microsoft.com/office/drawing/2014/main" id="{03E4FFD7-3639-475C-841B-59CB8F12D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4</xdr:col>
      <xdr:colOff>0</xdr:colOff>
      <xdr:row>1033</xdr:row>
      <xdr:rowOff>0</xdr:rowOff>
    </xdr:from>
    <xdr:to>
      <xdr:col>10</xdr:col>
      <xdr:colOff>0</xdr:colOff>
      <xdr:row>1049</xdr:row>
      <xdr:rowOff>76200</xdr:rowOff>
    </xdr:to>
    <xdr:graphicFrame macro="">
      <xdr:nvGraphicFramePr>
        <xdr:cNvPr id="70" name="Gráfico 69">
          <a:extLst>
            <a:ext uri="{FF2B5EF4-FFF2-40B4-BE49-F238E27FC236}">
              <a16:creationId xmlns:a16="http://schemas.microsoft.com/office/drawing/2014/main" id="{1CB2F3D0-076F-4047-8F4D-C47005D29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4</xdr:col>
      <xdr:colOff>0</xdr:colOff>
      <xdr:row>1050</xdr:row>
      <xdr:rowOff>0</xdr:rowOff>
    </xdr:from>
    <xdr:to>
      <xdr:col>10</xdr:col>
      <xdr:colOff>0</xdr:colOff>
      <xdr:row>1066</xdr:row>
      <xdr:rowOff>76200</xdr:rowOff>
    </xdr:to>
    <xdr:graphicFrame macro="">
      <xdr:nvGraphicFramePr>
        <xdr:cNvPr id="71" name="Gráfico 70">
          <a:extLst>
            <a:ext uri="{FF2B5EF4-FFF2-40B4-BE49-F238E27FC236}">
              <a16:creationId xmlns:a16="http://schemas.microsoft.com/office/drawing/2014/main" id="{B3E1DF09-ED26-4C2E-B048-0CC2DD202E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4</xdr:col>
      <xdr:colOff>0</xdr:colOff>
      <xdr:row>1067</xdr:row>
      <xdr:rowOff>0</xdr:rowOff>
    </xdr:from>
    <xdr:to>
      <xdr:col>10</xdr:col>
      <xdr:colOff>0</xdr:colOff>
      <xdr:row>1083</xdr:row>
      <xdr:rowOff>76200</xdr:rowOff>
    </xdr:to>
    <xdr:graphicFrame macro="">
      <xdr:nvGraphicFramePr>
        <xdr:cNvPr id="72" name="Gráfico 71">
          <a:extLst>
            <a:ext uri="{FF2B5EF4-FFF2-40B4-BE49-F238E27FC236}">
              <a16:creationId xmlns:a16="http://schemas.microsoft.com/office/drawing/2014/main" id="{B24DFBA0-DD63-4DCE-A916-2E9A8D879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4</xdr:col>
      <xdr:colOff>0</xdr:colOff>
      <xdr:row>1084</xdr:row>
      <xdr:rowOff>0</xdr:rowOff>
    </xdr:from>
    <xdr:to>
      <xdr:col>10</xdr:col>
      <xdr:colOff>0</xdr:colOff>
      <xdr:row>1100</xdr:row>
      <xdr:rowOff>76200</xdr:rowOff>
    </xdr:to>
    <xdr:graphicFrame macro="">
      <xdr:nvGraphicFramePr>
        <xdr:cNvPr id="73" name="Gráfico 72">
          <a:extLst>
            <a:ext uri="{FF2B5EF4-FFF2-40B4-BE49-F238E27FC236}">
              <a16:creationId xmlns:a16="http://schemas.microsoft.com/office/drawing/2014/main" id="{E032094F-ED66-498A-960D-475212EDEF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4</xdr:col>
      <xdr:colOff>0</xdr:colOff>
      <xdr:row>1101</xdr:row>
      <xdr:rowOff>0</xdr:rowOff>
    </xdr:from>
    <xdr:to>
      <xdr:col>10</xdr:col>
      <xdr:colOff>0</xdr:colOff>
      <xdr:row>1117</xdr:row>
      <xdr:rowOff>76200</xdr:rowOff>
    </xdr:to>
    <xdr:graphicFrame macro="">
      <xdr:nvGraphicFramePr>
        <xdr:cNvPr id="74" name="Gráfico 73">
          <a:extLst>
            <a:ext uri="{FF2B5EF4-FFF2-40B4-BE49-F238E27FC236}">
              <a16:creationId xmlns:a16="http://schemas.microsoft.com/office/drawing/2014/main" id="{312738B4-1BA0-45D3-B3F7-3565C97EA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4</xdr:col>
      <xdr:colOff>0</xdr:colOff>
      <xdr:row>1118</xdr:row>
      <xdr:rowOff>0</xdr:rowOff>
    </xdr:from>
    <xdr:to>
      <xdr:col>10</xdr:col>
      <xdr:colOff>0</xdr:colOff>
      <xdr:row>1134</xdr:row>
      <xdr:rowOff>76200</xdr:rowOff>
    </xdr:to>
    <xdr:graphicFrame macro="">
      <xdr:nvGraphicFramePr>
        <xdr:cNvPr id="75" name="Gráfico 74">
          <a:extLst>
            <a:ext uri="{FF2B5EF4-FFF2-40B4-BE49-F238E27FC236}">
              <a16:creationId xmlns:a16="http://schemas.microsoft.com/office/drawing/2014/main" id="{EA74528F-3ED7-4823-B472-97E2A85AC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twoCellAnchor>
    <xdr:from>
      <xdr:col>4</xdr:col>
      <xdr:colOff>0</xdr:colOff>
      <xdr:row>1135</xdr:row>
      <xdr:rowOff>0</xdr:rowOff>
    </xdr:from>
    <xdr:to>
      <xdr:col>10</xdr:col>
      <xdr:colOff>0</xdr:colOff>
      <xdr:row>1151</xdr:row>
      <xdr:rowOff>76200</xdr:rowOff>
    </xdr:to>
    <xdr:graphicFrame macro="">
      <xdr:nvGraphicFramePr>
        <xdr:cNvPr id="76" name="Gráfico 75">
          <a:extLst>
            <a:ext uri="{FF2B5EF4-FFF2-40B4-BE49-F238E27FC236}">
              <a16:creationId xmlns:a16="http://schemas.microsoft.com/office/drawing/2014/main" id="{88415B35-04CF-4CA1-88A0-6206DE2A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1"/>
        </a:graphicData>
      </a:graphic>
    </xdr:graphicFrame>
    <xdr:clientData/>
  </xdr:twoCellAnchor>
  <xdr:twoCellAnchor>
    <xdr:from>
      <xdr:col>4</xdr:col>
      <xdr:colOff>0</xdr:colOff>
      <xdr:row>1152</xdr:row>
      <xdr:rowOff>0</xdr:rowOff>
    </xdr:from>
    <xdr:to>
      <xdr:col>10</xdr:col>
      <xdr:colOff>0</xdr:colOff>
      <xdr:row>1168</xdr:row>
      <xdr:rowOff>76200</xdr:rowOff>
    </xdr:to>
    <xdr:graphicFrame macro="">
      <xdr:nvGraphicFramePr>
        <xdr:cNvPr id="77" name="Gráfico 76">
          <a:extLst>
            <a:ext uri="{FF2B5EF4-FFF2-40B4-BE49-F238E27FC236}">
              <a16:creationId xmlns:a16="http://schemas.microsoft.com/office/drawing/2014/main" id="{C8A860F8-A1A9-4C82-A867-2F32ADA5D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2"/>
        </a:graphicData>
      </a:graphic>
    </xdr:graphicFrame>
    <xdr:clientData/>
  </xdr:twoCellAnchor>
  <xdr:twoCellAnchor>
    <xdr:from>
      <xdr:col>4</xdr:col>
      <xdr:colOff>0</xdr:colOff>
      <xdr:row>1169</xdr:row>
      <xdr:rowOff>0</xdr:rowOff>
    </xdr:from>
    <xdr:to>
      <xdr:col>10</xdr:col>
      <xdr:colOff>0</xdr:colOff>
      <xdr:row>1185</xdr:row>
      <xdr:rowOff>76200</xdr:rowOff>
    </xdr:to>
    <xdr:graphicFrame macro="">
      <xdr:nvGraphicFramePr>
        <xdr:cNvPr id="78" name="Gráfico 77">
          <a:extLst>
            <a:ext uri="{FF2B5EF4-FFF2-40B4-BE49-F238E27FC236}">
              <a16:creationId xmlns:a16="http://schemas.microsoft.com/office/drawing/2014/main" id="{7893E6FA-FD6A-4542-B357-718A33ECD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3"/>
        </a:graphicData>
      </a:graphic>
    </xdr:graphicFrame>
    <xdr:clientData/>
  </xdr:twoCellAnchor>
  <xdr:twoCellAnchor>
    <xdr:from>
      <xdr:col>4</xdr:col>
      <xdr:colOff>0</xdr:colOff>
      <xdr:row>1186</xdr:row>
      <xdr:rowOff>0</xdr:rowOff>
    </xdr:from>
    <xdr:to>
      <xdr:col>10</xdr:col>
      <xdr:colOff>0</xdr:colOff>
      <xdr:row>1202</xdr:row>
      <xdr:rowOff>76200</xdr:rowOff>
    </xdr:to>
    <xdr:graphicFrame macro="">
      <xdr:nvGraphicFramePr>
        <xdr:cNvPr id="79" name="Gráfico 78">
          <a:extLst>
            <a:ext uri="{FF2B5EF4-FFF2-40B4-BE49-F238E27FC236}">
              <a16:creationId xmlns:a16="http://schemas.microsoft.com/office/drawing/2014/main" id="{F4F1E3EE-D1CA-4C8D-8A05-960620BC9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4"/>
        </a:graphicData>
      </a:graphic>
    </xdr:graphicFrame>
    <xdr:clientData/>
  </xdr:twoCellAnchor>
  <xdr:twoCellAnchor>
    <xdr:from>
      <xdr:col>7</xdr:col>
      <xdr:colOff>285750</xdr:colOff>
      <xdr:row>1202</xdr:row>
      <xdr:rowOff>152400</xdr:rowOff>
    </xdr:from>
    <xdr:to>
      <xdr:col>13</xdr:col>
      <xdr:colOff>285750</xdr:colOff>
      <xdr:row>1219</xdr:row>
      <xdr:rowOff>38100</xdr:rowOff>
    </xdr:to>
    <xdr:graphicFrame macro="">
      <xdr:nvGraphicFramePr>
        <xdr:cNvPr id="80" name="Gráfico 79">
          <a:extLst>
            <a:ext uri="{FF2B5EF4-FFF2-40B4-BE49-F238E27FC236}">
              <a16:creationId xmlns:a16="http://schemas.microsoft.com/office/drawing/2014/main" id="{51F546D6-FA8C-43A1-AD0F-E3C0B82B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5"/>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anxico.org.mx/SieInternet/consultarDirectorioInternetAction.do?sector=2&amp;accion=consultarCuadro&amp;idCuadro=CR72&amp;locale=e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C225-F49B-46A2-B34B-5B1749CBBDC0}">
  <dimension ref="A1:F28"/>
  <sheetViews>
    <sheetView workbookViewId="0">
      <selection activeCell="E24" sqref="E24"/>
    </sheetView>
  </sheetViews>
  <sheetFormatPr baseColWidth="10" defaultRowHeight="15"/>
  <cols>
    <col min="2" max="2" width="17.42578125" bestFit="1" customWidth="1"/>
    <col min="5" max="5" width="16.7109375" bestFit="1" customWidth="1"/>
    <col min="6" max="6" width="17.42578125" bestFit="1" customWidth="1"/>
  </cols>
  <sheetData>
    <row r="1" spans="1:6">
      <c r="B1" t="s">
        <v>68</v>
      </c>
      <c r="C1" t="s">
        <v>67</v>
      </c>
      <c r="D1" t="s">
        <v>66</v>
      </c>
      <c r="E1" t="s">
        <v>66</v>
      </c>
    </row>
    <row r="2" spans="1:6">
      <c r="C2">
        <v>7</v>
      </c>
      <c r="D2">
        <v>297</v>
      </c>
      <c r="E2">
        <v>240</v>
      </c>
    </row>
    <row r="3" spans="1:6">
      <c r="A3" t="s">
        <v>65</v>
      </c>
      <c r="B3" s="44">
        <f>F3</f>
        <v>3.0909979987868486E-2</v>
      </c>
      <c r="C3" s="43">
        <f>1/7</f>
        <v>0.14285714285714285</v>
      </c>
      <c r="D3">
        <f>D2/E2</f>
        <v>1.2375</v>
      </c>
      <c r="E3" s="42">
        <f>D3^C3</f>
        <v>1.0309099799878685</v>
      </c>
      <c r="F3" s="42">
        <f>E3-1</f>
        <v>3.0909979987868486E-2</v>
      </c>
    </row>
    <row r="4" spans="1:6">
      <c r="A4" t="s">
        <v>64</v>
      </c>
      <c r="B4" s="44">
        <f>F4</f>
        <v>-2.9983199879617395E-2</v>
      </c>
      <c r="C4" s="43">
        <f>1/7</f>
        <v>0.14285714285714285</v>
      </c>
      <c r="D4">
        <f>E2/D2</f>
        <v>0.80808080808080807</v>
      </c>
      <c r="E4" s="42">
        <f>D4^C4</f>
        <v>0.97001680012038261</v>
      </c>
      <c r="F4" s="42">
        <f>E4-1</f>
        <v>-2.9983199879617395E-2</v>
      </c>
    </row>
    <row r="5" spans="1:6">
      <c r="C5" s="43"/>
      <c r="E5" s="42"/>
      <c r="F5" s="42"/>
    </row>
    <row r="6" spans="1:6">
      <c r="C6" s="43"/>
      <c r="E6" s="42"/>
      <c r="F6" s="42"/>
    </row>
    <row r="7" spans="1:6">
      <c r="C7" s="43"/>
      <c r="E7" s="42"/>
      <c r="F7" s="42"/>
    </row>
    <row r="8" spans="1:6">
      <c r="B8" t="s">
        <v>65</v>
      </c>
      <c r="D8" t="s">
        <v>64</v>
      </c>
    </row>
    <row r="9" spans="1:6">
      <c r="A9">
        <v>0</v>
      </c>
      <c r="B9">
        <v>240</v>
      </c>
      <c r="D9">
        <v>297</v>
      </c>
    </row>
    <row r="10" spans="1:6">
      <c r="A10">
        <v>1</v>
      </c>
      <c r="B10">
        <f t="shared" ref="B10:B16" si="0">B9*(1+$F$3)</f>
        <v>247.41839519708844</v>
      </c>
      <c r="D10">
        <f t="shared" ref="D10:D16" si="1">D9*(1+$F$4)</f>
        <v>288.09498963575362</v>
      </c>
    </row>
    <row r="11" spans="1:6">
      <c r="A11">
        <v>2</v>
      </c>
      <c r="B11">
        <f t="shared" si="0"/>
        <v>255.066092841261</v>
      </c>
      <c r="D11">
        <f t="shared" si="1"/>
        <v>279.4569799771885</v>
      </c>
    </row>
    <row r="12" spans="1:6">
      <c r="A12">
        <v>3</v>
      </c>
      <c r="B12">
        <f t="shared" si="0"/>
        <v>262.9501806665682</v>
      </c>
      <c r="D12">
        <f t="shared" si="1"/>
        <v>271.0779654887782</v>
      </c>
    </row>
    <row r="13" spans="1:6">
      <c r="A13">
        <v>4</v>
      </c>
      <c r="B13">
        <f t="shared" si="0"/>
        <v>271.0779654887782</v>
      </c>
      <c r="D13">
        <f t="shared" si="1"/>
        <v>262.95018066656814</v>
      </c>
    </row>
    <row r="14" spans="1:6">
      <c r="A14">
        <v>5</v>
      </c>
      <c r="B14">
        <f t="shared" si="0"/>
        <v>279.45697997718844</v>
      </c>
      <c r="D14">
        <f t="shared" si="1"/>
        <v>255.06609284126094</v>
      </c>
    </row>
    <row r="15" spans="1:6">
      <c r="A15">
        <v>6</v>
      </c>
      <c r="B15">
        <f t="shared" si="0"/>
        <v>288.09498963575351</v>
      </c>
      <c r="D15">
        <f t="shared" si="1"/>
        <v>247.41839519708836</v>
      </c>
    </row>
    <row r="16" spans="1:6">
      <c r="A16">
        <v>7</v>
      </c>
      <c r="B16">
        <f t="shared" si="0"/>
        <v>296.99999999999983</v>
      </c>
      <c r="D16">
        <f t="shared" si="1"/>
        <v>239.99999999999989</v>
      </c>
    </row>
    <row r="19" spans="1:5">
      <c r="A19">
        <v>2.5</v>
      </c>
    </row>
    <row r="20" spans="1:5">
      <c r="A20" t="s">
        <v>55</v>
      </c>
      <c r="B20" t="s">
        <v>54</v>
      </c>
      <c r="C20" t="s">
        <v>63</v>
      </c>
      <c r="D20">
        <f>75+167</f>
        <v>242</v>
      </c>
      <c r="E20" t="s">
        <v>62</v>
      </c>
    </row>
    <row r="21" spans="1:5">
      <c r="A21" t="s">
        <v>51</v>
      </c>
      <c r="B21" t="s">
        <v>50</v>
      </c>
      <c r="C21" t="s">
        <v>61</v>
      </c>
      <c r="D21">
        <f>167+0</f>
        <v>167</v>
      </c>
      <c r="E21" t="s">
        <v>60</v>
      </c>
    </row>
    <row r="22" spans="1:5">
      <c r="A22" t="s">
        <v>48</v>
      </c>
      <c r="B22" t="s">
        <v>59</v>
      </c>
      <c r="C22" t="s">
        <v>58</v>
      </c>
      <c r="D22">
        <v>167</v>
      </c>
    </row>
    <row r="23" spans="1:5">
      <c r="A23" t="s">
        <v>45</v>
      </c>
      <c r="B23" t="s">
        <v>44</v>
      </c>
      <c r="C23" t="s">
        <v>57</v>
      </c>
      <c r="D23" t="s">
        <v>56</v>
      </c>
    </row>
    <row r="24" spans="1:5">
      <c r="A24">
        <v>2.6</v>
      </c>
    </row>
    <row r="25" spans="1:5">
      <c r="A25" t="s">
        <v>55</v>
      </c>
      <c r="B25" t="s">
        <v>54</v>
      </c>
      <c r="C25" t="s">
        <v>53</v>
      </c>
      <c r="D25">
        <f>12+93</f>
        <v>105</v>
      </c>
      <c r="E25" t="s">
        <v>52</v>
      </c>
    </row>
    <row r="26" spans="1:5">
      <c r="A26" t="s">
        <v>51</v>
      </c>
      <c r="B26" t="s">
        <v>50</v>
      </c>
      <c r="C26" t="s">
        <v>49</v>
      </c>
      <c r="D26">
        <v>93</v>
      </c>
    </row>
    <row r="27" spans="1:5">
      <c r="A27" t="s">
        <v>48</v>
      </c>
      <c r="B27" t="s">
        <v>47</v>
      </c>
      <c r="C27" t="s">
        <v>46</v>
      </c>
      <c r="D27">
        <v>93</v>
      </c>
    </row>
    <row r="28" spans="1:5">
      <c r="A28" t="s">
        <v>45</v>
      </c>
      <c r="B28" t="s">
        <v>44</v>
      </c>
      <c r="C28" t="s">
        <v>43</v>
      </c>
      <c r="D2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BA81-605C-4470-9235-9A5859838D46}">
  <sheetPr codeName="Hoja1"/>
  <dimension ref="A1:K42"/>
  <sheetViews>
    <sheetView topLeftCell="A23" workbookViewId="0">
      <selection activeCell="L25" sqref="L25"/>
    </sheetView>
  </sheetViews>
  <sheetFormatPr baseColWidth="10" defaultRowHeight="15"/>
  <cols>
    <col min="3" max="3" width="0" hidden="1" customWidth="1"/>
    <col min="5" max="5" width="0" hidden="1" customWidth="1"/>
  </cols>
  <sheetData>
    <row r="1" spans="1:8">
      <c r="A1" s="1">
        <v>6263136.5999999996</v>
      </c>
      <c r="B1" s="1">
        <v>6891992.5</v>
      </c>
      <c r="C1" s="1">
        <v>7709095.7999999998</v>
      </c>
    </row>
    <row r="2" spans="1:8">
      <c r="A2">
        <v>3.8730000000000002</v>
      </c>
      <c r="B2">
        <v>4.2039999999999997</v>
      </c>
      <c r="C2">
        <v>4.5140000000000002</v>
      </c>
      <c r="H2" t="s">
        <v>0</v>
      </c>
    </row>
    <row r="3" spans="1:8">
      <c r="A3" s="1">
        <f>A1/A2</f>
        <v>1617127.9628195195</v>
      </c>
      <c r="B3" s="1">
        <f>B1/B2</f>
        <v>1639389.2721217889</v>
      </c>
      <c r="C3" s="1">
        <f>C1/C2</f>
        <v>1707819.1847585288</v>
      </c>
    </row>
    <row r="6" spans="1:8" ht="18.75">
      <c r="A6" s="3" t="s">
        <v>1</v>
      </c>
      <c r="B6" s="2"/>
      <c r="C6" s="14" t="s">
        <v>1</v>
      </c>
      <c r="D6" s="13"/>
      <c r="E6" s="25" t="s">
        <v>1</v>
      </c>
      <c r="F6" s="24"/>
    </row>
    <row r="11" spans="1:8">
      <c r="A11" s="4" t="s">
        <v>2</v>
      </c>
      <c r="B11" s="2"/>
      <c r="C11" s="15" t="s">
        <v>19</v>
      </c>
      <c r="D11" s="13"/>
      <c r="E11" s="26" t="s">
        <v>22</v>
      </c>
      <c r="F11" s="24"/>
    </row>
    <row r="15" spans="1:8" ht="105">
      <c r="A15" s="5" t="s">
        <v>3</v>
      </c>
      <c r="B15" s="6" t="s">
        <v>4</v>
      </c>
      <c r="C15" s="16" t="s">
        <v>3</v>
      </c>
      <c r="D15" s="17" t="s">
        <v>20</v>
      </c>
      <c r="E15" s="27" t="s">
        <v>3</v>
      </c>
      <c r="F15" s="28" t="s">
        <v>23</v>
      </c>
    </row>
    <row r="16" spans="1:8" ht="30">
      <c r="A16" s="5" t="s">
        <v>5</v>
      </c>
      <c r="B16" s="7" t="s">
        <v>6</v>
      </c>
      <c r="C16" s="16" t="s">
        <v>5</v>
      </c>
      <c r="D16" s="18" t="s">
        <v>6</v>
      </c>
      <c r="E16" s="27" t="s">
        <v>5</v>
      </c>
      <c r="F16" s="29" t="s">
        <v>6</v>
      </c>
    </row>
    <row r="17" spans="1:11" ht="30">
      <c r="A17" s="5" t="s">
        <v>7</v>
      </c>
      <c r="B17" s="7" t="s">
        <v>8</v>
      </c>
      <c r="C17" s="16" t="s">
        <v>7</v>
      </c>
      <c r="D17" s="18" t="s">
        <v>8</v>
      </c>
      <c r="E17" s="27" t="s">
        <v>7</v>
      </c>
      <c r="F17" s="29" t="s">
        <v>8</v>
      </c>
    </row>
    <row r="18" spans="1:11" ht="30">
      <c r="A18" s="5" t="s">
        <v>9</v>
      </c>
      <c r="B18" s="7" t="s">
        <v>10</v>
      </c>
      <c r="C18" s="16" t="s">
        <v>9</v>
      </c>
      <c r="D18" s="18" t="s">
        <v>10</v>
      </c>
      <c r="E18" s="27" t="s">
        <v>9</v>
      </c>
      <c r="F18" s="29" t="s">
        <v>10</v>
      </c>
    </row>
    <row r="19" spans="1:11" ht="30">
      <c r="A19" s="5" t="s">
        <v>11</v>
      </c>
      <c r="B19" s="7" t="s">
        <v>12</v>
      </c>
      <c r="C19" s="16" t="s">
        <v>11</v>
      </c>
      <c r="D19" s="18" t="s">
        <v>12</v>
      </c>
      <c r="E19" s="27" t="s">
        <v>11</v>
      </c>
      <c r="F19" s="29" t="s">
        <v>12</v>
      </c>
    </row>
    <row r="20" spans="1:11">
      <c r="A20" s="5" t="s">
        <v>13</v>
      </c>
      <c r="B20" s="7" t="s">
        <v>14</v>
      </c>
      <c r="C20" s="16" t="s">
        <v>13</v>
      </c>
      <c r="D20" s="18" t="s">
        <v>14</v>
      </c>
      <c r="E20" s="27" t="s">
        <v>13</v>
      </c>
      <c r="F20" s="29"/>
    </row>
    <row r="21" spans="1:11">
      <c r="A21" s="5" t="s">
        <v>15</v>
      </c>
      <c r="B21" s="8"/>
      <c r="C21" s="16" t="s">
        <v>15</v>
      </c>
      <c r="D21" s="19"/>
      <c r="E21" s="27" t="s">
        <v>15</v>
      </c>
      <c r="F21" s="30"/>
    </row>
    <row r="22" spans="1:11" ht="45">
      <c r="A22" s="5" t="s">
        <v>16</v>
      </c>
      <c r="B22" s="7"/>
      <c r="C22" s="16" t="s">
        <v>16</v>
      </c>
      <c r="D22" s="18"/>
      <c r="E22" s="27" t="s">
        <v>16</v>
      </c>
      <c r="F22" s="29"/>
    </row>
    <row r="23" spans="1:11">
      <c r="A23" s="9" t="s">
        <v>17</v>
      </c>
      <c r="B23" s="10" t="s">
        <v>18</v>
      </c>
      <c r="C23" s="20" t="s">
        <v>17</v>
      </c>
      <c r="D23" s="21" t="s">
        <v>21</v>
      </c>
      <c r="E23" s="31" t="s">
        <v>17</v>
      </c>
      <c r="F23" s="32" t="s">
        <v>24</v>
      </c>
    </row>
    <row r="24" spans="1:11">
      <c r="A24" s="11">
        <v>32143</v>
      </c>
      <c r="B24" s="12">
        <v>25873.8</v>
      </c>
      <c r="C24" s="22">
        <v>32143</v>
      </c>
      <c r="D24" s="23">
        <v>162547.9</v>
      </c>
      <c r="E24" s="33">
        <v>32143</v>
      </c>
      <c r="F24" s="34">
        <v>1042066.1</v>
      </c>
      <c r="G24" s="36">
        <f>D24-B24</f>
        <v>136674.1</v>
      </c>
    </row>
    <row r="25" spans="1:11">
      <c r="A25" s="11">
        <v>32509</v>
      </c>
      <c r="B25" s="12">
        <v>19493.400000000001</v>
      </c>
      <c r="C25" s="22">
        <v>32509</v>
      </c>
      <c r="D25" s="23">
        <v>171896.3</v>
      </c>
      <c r="E25" s="33">
        <v>32509</v>
      </c>
      <c r="F25" s="34">
        <v>1085815.1000000001</v>
      </c>
      <c r="G25" s="36">
        <f t="shared" ref="G25:G40" si="0">D25-B25</f>
        <v>152402.9</v>
      </c>
      <c r="H25" s="35">
        <f t="shared" ref="H25:H40" si="1">(B25-B24)/B24</f>
        <v>-0.246596943626371</v>
      </c>
      <c r="I25" s="35">
        <f t="shared" ref="I25:I40" si="2">(D25-D24)/D24</f>
        <v>5.7511662716036284E-2</v>
      </c>
      <c r="J25" s="35">
        <f t="shared" ref="J25:J40" si="3">(F25-F24)/F24</f>
        <v>4.1982941389226765E-2</v>
      </c>
      <c r="K25" s="35">
        <f t="shared" ref="K25:K40" si="4">(G25-G24)/G24</f>
        <v>0.11508252112141208</v>
      </c>
    </row>
    <row r="26" spans="1:11">
      <c r="A26" s="11">
        <v>32874</v>
      </c>
      <c r="B26" s="12">
        <v>19041.3</v>
      </c>
      <c r="C26" s="22">
        <v>32874</v>
      </c>
      <c r="D26" s="23">
        <v>194455.9</v>
      </c>
      <c r="E26" s="33">
        <v>32874</v>
      </c>
      <c r="F26" s="34">
        <v>1140847.5</v>
      </c>
      <c r="G26" s="36">
        <f t="shared" si="0"/>
        <v>175414.6</v>
      </c>
      <c r="H26" s="35">
        <f t="shared" si="1"/>
        <v>-2.3192465142048188E-2</v>
      </c>
      <c r="I26" s="35">
        <f t="shared" si="2"/>
        <v>0.13123959038094482</v>
      </c>
      <c r="J26" s="35">
        <f t="shared" si="3"/>
        <v>5.0683030655955974E-2</v>
      </c>
      <c r="K26" s="35">
        <f t="shared" si="4"/>
        <v>0.15099253360664405</v>
      </c>
    </row>
    <row r="27" spans="1:11">
      <c r="A27" s="11">
        <v>33239</v>
      </c>
      <c r="B27" s="12">
        <v>18894.7</v>
      </c>
      <c r="C27" s="22">
        <v>33239</v>
      </c>
      <c r="D27" s="23">
        <v>215833.1</v>
      </c>
      <c r="E27" s="33">
        <v>33239</v>
      </c>
      <c r="F27" s="34">
        <v>1189017</v>
      </c>
      <c r="G27" s="36">
        <f t="shared" si="0"/>
        <v>196938.4</v>
      </c>
      <c r="H27" s="35">
        <f t="shared" si="1"/>
        <v>-7.6990541612179083E-3</v>
      </c>
      <c r="I27" s="35">
        <f t="shared" si="2"/>
        <v>0.10993340906601452</v>
      </c>
      <c r="J27" s="35">
        <f t="shared" si="3"/>
        <v>4.2222558229737105E-2</v>
      </c>
      <c r="K27" s="35">
        <f t="shared" si="4"/>
        <v>0.12270244324018632</v>
      </c>
    </row>
    <row r="28" spans="1:11">
      <c r="A28" s="11">
        <v>33604</v>
      </c>
      <c r="B28" s="12">
        <v>26754.799999999999</v>
      </c>
      <c r="C28" s="22">
        <v>33604</v>
      </c>
      <c r="D28" s="23">
        <v>239227</v>
      </c>
      <c r="E28" s="33">
        <v>33604</v>
      </c>
      <c r="F28" s="34">
        <v>1232162.3</v>
      </c>
      <c r="G28" s="36">
        <f t="shared" si="0"/>
        <v>212472.2</v>
      </c>
      <c r="H28" s="35">
        <f t="shared" si="1"/>
        <v>0.41599496155006421</v>
      </c>
      <c r="I28" s="35">
        <f t="shared" si="2"/>
        <v>0.10838884304585346</v>
      </c>
      <c r="J28" s="35">
        <f t="shared" si="3"/>
        <v>3.6286529124478495E-2</v>
      </c>
      <c r="K28" s="35">
        <f t="shared" si="4"/>
        <v>7.8876440551969643E-2</v>
      </c>
    </row>
    <row r="29" spans="1:11">
      <c r="A29" s="11">
        <v>33970</v>
      </c>
      <c r="B29" s="12">
        <v>30597.4</v>
      </c>
      <c r="C29" s="22">
        <v>33970</v>
      </c>
      <c r="D29" s="23">
        <v>233179.4</v>
      </c>
      <c r="E29" s="33">
        <v>33970</v>
      </c>
      <c r="F29" s="34">
        <v>1256196</v>
      </c>
      <c r="G29" s="36">
        <f t="shared" si="0"/>
        <v>202582</v>
      </c>
      <c r="H29" s="35">
        <f t="shared" si="1"/>
        <v>0.14362282655822514</v>
      </c>
      <c r="I29" s="35">
        <f t="shared" si="2"/>
        <v>-2.5279755211577312E-2</v>
      </c>
      <c r="J29" s="35">
        <f t="shared" si="3"/>
        <v>1.950530380616251E-2</v>
      </c>
      <c r="K29" s="35">
        <f t="shared" si="4"/>
        <v>-4.6548207247818829E-2</v>
      </c>
    </row>
    <row r="30" spans="1:11">
      <c r="A30" s="11">
        <v>34335</v>
      </c>
      <c r="B30" s="12">
        <v>38264.1</v>
      </c>
      <c r="C30" s="22">
        <v>34335</v>
      </c>
      <c r="D30" s="23">
        <v>252745.2</v>
      </c>
      <c r="E30" s="33">
        <v>34335</v>
      </c>
      <c r="F30" s="34">
        <v>1311661.1000000001</v>
      </c>
      <c r="G30" s="36">
        <f t="shared" si="0"/>
        <v>214481.1</v>
      </c>
      <c r="H30" s="35">
        <f t="shared" si="1"/>
        <v>0.25056704164406113</v>
      </c>
      <c r="I30" s="35">
        <f t="shared" si="2"/>
        <v>8.3908784395191074E-2</v>
      </c>
      <c r="J30" s="35">
        <f t="shared" si="3"/>
        <v>4.4153221312597787E-2</v>
      </c>
      <c r="K30" s="35">
        <f t="shared" si="4"/>
        <v>5.8737202712975514E-2</v>
      </c>
    </row>
    <row r="31" spans="1:11">
      <c r="A31" s="11">
        <v>34700</v>
      </c>
      <c r="B31" s="12">
        <v>10360.700000000001</v>
      </c>
      <c r="C31" s="22">
        <v>34700</v>
      </c>
      <c r="D31" s="23">
        <v>179442.1</v>
      </c>
      <c r="E31" s="33">
        <v>34700</v>
      </c>
      <c r="F31" s="34">
        <v>1230771.1000000001</v>
      </c>
      <c r="G31" s="36">
        <f t="shared" si="0"/>
        <v>169081.4</v>
      </c>
      <c r="H31" s="35">
        <f t="shared" si="1"/>
        <v>-0.72923183872088981</v>
      </c>
      <c r="I31" s="35">
        <f t="shared" si="2"/>
        <v>-0.29002766422468162</v>
      </c>
      <c r="J31" s="35">
        <f t="shared" si="3"/>
        <v>-6.1669893236903951E-2</v>
      </c>
      <c r="K31" s="35">
        <f t="shared" si="4"/>
        <v>-0.21167226389644594</v>
      </c>
    </row>
    <row r="32" spans="1:11">
      <c r="A32" s="11">
        <v>35065</v>
      </c>
      <c r="B32" s="12">
        <v>29659</v>
      </c>
      <c r="C32" s="22">
        <v>35065</v>
      </c>
      <c r="D32" s="23">
        <v>208860.5</v>
      </c>
      <c r="E32" s="33">
        <v>35065</v>
      </c>
      <c r="F32" s="34">
        <v>1294196.6000000001</v>
      </c>
      <c r="G32" s="36">
        <f t="shared" si="0"/>
        <v>179201.5</v>
      </c>
      <c r="H32" s="35">
        <f t="shared" si="1"/>
        <v>1.8626444159178432</v>
      </c>
      <c r="I32" s="35">
        <f t="shared" si="2"/>
        <v>0.16394368991446262</v>
      </c>
      <c r="J32" s="35">
        <f t="shared" si="3"/>
        <v>5.1533140484042887E-2</v>
      </c>
      <c r="K32" s="35">
        <f t="shared" si="4"/>
        <v>5.985341971381835E-2</v>
      </c>
    </row>
    <row r="33" spans="1:11">
      <c r="A33" s="11">
        <v>35431</v>
      </c>
      <c r="B33" s="12">
        <v>44963.8</v>
      </c>
      <c r="C33" s="22">
        <v>35431</v>
      </c>
      <c r="D33" s="23">
        <v>252797.4</v>
      </c>
      <c r="E33" s="33">
        <v>35431</v>
      </c>
      <c r="F33" s="34">
        <v>1381839.2</v>
      </c>
      <c r="G33" s="36">
        <f t="shared" si="0"/>
        <v>207833.59999999998</v>
      </c>
      <c r="H33" s="35">
        <f t="shared" si="1"/>
        <v>0.51602548973330198</v>
      </c>
      <c r="I33" s="35">
        <f t="shared" si="2"/>
        <v>0.21036481287749476</v>
      </c>
      <c r="J33" s="35">
        <f t="shared" si="3"/>
        <v>6.7719695755652468E-2</v>
      </c>
      <c r="K33" s="35">
        <f t="shared" si="4"/>
        <v>0.15977600633923253</v>
      </c>
    </row>
    <row r="34" spans="1:11">
      <c r="A34" s="11">
        <v>35796</v>
      </c>
      <c r="B34" s="12">
        <v>50269.2</v>
      </c>
      <c r="C34" s="22">
        <v>35796</v>
      </c>
      <c r="D34" s="23">
        <v>278787.8</v>
      </c>
      <c r="E34" s="33">
        <v>35796</v>
      </c>
      <c r="F34" s="34">
        <v>1451350.9</v>
      </c>
      <c r="G34" s="36">
        <f t="shared" si="0"/>
        <v>228518.59999999998</v>
      </c>
      <c r="H34" s="35">
        <f t="shared" si="1"/>
        <v>0.11799269634683887</v>
      </c>
      <c r="I34" s="35">
        <f t="shared" si="2"/>
        <v>0.10281118397578454</v>
      </c>
      <c r="J34" s="35">
        <f t="shared" si="3"/>
        <v>5.0303754590259098E-2</v>
      </c>
      <c r="K34" s="35">
        <f t="shared" si="4"/>
        <v>9.9526736774034619E-2</v>
      </c>
    </row>
    <row r="35" spans="1:11">
      <c r="A35" s="11">
        <v>36161</v>
      </c>
      <c r="B35" s="12">
        <v>42041</v>
      </c>
      <c r="C35" s="22">
        <v>36161</v>
      </c>
      <c r="D35" s="23">
        <v>300278.59999999998</v>
      </c>
      <c r="E35" s="33">
        <v>36161</v>
      </c>
      <c r="F35" s="34">
        <v>1505876</v>
      </c>
      <c r="G35" s="36">
        <f t="shared" si="0"/>
        <v>258237.59999999998</v>
      </c>
      <c r="H35" s="35">
        <f t="shared" si="1"/>
        <v>-0.16368273216999668</v>
      </c>
      <c r="I35" s="35">
        <f t="shared" si="2"/>
        <v>7.7086587002731077E-2</v>
      </c>
      <c r="J35" s="35">
        <f t="shared" si="3"/>
        <v>3.7568516338812412E-2</v>
      </c>
      <c r="K35" s="35">
        <f t="shared" si="4"/>
        <v>0.13005068296410008</v>
      </c>
    </row>
    <row r="36" spans="1:11">
      <c r="A36" s="11">
        <v>36526</v>
      </c>
      <c r="B36" s="12">
        <v>47822.1</v>
      </c>
      <c r="C36" s="22">
        <v>36526</v>
      </c>
      <c r="D36" s="23">
        <v>334383.2</v>
      </c>
      <c r="E36" s="33">
        <v>36526</v>
      </c>
      <c r="F36" s="34">
        <v>1605127.9</v>
      </c>
      <c r="G36" s="36">
        <f t="shared" si="0"/>
        <v>286561.10000000003</v>
      </c>
      <c r="H36" s="35">
        <f t="shared" si="1"/>
        <v>0.13751100116552886</v>
      </c>
      <c r="I36" s="35">
        <f t="shared" si="2"/>
        <v>0.11357652526686896</v>
      </c>
      <c r="J36" s="35">
        <f t="shared" si="3"/>
        <v>6.5909742900477797E-2</v>
      </c>
      <c r="K36" s="35">
        <f t="shared" si="4"/>
        <v>0.10968000012391713</v>
      </c>
    </row>
    <row r="37" spans="1:11">
      <c r="A37" s="11">
        <v>36892</v>
      </c>
      <c r="B37" s="12">
        <v>52262.1</v>
      </c>
      <c r="C37" s="22">
        <v>36892</v>
      </c>
      <c r="D37" s="23">
        <v>315531.7</v>
      </c>
      <c r="E37" s="33">
        <v>36892</v>
      </c>
      <c r="F37" s="34">
        <v>1604601</v>
      </c>
      <c r="G37" s="36">
        <f t="shared" si="0"/>
        <v>263269.60000000003</v>
      </c>
      <c r="H37" s="35">
        <f t="shared" si="1"/>
        <v>9.284410345844285E-2</v>
      </c>
      <c r="I37" s="35">
        <f t="shared" si="2"/>
        <v>-5.6376935204878714E-2</v>
      </c>
      <c r="J37" s="35">
        <f t="shared" si="3"/>
        <v>-3.2826044578747083E-4</v>
      </c>
      <c r="K37" s="35">
        <f t="shared" si="4"/>
        <v>-8.1279350197915892E-2</v>
      </c>
    </row>
    <row r="38" spans="1:11">
      <c r="A38" s="11">
        <v>37257</v>
      </c>
      <c r="B38" s="12">
        <v>50059.7</v>
      </c>
      <c r="C38" s="22">
        <v>37257</v>
      </c>
      <c r="D38" s="23">
        <v>313517.3</v>
      </c>
      <c r="E38" s="33">
        <v>37257</v>
      </c>
      <c r="F38" s="34">
        <v>1616987.7</v>
      </c>
      <c r="G38" s="36">
        <f t="shared" si="0"/>
        <v>263457.59999999998</v>
      </c>
      <c r="H38" s="35">
        <f t="shared" si="1"/>
        <v>-4.2141437102604019E-2</v>
      </c>
      <c r="I38" s="35">
        <f t="shared" si="2"/>
        <v>-6.3841446041713818E-3</v>
      </c>
      <c r="J38" s="35">
        <f t="shared" si="3"/>
        <v>7.7194891440301693E-3</v>
      </c>
      <c r="K38" s="35">
        <f t="shared" si="4"/>
        <v>7.1409688015609005E-4</v>
      </c>
    </row>
    <row r="39" spans="1:11">
      <c r="A39" s="11">
        <v>37622</v>
      </c>
      <c r="B39" s="12">
        <v>33873.599999999999</v>
      </c>
      <c r="C39" s="22">
        <v>37622</v>
      </c>
      <c r="D39" s="23">
        <v>314674.3</v>
      </c>
      <c r="E39" s="33">
        <v>37622</v>
      </c>
      <c r="F39" s="34">
        <v>1639468</v>
      </c>
      <c r="G39" s="36">
        <f t="shared" si="0"/>
        <v>280800.7</v>
      </c>
      <c r="H39" s="35">
        <f t="shared" si="1"/>
        <v>-0.32333593689135171</v>
      </c>
      <c r="I39" s="35">
        <f t="shared" si="2"/>
        <v>3.6903864635221086E-3</v>
      </c>
      <c r="J39" s="35">
        <f t="shared" si="3"/>
        <v>1.3902579469219245E-2</v>
      </c>
      <c r="K39" s="35">
        <f t="shared" si="4"/>
        <v>6.5828808886135889E-2</v>
      </c>
    </row>
    <row r="40" spans="1:11">
      <c r="A40" s="11">
        <v>37987</v>
      </c>
      <c r="B40" s="12">
        <v>35687.300000000003</v>
      </c>
      <c r="C40" s="22">
        <v>37987</v>
      </c>
      <c r="D40" s="23">
        <v>338286.9</v>
      </c>
      <c r="E40" s="33">
        <v>37987</v>
      </c>
      <c r="F40" s="34">
        <v>1707689.1</v>
      </c>
      <c r="G40" s="36">
        <f t="shared" si="0"/>
        <v>302599.60000000003</v>
      </c>
      <c r="H40" s="35">
        <f t="shared" si="1"/>
        <v>5.3543172263946094E-2</v>
      </c>
      <c r="I40" s="35">
        <f t="shared" si="2"/>
        <v>7.5038222060079374E-2</v>
      </c>
      <c r="J40" s="35">
        <f t="shared" si="3"/>
        <v>4.1611730146608593E-2</v>
      </c>
      <c r="K40" s="35">
        <f t="shared" si="4"/>
        <v>7.7631216731297401E-2</v>
      </c>
    </row>
    <row r="42" spans="1:11">
      <c r="A42" s="37" t="s">
        <v>25</v>
      </c>
    </row>
  </sheetData>
  <hyperlinks>
    <hyperlink ref="A42" r:id="rId1" xr:uid="{21EE7C0F-AC32-4082-B0CB-866E0B467AD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27C6-795B-4E7E-9616-5B8D2BEECDBA}">
  <dimension ref="A1:F182"/>
  <sheetViews>
    <sheetView workbookViewId="0">
      <selection sqref="A1:B8"/>
    </sheetView>
  </sheetViews>
  <sheetFormatPr baseColWidth="10" defaultRowHeight="15"/>
  <cols>
    <col min="15" max="15" width="11.85546875" bestFit="1" customWidth="1"/>
  </cols>
  <sheetData>
    <row r="1" spans="1:2">
      <c r="A1" s="59">
        <v>3.1</v>
      </c>
      <c r="B1" s="59"/>
    </row>
    <row r="2" spans="1:2">
      <c r="A2" t="s">
        <v>26</v>
      </c>
      <c r="B2" t="s">
        <v>27</v>
      </c>
    </row>
    <row r="3" spans="1:2">
      <c r="A3">
        <v>15</v>
      </c>
      <c r="B3">
        <v>35</v>
      </c>
    </row>
    <row r="4" spans="1:2">
      <c r="A4">
        <v>20</v>
      </c>
      <c r="B4">
        <v>30</v>
      </c>
    </row>
    <row r="5" spans="1:2">
      <c r="A5">
        <v>25</v>
      </c>
      <c r="B5">
        <v>25</v>
      </c>
    </row>
    <row r="6" spans="1:2">
      <c r="A6">
        <v>30</v>
      </c>
      <c r="B6">
        <v>20</v>
      </c>
    </row>
    <row r="7" spans="1:2">
      <c r="A7">
        <v>35</v>
      </c>
      <c r="B7">
        <v>15</v>
      </c>
    </row>
    <row r="8" spans="1:2">
      <c r="A8">
        <v>40</v>
      </c>
      <c r="B8">
        <v>10</v>
      </c>
    </row>
    <row r="17" spans="1:2">
      <c r="A17" s="59">
        <v>3.2</v>
      </c>
      <c r="B17" s="59"/>
    </row>
    <row r="18" spans="1:2">
      <c r="A18" t="s">
        <v>26</v>
      </c>
      <c r="B18" t="s">
        <v>27</v>
      </c>
    </row>
    <row r="19" spans="1:2">
      <c r="A19">
        <v>20</v>
      </c>
      <c r="B19">
        <v>25</v>
      </c>
    </row>
    <row r="20" spans="1:2">
      <c r="A20">
        <v>25</v>
      </c>
      <c r="B20">
        <v>20</v>
      </c>
    </row>
    <row r="21" spans="1:2">
      <c r="A21">
        <v>30</v>
      </c>
      <c r="B21">
        <v>16</v>
      </c>
    </row>
    <row r="22" spans="1:2">
      <c r="A22">
        <v>35</v>
      </c>
      <c r="B22">
        <v>10</v>
      </c>
    </row>
    <row r="23" spans="1:2">
      <c r="A23">
        <v>40</v>
      </c>
      <c r="B23">
        <v>5</v>
      </c>
    </row>
    <row r="34" spans="1:2">
      <c r="A34" s="59">
        <v>3.3</v>
      </c>
      <c r="B34" s="59"/>
    </row>
    <row r="35" spans="1:2">
      <c r="A35" t="s">
        <v>26</v>
      </c>
      <c r="B35" t="s">
        <v>27</v>
      </c>
    </row>
    <row r="36" spans="1:2">
      <c r="A36">
        <v>0</v>
      </c>
      <c r="B36">
        <v>80</v>
      </c>
    </row>
    <row r="37" spans="1:2">
      <c r="A37">
        <v>5</v>
      </c>
      <c r="B37">
        <v>60</v>
      </c>
    </row>
    <row r="38" spans="1:2">
      <c r="A38">
        <v>10</v>
      </c>
      <c r="B38">
        <v>55</v>
      </c>
    </row>
    <row r="39" spans="1:2">
      <c r="A39">
        <v>15</v>
      </c>
      <c r="B39">
        <v>30</v>
      </c>
    </row>
    <row r="40" spans="1:2">
      <c r="A40">
        <v>20</v>
      </c>
      <c r="B40">
        <v>10</v>
      </c>
    </row>
    <row r="41" spans="1:2">
      <c r="A41">
        <v>25</v>
      </c>
      <c r="B41">
        <v>0</v>
      </c>
    </row>
    <row r="51" spans="1:2">
      <c r="A51" s="59">
        <v>3.4</v>
      </c>
      <c r="B51" s="59"/>
    </row>
    <row r="52" spans="1:2">
      <c r="A52" t="s">
        <v>26</v>
      </c>
      <c r="B52" t="s">
        <v>27</v>
      </c>
    </row>
    <row r="53" spans="1:2">
      <c r="A53">
        <v>20</v>
      </c>
      <c r="B53">
        <v>2</v>
      </c>
    </row>
    <row r="54" spans="1:2">
      <c r="A54">
        <v>15</v>
      </c>
      <c r="B54">
        <v>10</v>
      </c>
    </row>
    <row r="55" spans="1:2">
      <c r="A55">
        <v>10</v>
      </c>
      <c r="B55">
        <v>25</v>
      </c>
    </row>
    <row r="56" spans="1:2">
      <c r="A56">
        <v>5</v>
      </c>
      <c r="B56">
        <v>30</v>
      </c>
    </row>
    <row r="57" spans="1:2">
      <c r="A57">
        <v>0</v>
      </c>
      <c r="B57">
        <v>40</v>
      </c>
    </row>
    <row r="67" spans="1:5">
      <c r="A67" s="59">
        <v>3.5</v>
      </c>
      <c r="B67" s="59"/>
      <c r="D67" s="59">
        <v>3.5</v>
      </c>
      <c r="E67" s="59"/>
    </row>
    <row r="68" spans="1:5">
      <c r="A68" t="s">
        <v>26</v>
      </c>
      <c r="B68" t="s">
        <v>27</v>
      </c>
      <c r="D68" t="s">
        <v>26</v>
      </c>
      <c r="E68" t="s">
        <v>27</v>
      </c>
    </row>
    <row r="69" spans="1:5">
      <c r="A69">
        <v>15</v>
      </c>
      <c r="B69">
        <v>35</v>
      </c>
      <c r="D69">
        <v>0</v>
      </c>
      <c r="E69">
        <f t="shared" ref="E69:E77" si="0">SUMIF($A$69:$A$90,D69,$B$69:$B$90)</f>
        <v>120</v>
      </c>
    </row>
    <row r="70" spans="1:5">
      <c r="A70">
        <v>20</v>
      </c>
      <c r="B70">
        <v>30</v>
      </c>
      <c r="D70">
        <v>5</v>
      </c>
      <c r="E70">
        <f t="shared" si="0"/>
        <v>90</v>
      </c>
    </row>
    <row r="71" spans="1:5">
      <c r="A71">
        <v>25</v>
      </c>
      <c r="B71">
        <v>25</v>
      </c>
      <c r="D71">
        <v>10</v>
      </c>
      <c r="E71">
        <f t="shared" si="0"/>
        <v>80</v>
      </c>
    </row>
    <row r="72" spans="1:5">
      <c r="A72">
        <v>30</v>
      </c>
      <c r="B72">
        <v>20</v>
      </c>
      <c r="D72">
        <v>15</v>
      </c>
      <c r="E72">
        <f t="shared" si="0"/>
        <v>75</v>
      </c>
    </row>
    <row r="73" spans="1:5">
      <c r="A73">
        <v>35</v>
      </c>
      <c r="B73">
        <v>15</v>
      </c>
      <c r="D73">
        <v>20</v>
      </c>
      <c r="E73">
        <f t="shared" si="0"/>
        <v>67</v>
      </c>
    </row>
    <row r="74" spans="1:5">
      <c r="A74">
        <v>40</v>
      </c>
      <c r="B74">
        <v>10</v>
      </c>
      <c r="D74">
        <v>25</v>
      </c>
      <c r="E74">
        <f t="shared" si="0"/>
        <v>45</v>
      </c>
    </row>
    <row r="75" spans="1:5">
      <c r="A75">
        <v>20</v>
      </c>
      <c r="B75">
        <v>25</v>
      </c>
      <c r="D75">
        <v>30</v>
      </c>
      <c r="E75">
        <f t="shared" si="0"/>
        <v>36</v>
      </c>
    </row>
    <row r="76" spans="1:5">
      <c r="A76">
        <v>25</v>
      </c>
      <c r="B76">
        <v>20</v>
      </c>
      <c r="D76">
        <v>35</v>
      </c>
      <c r="E76">
        <f t="shared" si="0"/>
        <v>25</v>
      </c>
    </row>
    <row r="77" spans="1:5">
      <c r="A77">
        <v>30</v>
      </c>
      <c r="B77">
        <v>16</v>
      </c>
      <c r="D77">
        <v>40</v>
      </c>
      <c r="E77">
        <f t="shared" si="0"/>
        <v>15</v>
      </c>
    </row>
    <row r="78" spans="1:5">
      <c r="A78">
        <v>35</v>
      </c>
      <c r="B78">
        <v>10</v>
      </c>
    </row>
    <row r="79" spans="1:5">
      <c r="A79">
        <v>40</v>
      </c>
      <c r="B79">
        <v>5</v>
      </c>
    </row>
    <row r="80" spans="1:5">
      <c r="A80">
        <v>0</v>
      </c>
      <c r="B80">
        <v>80</v>
      </c>
    </row>
    <row r="81" spans="1:6">
      <c r="A81">
        <v>5</v>
      </c>
      <c r="B81">
        <v>60</v>
      </c>
    </row>
    <row r="82" spans="1:6">
      <c r="A82">
        <v>10</v>
      </c>
      <c r="B82">
        <v>55</v>
      </c>
    </row>
    <row r="83" spans="1:6">
      <c r="A83">
        <v>15</v>
      </c>
      <c r="B83">
        <v>30</v>
      </c>
    </row>
    <row r="84" spans="1:6">
      <c r="A84">
        <v>20</v>
      </c>
      <c r="B84">
        <v>10</v>
      </c>
    </row>
    <row r="85" spans="1:6">
      <c r="A85">
        <v>25</v>
      </c>
      <c r="B85">
        <v>0</v>
      </c>
    </row>
    <row r="86" spans="1:6">
      <c r="A86">
        <v>20</v>
      </c>
      <c r="B86">
        <v>2</v>
      </c>
    </row>
    <row r="87" spans="1:6">
      <c r="A87">
        <v>15</v>
      </c>
      <c r="B87">
        <v>10</v>
      </c>
    </row>
    <row r="88" spans="1:6">
      <c r="A88">
        <v>10</v>
      </c>
      <c r="B88">
        <v>25</v>
      </c>
    </row>
    <row r="89" spans="1:6">
      <c r="A89">
        <v>5</v>
      </c>
      <c r="B89">
        <v>30</v>
      </c>
    </row>
    <row r="90" spans="1:6">
      <c r="A90">
        <v>0</v>
      </c>
      <c r="B90">
        <v>40</v>
      </c>
    </row>
    <row r="92" spans="1:6">
      <c r="A92" s="59">
        <v>3.6</v>
      </c>
      <c r="B92" s="59"/>
      <c r="C92" s="59"/>
      <c r="D92" s="59"/>
      <c r="E92" s="59"/>
      <c r="F92" s="59"/>
    </row>
    <row r="93" spans="1:6">
      <c r="A93" t="s">
        <v>28</v>
      </c>
      <c r="B93" t="s">
        <v>29</v>
      </c>
      <c r="C93" t="s">
        <v>30</v>
      </c>
      <c r="D93" t="s">
        <v>31</v>
      </c>
      <c r="E93" t="s">
        <v>32</v>
      </c>
      <c r="F93" t="s">
        <v>33</v>
      </c>
    </row>
    <row r="94" spans="1:6">
      <c r="A94">
        <v>60</v>
      </c>
      <c r="B94">
        <v>60</v>
      </c>
      <c r="C94" s="38">
        <v>0.5</v>
      </c>
      <c r="D94">
        <f>C94*A94</f>
        <v>30</v>
      </c>
      <c r="E94">
        <f>B94-D94</f>
        <v>30</v>
      </c>
      <c r="F94">
        <f>E94</f>
        <v>30</v>
      </c>
    </row>
    <row r="95" spans="1:6">
      <c r="A95">
        <v>80</v>
      </c>
      <c r="B95">
        <v>60</v>
      </c>
      <c r="C95" s="38">
        <v>0.5</v>
      </c>
      <c r="D95">
        <f>C95*A95</f>
        <v>40</v>
      </c>
      <c r="E95">
        <f>B95-D95</f>
        <v>20</v>
      </c>
      <c r="F95">
        <f>E95</f>
        <v>20</v>
      </c>
    </row>
    <row r="96" spans="1:6">
      <c r="A96">
        <v>90</v>
      </c>
      <c r="B96">
        <v>60</v>
      </c>
      <c r="C96" s="38">
        <v>0.5</v>
      </c>
      <c r="D96">
        <f>C96*A96</f>
        <v>45</v>
      </c>
      <c r="E96">
        <f>B96-D96</f>
        <v>15</v>
      </c>
      <c r="F96">
        <f>E96</f>
        <v>15</v>
      </c>
    </row>
    <row r="97" spans="1:6">
      <c r="A97">
        <v>100</v>
      </c>
      <c r="B97">
        <v>60</v>
      </c>
      <c r="C97" s="38">
        <v>0.5</v>
      </c>
      <c r="D97">
        <f>C97*A97</f>
        <v>50</v>
      </c>
      <c r="E97">
        <f>B97-D97</f>
        <v>10</v>
      </c>
      <c r="F97">
        <f>E97</f>
        <v>10</v>
      </c>
    </row>
    <row r="98" spans="1:6">
      <c r="A98">
        <v>120</v>
      </c>
      <c r="B98">
        <v>60</v>
      </c>
      <c r="C98" s="38">
        <v>0.5</v>
      </c>
      <c r="D98">
        <f>C98*A98</f>
        <v>60</v>
      </c>
      <c r="E98">
        <f>B98-D98</f>
        <v>0</v>
      </c>
      <c r="F98">
        <f>E98</f>
        <v>0</v>
      </c>
    </row>
    <row r="99" spans="1:6">
      <c r="A99" t="s">
        <v>34</v>
      </c>
    </row>
    <row r="110" spans="1:6">
      <c r="A110" s="59">
        <v>3.7</v>
      </c>
      <c r="B110" s="59"/>
      <c r="C110" s="59"/>
      <c r="D110" s="59"/>
      <c r="E110" s="59"/>
      <c r="F110" s="59"/>
    </row>
    <row r="111" spans="1:6">
      <c r="A111" t="s">
        <v>28</v>
      </c>
      <c r="B111" t="s">
        <v>29</v>
      </c>
      <c r="C111" t="s">
        <v>30</v>
      </c>
      <c r="D111" t="s">
        <v>31</v>
      </c>
      <c r="E111" t="s">
        <v>32</v>
      </c>
      <c r="F111" t="s">
        <v>33</v>
      </c>
    </row>
    <row r="112" spans="1:6">
      <c r="A112">
        <v>60</v>
      </c>
      <c r="B112">
        <v>45</v>
      </c>
      <c r="C112" s="39">
        <f>1/3</f>
        <v>0.33333333333333331</v>
      </c>
      <c r="D112" s="40">
        <f>C112*A112</f>
        <v>20</v>
      </c>
      <c r="E112" s="40">
        <f>B112-D112</f>
        <v>25</v>
      </c>
      <c r="F112" s="40">
        <f>E112</f>
        <v>25</v>
      </c>
    </row>
    <row r="113" spans="1:6">
      <c r="A113">
        <v>80</v>
      </c>
      <c r="B113">
        <v>45</v>
      </c>
      <c r="C113" s="39">
        <f>1/3</f>
        <v>0.33333333333333331</v>
      </c>
      <c r="D113" s="40">
        <f>C113*A113</f>
        <v>26.666666666666664</v>
      </c>
      <c r="E113" s="40">
        <f>B113-D113</f>
        <v>18.333333333333336</v>
      </c>
      <c r="F113" s="40">
        <f>E113</f>
        <v>18.333333333333336</v>
      </c>
    </row>
    <row r="114" spans="1:6">
      <c r="A114">
        <v>90</v>
      </c>
      <c r="B114">
        <v>45</v>
      </c>
      <c r="C114" s="39">
        <f>1/3</f>
        <v>0.33333333333333331</v>
      </c>
      <c r="D114" s="40">
        <f>C114*A114</f>
        <v>30</v>
      </c>
      <c r="E114" s="40">
        <f>B114-D114</f>
        <v>15</v>
      </c>
      <c r="F114" s="40">
        <f>E114</f>
        <v>15</v>
      </c>
    </row>
    <row r="115" spans="1:6">
      <c r="A115">
        <v>100</v>
      </c>
      <c r="B115">
        <v>45</v>
      </c>
      <c r="C115" s="39">
        <f>1/3</f>
        <v>0.33333333333333331</v>
      </c>
      <c r="D115" s="40">
        <f>C115*A115</f>
        <v>33.333333333333329</v>
      </c>
      <c r="E115" s="40">
        <f>B115-D115</f>
        <v>11.666666666666671</v>
      </c>
      <c r="F115" s="40">
        <f>E115</f>
        <v>11.666666666666671</v>
      </c>
    </row>
    <row r="116" spans="1:6">
      <c r="A116">
        <v>120</v>
      </c>
      <c r="B116">
        <v>45</v>
      </c>
      <c r="C116" s="39">
        <f>1/3</f>
        <v>0.33333333333333331</v>
      </c>
      <c r="D116" s="40">
        <f>C116*A116</f>
        <v>40</v>
      </c>
      <c r="E116" s="40">
        <f>B116-D116</f>
        <v>5</v>
      </c>
      <c r="F116" s="40">
        <f>E116</f>
        <v>5</v>
      </c>
    </row>
    <row r="127" spans="1:6">
      <c r="A127" s="59">
        <v>3.8</v>
      </c>
      <c r="B127" s="59"/>
      <c r="C127" s="59"/>
      <c r="D127" s="59"/>
      <c r="E127" s="59"/>
      <c r="F127" s="59"/>
    </row>
    <row r="128" spans="1:6">
      <c r="A128" t="s">
        <v>28</v>
      </c>
      <c r="B128" t="s">
        <v>29</v>
      </c>
      <c r="C128" t="s">
        <v>30</v>
      </c>
      <c r="D128" t="s">
        <v>31</v>
      </c>
      <c r="E128" t="s">
        <v>32</v>
      </c>
      <c r="F128" t="s">
        <v>33</v>
      </c>
    </row>
    <row r="129" spans="1:6">
      <c r="A129">
        <v>0</v>
      </c>
      <c r="B129">
        <v>80</v>
      </c>
      <c r="C129" s="39">
        <v>0.1</v>
      </c>
      <c r="D129" s="40">
        <f>C129*A129</f>
        <v>0</v>
      </c>
      <c r="E129" s="40">
        <f>B129-D129</f>
        <v>80</v>
      </c>
      <c r="F129" s="40">
        <f>E129</f>
        <v>80</v>
      </c>
    </row>
    <row r="130" spans="1:6">
      <c r="A130">
        <v>10</v>
      </c>
      <c r="B130">
        <v>80</v>
      </c>
      <c r="C130" s="39">
        <v>0.1</v>
      </c>
      <c r="D130" s="40">
        <f>C130*A130</f>
        <v>1</v>
      </c>
      <c r="E130" s="40">
        <f>B130-D130</f>
        <v>79</v>
      </c>
      <c r="F130" s="40">
        <f>E130</f>
        <v>79</v>
      </c>
    </row>
    <row r="131" spans="1:6">
      <c r="A131">
        <v>25</v>
      </c>
      <c r="B131">
        <v>80</v>
      </c>
      <c r="C131" s="39">
        <v>0.1</v>
      </c>
      <c r="D131" s="40">
        <f>C131*A131</f>
        <v>2.5</v>
      </c>
      <c r="E131" s="40">
        <f>B131-D131</f>
        <v>77.5</v>
      </c>
      <c r="F131" s="40">
        <f>E131</f>
        <v>77.5</v>
      </c>
    </row>
    <row r="132" spans="1:6">
      <c r="A132">
        <v>80</v>
      </c>
      <c r="B132">
        <v>80</v>
      </c>
      <c r="C132" s="39">
        <v>0.1</v>
      </c>
      <c r="D132" s="40">
        <f>C132*A132</f>
        <v>8</v>
      </c>
      <c r="E132" s="40">
        <f>B132-D132</f>
        <v>72</v>
      </c>
      <c r="F132" s="40">
        <f>E132</f>
        <v>72</v>
      </c>
    </row>
    <row r="133" spans="1:6">
      <c r="A133">
        <v>150</v>
      </c>
      <c r="B133">
        <v>80</v>
      </c>
      <c r="C133" s="39">
        <v>0.1</v>
      </c>
      <c r="D133" s="40">
        <f>C133*A133</f>
        <v>15</v>
      </c>
      <c r="E133" s="40">
        <f>B133-D133</f>
        <v>65</v>
      </c>
      <c r="F133" s="40">
        <f>E133</f>
        <v>65</v>
      </c>
    </row>
    <row r="143" spans="1:6">
      <c r="A143" s="59" t="s">
        <v>35</v>
      </c>
      <c r="B143" s="59"/>
      <c r="C143" s="59"/>
      <c r="D143" s="59"/>
      <c r="E143" s="59"/>
      <c r="F143" s="59"/>
    </row>
    <row r="144" spans="1:6">
      <c r="A144" t="s">
        <v>28</v>
      </c>
      <c r="B144" t="s">
        <v>29</v>
      </c>
      <c r="C144" t="s">
        <v>30</v>
      </c>
      <c r="D144" t="s">
        <v>31</v>
      </c>
      <c r="E144" t="s">
        <v>32</v>
      </c>
      <c r="F144" t="s">
        <v>33</v>
      </c>
    </row>
    <row r="145" spans="1:6">
      <c r="A145">
        <v>50</v>
      </c>
      <c r="B145">
        <v>220</v>
      </c>
      <c r="C145" s="41">
        <v>4</v>
      </c>
      <c r="D145" s="40">
        <f>C145*A145</f>
        <v>200</v>
      </c>
      <c r="E145" s="40">
        <f>B145-D145</f>
        <v>20</v>
      </c>
      <c r="F145" s="40">
        <f>E145</f>
        <v>20</v>
      </c>
    </row>
    <row r="146" spans="1:6">
      <c r="A146">
        <v>40</v>
      </c>
      <c r="B146">
        <v>220</v>
      </c>
      <c r="C146" s="41">
        <v>4</v>
      </c>
      <c r="D146" s="40">
        <f>C146*A146</f>
        <v>160</v>
      </c>
      <c r="E146" s="40">
        <f>B146-D146</f>
        <v>60</v>
      </c>
      <c r="F146" s="40">
        <f>E146</f>
        <v>60</v>
      </c>
    </row>
    <row r="147" spans="1:6">
      <c r="A147">
        <v>30</v>
      </c>
      <c r="B147">
        <v>220</v>
      </c>
      <c r="C147" s="41">
        <v>4</v>
      </c>
      <c r="D147" s="40">
        <f>C147*A147</f>
        <v>120</v>
      </c>
      <c r="E147" s="40">
        <f>B147-D147</f>
        <v>100</v>
      </c>
      <c r="F147" s="40">
        <f>E147</f>
        <v>100</v>
      </c>
    </row>
    <row r="148" spans="1:6">
      <c r="A148">
        <v>20</v>
      </c>
      <c r="B148">
        <v>220</v>
      </c>
      <c r="C148" s="41">
        <v>4</v>
      </c>
      <c r="D148" s="40">
        <f>C148*A148</f>
        <v>80</v>
      </c>
      <c r="E148" s="40">
        <f>B148-D148</f>
        <v>140</v>
      </c>
      <c r="F148" s="40">
        <f>E148</f>
        <v>140</v>
      </c>
    </row>
    <row r="149" spans="1:6">
      <c r="A149">
        <v>10</v>
      </c>
      <c r="B149">
        <v>220</v>
      </c>
      <c r="C149" s="41">
        <v>4</v>
      </c>
      <c r="D149" s="40">
        <f>C149*A149</f>
        <v>40</v>
      </c>
      <c r="E149" s="40">
        <f>B149-D149</f>
        <v>180</v>
      </c>
      <c r="F149" s="40">
        <f>E149</f>
        <v>180</v>
      </c>
    </row>
    <row r="159" spans="1:6">
      <c r="A159" s="59" t="s">
        <v>36</v>
      </c>
      <c r="B159" s="59"/>
      <c r="C159" s="59"/>
      <c r="D159" s="59"/>
      <c r="E159" s="59"/>
      <c r="F159" s="59"/>
    </row>
    <row r="160" spans="1:6">
      <c r="A160" t="s">
        <v>28</v>
      </c>
      <c r="B160" t="s">
        <v>37</v>
      </c>
      <c r="C160" t="s">
        <v>38</v>
      </c>
      <c r="D160" t="s">
        <v>39</v>
      </c>
      <c r="E160" t="s">
        <v>40</v>
      </c>
      <c r="F160" t="s">
        <v>33</v>
      </c>
    </row>
    <row r="161" spans="1:6">
      <c r="A161">
        <v>1</v>
      </c>
      <c r="B161">
        <v>20</v>
      </c>
      <c r="C161" s="39">
        <f>1/2</f>
        <v>0.5</v>
      </c>
      <c r="D161" s="40">
        <f>C161*A161</f>
        <v>0.5</v>
      </c>
      <c r="E161" s="40">
        <f>B161+D161</f>
        <v>20.5</v>
      </c>
      <c r="F161" s="40">
        <f>E161</f>
        <v>20.5</v>
      </c>
    </row>
    <row r="162" spans="1:6">
      <c r="A162">
        <v>2</v>
      </c>
      <c r="B162">
        <v>20</v>
      </c>
      <c r="C162" s="39">
        <f>1/2</f>
        <v>0.5</v>
      </c>
      <c r="D162" s="40">
        <f>C162*A162</f>
        <v>1</v>
      </c>
      <c r="E162" s="40">
        <f>B162+D162</f>
        <v>21</v>
      </c>
      <c r="F162" s="40">
        <f>E162</f>
        <v>21</v>
      </c>
    </row>
    <row r="163" spans="1:6">
      <c r="A163">
        <v>3</v>
      </c>
      <c r="B163">
        <v>20</v>
      </c>
      <c r="C163" s="39">
        <f>1/2</f>
        <v>0.5</v>
      </c>
      <c r="D163" s="40">
        <f>C163*A163</f>
        <v>1.5</v>
      </c>
      <c r="E163" s="40">
        <f>B163+D163</f>
        <v>21.5</v>
      </c>
      <c r="F163" s="40">
        <f>E163</f>
        <v>21.5</v>
      </c>
    </row>
    <row r="164" spans="1:6">
      <c r="A164">
        <v>4</v>
      </c>
      <c r="B164">
        <v>20</v>
      </c>
      <c r="C164" s="39">
        <f>1/2</f>
        <v>0.5</v>
      </c>
      <c r="D164" s="40">
        <f>C164*A164</f>
        <v>2</v>
      </c>
      <c r="E164" s="40">
        <f>B164+D164</f>
        <v>22</v>
      </c>
      <c r="F164" s="40">
        <f>E164</f>
        <v>22</v>
      </c>
    </row>
    <row r="165" spans="1:6">
      <c r="A165">
        <v>5</v>
      </c>
      <c r="B165">
        <v>20</v>
      </c>
      <c r="C165" s="39">
        <f>1/2</f>
        <v>0.5</v>
      </c>
      <c r="D165" s="40">
        <f>C165*A165</f>
        <v>2.5</v>
      </c>
      <c r="E165" s="40">
        <f>B165+D165</f>
        <v>22.5</v>
      </c>
      <c r="F165" s="40">
        <f>E165</f>
        <v>22.5</v>
      </c>
    </row>
    <row r="176" spans="1:6">
      <c r="A176" s="59" t="s">
        <v>41</v>
      </c>
      <c r="B176" s="59"/>
      <c r="C176" s="59"/>
      <c r="D176" s="59"/>
      <c r="E176" s="59"/>
      <c r="F176" s="59"/>
    </row>
    <row r="177" spans="1:6">
      <c r="A177" t="s">
        <v>28</v>
      </c>
      <c r="B177" t="s">
        <v>37</v>
      </c>
      <c r="C177" t="s">
        <v>38</v>
      </c>
      <c r="D177" t="s">
        <v>39</v>
      </c>
      <c r="E177" t="s">
        <v>40</v>
      </c>
      <c r="F177" t="s">
        <v>33</v>
      </c>
    </row>
    <row r="178" spans="1:6">
      <c r="A178">
        <v>1</v>
      </c>
      <c r="B178">
        <v>20</v>
      </c>
      <c r="C178" s="41">
        <v>2</v>
      </c>
      <c r="D178" s="40">
        <f>C178*A178</f>
        <v>2</v>
      </c>
      <c r="E178" s="40">
        <f>B178+D178</f>
        <v>22</v>
      </c>
      <c r="F178" s="40">
        <f>E178</f>
        <v>22</v>
      </c>
    </row>
    <row r="179" spans="1:6">
      <c r="A179">
        <v>2</v>
      </c>
      <c r="B179">
        <v>20</v>
      </c>
      <c r="C179" s="41">
        <v>2</v>
      </c>
      <c r="D179" s="40">
        <f>C179*A179</f>
        <v>4</v>
      </c>
      <c r="E179" s="40">
        <f>B179+D179</f>
        <v>24</v>
      </c>
      <c r="F179" s="40">
        <f>E179</f>
        <v>24</v>
      </c>
    </row>
    <row r="180" spans="1:6">
      <c r="A180">
        <v>3</v>
      </c>
      <c r="B180">
        <v>20</v>
      </c>
      <c r="C180" s="41">
        <v>2</v>
      </c>
      <c r="D180" s="40">
        <f>C180*A180</f>
        <v>6</v>
      </c>
      <c r="E180" s="40">
        <f>B180+D180</f>
        <v>26</v>
      </c>
      <c r="F180" s="40">
        <f>E180</f>
        <v>26</v>
      </c>
    </row>
    <row r="181" spans="1:6">
      <c r="A181">
        <v>4</v>
      </c>
      <c r="B181">
        <v>20</v>
      </c>
      <c r="C181" s="41">
        <v>2</v>
      </c>
      <c r="D181" s="40">
        <f>C181*A181</f>
        <v>8</v>
      </c>
      <c r="E181" s="40">
        <f>B181+D181</f>
        <v>28</v>
      </c>
      <c r="F181" s="40">
        <f>E181</f>
        <v>28</v>
      </c>
    </row>
    <row r="182" spans="1:6">
      <c r="A182">
        <v>5</v>
      </c>
      <c r="B182">
        <v>20</v>
      </c>
      <c r="C182" s="41">
        <v>2</v>
      </c>
      <c r="D182" s="40">
        <f>C182*A182</f>
        <v>10</v>
      </c>
      <c r="E182" s="40">
        <f>B182+D182</f>
        <v>30</v>
      </c>
      <c r="F182" s="40">
        <f>E182</f>
        <v>30</v>
      </c>
    </row>
  </sheetData>
  <sortState ref="D69:D77">
    <sortCondition ref="D69:D77"/>
  </sortState>
  <mergeCells count="12">
    <mergeCell ref="A143:F143"/>
    <mergeCell ref="A159:F159"/>
    <mergeCell ref="A176:F176"/>
    <mergeCell ref="D67:E67"/>
    <mergeCell ref="A92:F92"/>
    <mergeCell ref="A110:F110"/>
    <mergeCell ref="A127:F127"/>
    <mergeCell ref="A1:B1"/>
    <mergeCell ref="A17:B17"/>
    <mergeCell ref="A34:B34"/>
    <mergeCell ref="A51:B51"/>
    <mergeCell ref="A67:B67"/>
  </mergeCells>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DCD6C-8C16-46BB-BE84-B4869C965D7A}">
  <dimension ref="A1:D432"/>
  <sheetViews>
    <sheetView workbookViewId="0">
      <selection activeCell="A983" sqref="A983"/>
    </sheetView>
  </sheetViews>
  <sheetFormatPr baseColWidth="10" defaultRowHeight="15"/>
  <sheetData>
    <row r="1" spans="1:3">
      <c r="A1" s="59">
        <v>3.12</v>
      </c>
      <c r="B1" s="59"/>
      <c r="C1">
        <v>100</v>
      </c>
    </row>
    <row r="2" spans="1:3">
      <c r="A2" t="s">
        <v>26</v>
      </c>
      <c r="B2" t="s">
        <v>69</v>
      </c>
      <c r="C2">
        <v>1</v>
      </c>
    </row>
    <row r="3" spans="1:3">
      <c r="A3">
        <v>15</v>
      </c>
      <c r="B3" s="45">
        <f t="shared" ref="B3:B8" si="0">$C$1-A3*$C$2</f>
        <v>85</v>
      </c>
    </row>
    <row r="4" spans="1:3">
      <c r="A4">
        <v>34</v>
      </c>
      <c r="B4">
        <f t="shared" si="0"/>
        <v>66</v>
      </c>
    </row>
    <row r="5" spans="1:3">
      <c r="A5">
        <v>65</v>
      </c>
      <c r="B5">
        <f t="shared" si="0"/>
        <v>35</v>
      </c>
    </row>
    <row r="6" spans="1:3">
      <c r="A6">
        <v>78</v>
      </c>
      <c r="B6">
        <f t="shared" si="0"/>
        <v>22</v>
      </c>
    </row>
    <row r="7" spans="1:3">
      <c r="A7">
        <v>92</v>
      </c>
      <c r="B7">
        <f t="shared" si="0"/>
        <v>8</v>
      </c>
    </row>
    <row r="8" spans="1:3">
      <c r="A8">
        <v>100</v>
      </c>
      <c r="B8">
        <f t="shared" si="0"/>
        <v>0</v>
      </c>
    </row>
    <row r="19" spans="1:3">
      <c r="A19" s="59">
        <v>3.13</v>
      </c>
      <c r="B19" s="59"/>
      <c r="C19">
        <v>40</v>
      </c>
    </row>
    <row r="20" spans="1:3">
      <c r="A20" t="s">
        <v>26</v>
      </c>
      <c r="B20" t="s">
        <v>69</v>
      </c>
      <c r="C20">
        <v>2</v>
      </c>
    </row>
    <row r="21" spans="1:3">
      <c r="A21">
        <v>3</v>
      </c>
      <c r="B21">
        <f t="shared" ref="B21:B26" si="1">$C$19-A21*$C$20</f>
        <v>34</v>
      </c>
    </row>
    <row r="22" spans="1:3">
      <c r="A22">
        <v>8</v>
      </c>
      <c r="B22">
        <f t="shared" si="1"/>
        <v>24</v>
      </c>
    </row>
    <row r="23" spans="1:3">
      <c r="A23">
        <v>14</v>
      </c>
      <c r="B23">
        <f t="shared" si="1"/>
        <v>12</v>
      </c>
    </row>
    <row r="24" spans="1:3">
      <c r="A24">
        <v>17</v>
      </c>
      <c r="B24">
        <f t="shared" si="1"/>
        <v>6</v>
      </c>
    </row>
    <row r="25" spans="1:3">
      <c r="A25">
        <v>19</v>
      </c>
      <c r="B25">
        <f t="shared" si="1"/>
        <v>2</v>
      </c>
    </row>
    <row r="26" spans="1:3">
      <c r="A26">
        <v>20</v>
      </c>
      <c r="B26">
        <f t="shared" si="1"/>
        <v>0</v>
      </c>
    </row>
    <row r="35" spans="1:3">
      <c r="A35" s="59">
        <v>3.14</v>
      </c>
      <c r="B35" s="59"/>
      <c r="C35">
        <v>500</v>
      </c>
    </row>
    <row r="36" spans="1:3">
      <c r="A36" t="s">
        <v>26</v>
      </c>
      <c r="B36" t="s">
        <v>69</v>
      </c>
      <c r="C36">
        <v>5</v>
      </c>
    </row>
    <row r="37" spans="1:3">
      <c r="A37">
        <v>3</v>
      </c>
      <c r="B37">
        <f t="shared" ref="B37:B42" si="2">$C$35-A37*$C$36</f>
        <v>485</v>
      </c>
    </row>
    <row r="38" spans="1:3">
      <c r="A38">
        <v>34</v>
      </c>
      <c r="B38">
        <f t="shared" si="2"/>
        <v>330</v>
      </c>
    </row>
    <row r="39" spans="1:3">
      <c r="A39">
        <v>52</v>
      </c>
      <c r="B39">
        <f t="shared" si="2"/>
        <v>240</v>
      </c>
    </row>
    <row r="40" spans="1:3">
      <c r="A40">
        <v>73</v>
      </c>
      <c r="B40">
        <f t="shared" si="2"/>
        <v>135</v>
      </c>
    </row>
    <row r="41" spans="1:3">
      <c r="A41">
        <v>84</v>
      </c>
      <c r="B41">
        <f t="shared" si="2"/>
        <v>80</v>
      </c>
    </row>
    <row r="42" spans="1:3">
      <c r="A42">
        <v>100</v>
      </c>
      <c r="B42">
        <f t="shared" si="2"/>
        <v>0</v>
      </c>
    </row>
    <row r="51" spans="1:3">
      <c r="A51" s="59">
        <v>3.15</v>
      </c>
      <c r="B51" s="59"/>
      <c r="C51">
        <v>80</v>
      </c>
    </row>
    <row r="52" spans="1:3">
      <c r="A52" t="s">
        <v>26</v>
      </c>
      <c r="B52" t="s">
        <v>69</v>
      </c>
      <c r="C52">
        <v>0.4</v>
      </c>
    </row>
    <row r="53" spans="1:3">
      <c r="A53">
        <v>30</v>
      </c>
      <c r="B53">
        <f t="shared" ref="B53:B58" si="3">$C$51-A53*$C$52</f>
        <v>68</v>
      </c>
    </row>
    <row r="54" spans="1:3">
      <c r="A54">
        <v>50</v>
      </c>
      <c r="B54">
        <f t="shared" si="3"/>
        <v>60</v>
      </c>
    </row>
    <row r="55" spans="1:3">
      <c r="A55">
        <v>80</v>
      </c>
      <c r="B55">
        <f t="shared" si="3"/>
        <v>48</v>
      </c>
    </row>
    <row r="56" spans="1:3">
      <c r="A56">
        <v>100</v>
      </c>
      <c r="B56">
        <f t="shared" si="3"/>
        <v>40</v>
      </c>
    </row>
    <row r="57" spans="1:3">
      <c r="A57">
        <v>150</v>
      </c>
      <c r="B57">
        <f t="shared" si="3"/>
        <v>20</v>
      </c>
    </row>
    <row r="58" spans="1:3">
      <c r="A58">
        <v>200</v>
      </c>
      <c r="B58">
        <f t="shared" si="3"/>
        <v>0</v>
      </c>
    </row>
    <row r="69" spans="1:3">
      <c r="A69" s="59">
        <v>3.16</v>
      </c>
      <c r="B69" s="59"/>
      <c r="C69">
        <v>10</v>
      </c>
    </row>
    <row r="70" spans="1:3">
      <c r="A70" t="s">
        <v>26</v>
      </c>
      <c r="B70" t="s">
        <v>69</v>
      </c>
      <c r="C70">
        <v>3</v>
      </c>
    </row>
    <row r="71" spans="1:3">
      <c r="A71">
        <v>-5</v>
      </c>
      <c r="B71">
        <f t="shared" ref="B71:B76" si="4">$C$69+$C$70*A71</f>
        <v>-5</v>
      </c>
    </row>
    <row r="72" spans="1:3">
      <c r="A72">
        <v>-3.3330000000000002</v>
      </c>
      <c r="B72">
        <f t="shared" si="4"/>
        <v>9.9999999999944578E-4</v>
      </c>
    </row>
    <row r="73" spans="1:3">
      <c r="A73">
        <v>-2</v>
      </c>
      <c r="B73">
        <f t="shared" si="4"/>
        <v>4</v>
      </c>
    </row>
    <row r="74" spans="1:3">
      <c r="A74">
        <v>0</v>
      </c>
      <c r="B74">
        <f t="shared" si="4"/>
        <v>10</v>
      </c>
    </row>
    <row r="75" spans="1:3">
      <c r="A75">
        <v>5</v>
      </c>
      <c r="B75">
        <f t="shared" si="4"/>
        <v>25</v>
      </c>
    </row>
    <row r="76" spans="1:3">
      <c r="A76">
        <v>7</v>
      </c>
      <c r="B76">
        <f t="shared" si="4"/>
        <v>31</v>
      </c>
    </row>
    <row r="85" spans="1:3">
      <c r="A85" s="59">
        <v>3.17</v>
      </c>
      <c r="B85" s="59"/>
      <c r="C85">
        <v>-5</v>
      </c>
    </row>
    <row r="86" spans="1:3">
      <c r="A86" t="s">
        <v>26</v>
      </c>
      <c r="B86" t="s">
        <v>69</v>
      </c>
      <c r="C86">
        <v>2</v>
      </c>
    </row>
    <row r="87" spans="1:3">
      <c r="A87">
        <v>-3</v>
      </c>
      <c r="B87">
        <f t="shared" ref="B87:B92" si="5">$C$85+$C$86*A87</f>
        <v>-11</v>
      </c>
    </row>
    <row r="88" spans="1:3">
      <c r="A88">
        <v>-2</v>
      </c>
      <c r="B88">
        <f t="shared" si="5"/>
        <v>-9</v>
      </c>
    </row>
    <row r="89" spans="1:3">
      <c r="A89">
        <v>0</v>
      </c>
      <c r="B89">
        <f t="shared" si="5"/>
        <v>-5</v>
      </c>
    </row>
    <row r="90" spans="1:3">
      <c r="A90">
        <v>2.5</v>
      </c>
      <c r="B90">
        <f t="shared" si="5"/>
        <v>0</v>
      </c>
    </row>
    <row r="91" spans="1:3">
      <c r="A91">
        <v>5</v>
      </c>
      <c r="B91">
        <f t="shared" si="5"/>
        <v>5</v>
      </c>
    </row>
    <row r="92" spans="1:3">
      <c r="A92">
        <v>7</v>
      </c>
      <c r="B92">
        <f t="shared" si="5"/>
        <v>9</v>
      </c>
    </row>
    <row r="102" spans="1:3">
      <c r="A102" s="59">
        <v>3.18</v>
      </c>
      <c r="B102" s="59"/>
    </row>
    <row r="103" spans="1:3">
      <c r="A103">
        <v>-10</v>
      </c>
      <c r="B103">
        <v>3</v>
      </c>
      <c r="C103">
        <v>10</v>
      </c>
    </row>
    <row r="104" spans="1:3">
      <c r="A104" t="s">
        <v>26</v>
      </c>
      <c r="B104" t="s">
        <v>71</v>
      </c>
      <c r="C104" t="s">
        <v>70</v>
      </c>
    </row>
    <row r="105" spans="1:3">
      <c r="A105">
        <v>-3.3330000000000002</v>
      </c>
      <c r="B105">
        <f>$A$103+$B$103*A105</f>
        <v>-19.999000000000002</v>
      </c>
      <c r="C105">
        <f>$C$103+$B$103*A105</f>
        <v>9.9999999999944578E-4</v>
      </c>
    </row>
    <row r="107" spans="1:3">
      <c r="A107">
        <v>0</v>
      </c>
      <c r="B107">
        <f>$A$103+$B$103*A107</f>
        <v>-10</v>
      </c>
      <c r="C107">
        <f>$C$103+$B$103*A107</f>
        <v>10</v>
      </c>
    </row>
    <row r="108" spans="1:3">
      <c r="A108">
        <v>3.3330000000000002</v>
      </c>
      <c r="B108">
        <f>$A$103+$B$103*A108</f>
        <v>-9.9999999999944578E-4</v>
      </c>
      <c r="C108">
        <f>$C$103+$B$103*A108</f>
        <v>19.999000000000002</v>
      </c>
    </row>
    <row r="116" spans="1:3">
      <c r="A116" s="59">
        <v>3.19</v>
      </c>
      <c r="B116" s="59"/>
    </row>
    <row r="117" spans="1:3">
      <c r="A117">
        <v>-5</v>
      </c>
      <c r="B117">
        <f>1/2</f>
        <v>0.5</v>
      </c>
      <c r="C117">
        <v>5</v>
      </c>
    </row>
    <row r="118" spans="1:3">
      <c r="A118" t="s">
        <v>26</v>
      </c>
      <c r="B118" t="s">
        <v>72</v>
      </c>
      <c r="C118" t="s">
        <v>73</v>
      </c>
    </row>
    <row r="119" spans="1:3">
      <c r="A119">
        <v>-18</v>
      </c>
      <c r="B119">
        <f>$A$117+$B$117*A119</f>
        <v>-14</v>
      </c>
      <c r="C119">
        <f>$C$117+$B$117*A119</f>
        <v>-4</v>
      </c>
    </row>
    <row r="120" spans="1:3">
      <c r="A120">
        <v>-10</v>
      </c>
      <c r="B120">
        <f>$A$117+$B$117*A120</f>
        <v>-10</v>
      </c>
      <c r="C120">
        <f>$C$117+$B$117*A120</f>
        <v>0</v>
      </c>
    </row>
    <row r="121" spans="1:3">
      <c r="A121">
        <v>10</v>
      </c>
      <c r="B121">
        <f>$A$117+$B$117*A121</f>
        <v>0</v>
      </c>
      <c r="C121">
        <f>$C$117+$B$117*A121</f>
        <v>10</v>
      </c>
    </row>
    <row r="122" spans="1:3">
      <c r="A122">
        <v>18</v>
      </c>
      <c r="B122">
        <f>$A$117+$B$117*A122</f>
        <v>4</v>
      </c>
      <c r="C122">
        <f>$C$117+$B$117*A122</f>
        <v>14</v>
      </c>
    </row>
    <row r="133" spans="1:3">
      <c r="A133" s="59" t="s">
        <v>76</v>
      </c>
      <c r="B133" s="59"/>
    </row>
    <row r="134" spans="1:3">
      <c r="A134">
        <v>300</v>
      </c>
      <c r="B134">
        <v>1</v>
      </c>
      <c r="C134">
        <f>1/2</f>
        <v>0.5</v>
      </c>
    </row>
    <row r="135" spans="1:3">
      <c r="A135" t="s">
        <v>26</v>
      </c>
      <c r="B135" t="s">
        <v>74</v>
      </c>
      <c r="C135" t="s">
        <v>75</v>
      </c>
    </row>
    <row r="136" spans="1:3">
      <c r="A136">
        <v>600</v>
      </c>
      <c r="B136">
        <f>$A$134-$B$134*A136</f>
        <v>-300</v>
      </c>
      <c r="C136">
        <f>$A$134-$C$134*A136</f>
        <v>0</v>
      </c>
    </row>
    <row r="137" spans="1:3">
      <c r="A137">
        <v>300</v>
      </c>
      <c r="B137">
        <f>$A$134-$B$134*A137</f>
        <v>0</v>
      </c>
      <c r="C137">
        <f>$A$134-$C$134*A137</f>
        <v>150</v>
      </c>
    </row>
    <row r="138" spans="1:3">
      <c r="A138">
        <v>150</v>
      </c>
      <c r="B138">
        <f>$A$134-$B$134*A138</f>
        <v>150</v>
      </c>
      <c r="C138">
        <f>$A$134-$C$134*A138</f>
        <v>225</v>
      </c>
    </row>
    <row r="139" spans="1:3">
      <c r="A139">
        <v>70</v>
      </c>
      <c r="B139">
        <f>$A$134-$B$134*A139</f>
        <v>230</v>
      </c>
      <c r="C139">
        <f>$A$134-$C$134*A139</f>
        <v>265</v>
      </c>
    </row>
    <row r="140" spans="1:3">
      <c r="A140">
        <v>0</v>
      </c>
      <c r="B140">
        <f>$A$134-$B$134*A140</f>
        <v>300</v>
      </c>
      <c r="C140">
        <f>$A$134-$C$134*A140</f>
        <v>300</v>
      </c>
    </row>
    <row r="150" spans="1:2">
      <c r="A150" s="59">
        <v>3.27</v>
      </c>
      <c r="B150" s="59"/>
    </row>
    <row r="151" spans="1:2">
      <c r="A151" t="s">
        <v>78</v>
      </c>
      <c r="B151" t="s">
        <v>77</v>
      </c>
    </row>
    <row r="152" spans="1:2">
      <c r="A152">
        <v>0</v>
      </c>
      <c r="B152">
        <v>0</v>
      </c>
    </row>
    <row r="153" spans="1:2">
      <c r="A153">
        <v>3</v>
      </c>
      <c r="B153">
        <v>3</v>
      </c>
    </row>
    <row r="154" spans="1:2">
      <c r="A154">
        <v>5</v>
      </c>
      <c r="B154">
        <v>5</v>
      </c>
    </row>
    <row r="155" spans="1:2">
      <c r="A155">
        <v>10</v>
      </c>
      <c r="B155">
        <v>10</v>
      </c>
    </row>
    <row r="156" spans="1:2">
      <c r="A156">
        <v>18</v>
      </c>
      <c r="B156">
        <v>18</v>
      </c>
    </row>
    <row r="166" spans="1:4">
      <c r="A166" s="59">
        <v>3.28</v>
      </c>
      <c r="B166" s="59"/>
    </row>
    <row r="167" spans="1:4">
      <c r="A167" t="s">
        <v>81</v>
      </c>
      <c r="B167" t="s">
        <v>80</v>
      </c>
      <c r="C167" t="s">
        <v>79</v>
      </c>
      <c r="D167" t="s">
        <v>80</v>
      </c>
    </row>
    <row r="168" spans="1:4">
      <c r="A168">
        <v>60</v>
      </c>
      <c r="B168">
        <v>60</v>
      </c>
      <c r="C168">
        <v>54</v>
      </c>
      <c r="D168">
        <v>60</v>
      </c>
    </row>
    <row r="169" spans="1:4">
      <c r="A169">
        <v>80</v>
      </c>
      <c r="B169">
        <v>80</v>
      </c>
      <c r="C169">
        <v>90</v>
      </c>
      <c r="D169">
        <v>100</v>
      </c>
    </row>
    <row r="170" spans="1:4">
      <c r="A170">
        <v>90</v>
      </c>
      <c r="B170">
        <v>90</v>
      </c>
      <c r="C170">
        <v>108</v>
      </c>
      <c r="D170">
        <v>120</v>
      </c>
    </row>
    <row r="171" spans="1:4">
      <c r="A171">
        <v>160</v>
      </c>
      <c r="B171">
        <v>160</v>
      </c>
      <c r="C171">
        <v>144</v>
      </c>
      <c r="D171">
        <v>160</v>
      </c>
    </row>
    <row r="184" spans="1:4">
      <c r="A184" s="59">
        <v>3.31</v>
      </c>
      <c r="B184" s="59"/>
    </row>
    <row r="185" spans="1:4">
      <c r="A185" t="s">
        <v>82</v>
      </c>
      <c r="B185" t="s">
        <v>83</v>
      </c>
      <c r="C185" t="s">
        <v>82</v>
      </c>
      <c r="D185" t="s">
        <v>83</v>
      </c>
    </row>
    <row r="186" spans="1:4">
      <c r="A186">
        <v>2</v>
      </c>
      <c r="B186">
        <v>0.75</v>
      </c>
      <c r="C186">
        <v>2</v>
      </c>
      <c r="D186">
        <f>4/5</f>
        <v>0.8</v>
      </c>
    </row>
    <row r="187" spans="1:4">
      <c r="A187" t="s">
        <v>85</v>
      </c>
      <c r="B187" t="s">
        <v>77</v>
      </c>
      <c r="C187" t="s">
        <v>84</v>
      </c>
      <c r="D187" t="s">
        <v>77</v>
      </c>
    </row>
    <row r="188" spans="1:4">
      <c r="A188">
        <f t="shared" ref="A188:A193" si="6">$A$186+$B$186*B188</f>
        <v>2.75</v>
      </c>
      <c r="B188">
        <v>1</v>
      </c>
      <c r="C188">
        <f t="shared" ref="C188:C193" si="7">$C$186+$D$186*D188</f>
        <v>2.8</v>
      </c>
      <c r="D188">
        <v>1</v>
      </c>
    </row>
    <row r="189" spans="1:4">
      <c r="A189">
        <f t="shared" si="6"/>
        <v>22.25</v>
      </c>
      <c r="B189">
        <v>27</v>
      </c>
      <c r="C189">
        <f t="shared" si="7"/>
        <v>23.6</v>
      </c>
      <c r="D189">
        <v>27</v>
      </c>
    </row>
    <row r="190" spans="1:4">
      <c r="A190">
        <f t="shared" si="6"/>
        <v>184.25</v>
      </c>
      <c r="B190">
        <v>243</v>
      </c>
      <c r="C190">
        <f t="shared" si="7"/>
        <v>196.4</v>
      </c>
      <c r="D190">
        <v>243</v>
      </c>
    </row>
    <row r="191" spans="1:4">
      <c r="A191">
        <f t="shared" si="6"/>
        <v>551</v>
      </c>
      <c r="B191">
        <v>732</v>
      </c>
      <c r="C191">
        <f t="shared" si="7"/>
        <v>587.6</v>
      </c>
      <c r="D191">
        <v>732</v>
      </c>
    </row>
    <row r="192" spans="1:4">
      <c r="A192">
        <f t="shared" si="6"/>
        <v>1649</v>
      </c>
      <c r="B192">
        <v>2196</v>
      </c>
      <c r="C192">
        <f t="shared" si="7"/>
        <v>1758.8000000000002</v>
      </c>
      <c r="D192">
        <v>2196</v>
      </c>
    </row>
    <row r="193" spans="1:4">
      <c r="A193">
        <f t="shared" si="6"/>
        <v>4940</v>
      </c>
      <c r="B193">
        <v>6584</v>
      </c>
      <c r="C193">
        <f t="shared" si="7"/>
        <v>5269.2000000000007</v>
      </c>
      <c r="D193">
        <v>6584</v>
      </c>
    </row>
    <row r="202" spans="1:4">
      <c r="A202" s="59">
        <v>3.32</v>
      </c>
      <c r="B202" s="59"/>
    </row>
    <row r="203" spans="1:4">
      <c r="A203" t="s">
        <v>82</v>
      </c>
      <c r="B203" t="s">
        <v>83</v>
      </c>
      <c r="C203" t="s">
        <v>82</v>
      </c>
      <c r="D203" t="s">
        <v>83</v>
      </c>
    </row>
    <row r="204" spans="1:4">
      <c r="A204">
        <v>2</v>
      </c>
      <c r="B204">
        <f>1/4</f>
        <v>0.25</v>
      </c>
      <c r="C204">
        <v>2</v>
      </c>
      <c r="D204">
        <v>0.34</v>
      </c>
    </row>
    <row r="205" spans="1:4">
      <c r="A205" t="s">
        <v>87</v>
      </c>
      <c r="B205" t="s">
        <v>77</v>
      </c>
      <c r="C205" t="s">
        <v>86</v>
      </c>
      <c r="D205" t="s">
        <v>77</v>
      </c>
    </row>
    <row r="206" spans="1:4">
      <c r="A206">
        <f>$A$204+$B$204*B206</f>
        <v>252</v>
      </c>
      <c r="B206">
        <v>1000</v>
      </c>
      <c r="C206">
        <f>$C$204+$D$204*D206</f>
        <v>342</v>
      </c>
      <c r="D206">
        <v>1000</v>
      </c>
    </row>
    <row r="207" spans="1:4">
      <c r="A207">
        <f>$A$204+$B$204*B207</f>
        <v>502</v>
      </c>
      <c r="B207">
        <v>2000</v>
      </c>
      <c r="C207">
        <f>$C$204+$D$204*D207</f>
        <v>682</v>
      </c>
      <c r="D207">
        <v>2000</v>
      </c>
    </row>
    <row r="208" spans="1:4">
      <c r="A208">
        <f>$A$204+$B$204*B208</f>
        <v>752</v>
      </c>
      <c r="B208">
        <v>3000</v>
      </c>
      <c r="C208">
        <f>$C$204+$D$204*D208</f>
        <v>1022.0000000000001</v>
      </c>
      <c r="D208">
        <v>3000</v>
      </c>
    </row>
    <row r="209" spans="1:4">
      <c r="A209">
        <f>$A$204+$B$204*B209</f>
        <v>1002</v>
      </c>
      <c r="B209">
        <v>4000</v>
      </c>
      <c r="C209">
        <f>$C$204+$D$204*D209</f>
        <v>1362</v>
      </c>
      <c r="D209">
        <v>4000</v>
      </c>
    </row>
    <row r="221" spans="1:4">
      <c r="A221" s="59">
        <v>3.33</v>
      </c>
      <c r="B221" s="59"/>
    </row>
    <row r="222" spans="1:4">
      <c r="A222" t="s">
        <v>82</v>
      </c>
      <c r="B222" t="s">
        <v>83</v>
      </c>
      <c r="C222" t="s">
        <v>82</v>
      </c>
      <c r="D222" t="s">
        <v>83</v>
      </c>
    </row>
    <row r="223" spans="1:4">
      <c r="A223">
        <v>10</v>
      </c>
      <c r="B223">
        <v>0.45</v>
      </c>
      <c r="C223">
        <v>20</v>
      </c>
      <c r="D223">
        <v>0.45</v>
      </c>
    </row>
    <row r="224" spans="1:4">
      <c r="A224" t="s">
        <v>88</v>
      </c>
      <c r="B224" t="s">
        <v>77</v>
      </c>
      <c r="C224" t="s">
        <v>89</v>
      </c>
      <c r="D224" t="s">
        <v>77</v>
      </c>
    </row>
    <row r="225" spans="1:4">
      <c r="A225">
        <f>$A$223+$B$223*B225</f>
        <v>145</v>
      </c>
      <c r="B225">
        <v>300</v>
      </c>
      <c r="C225">
        <f>$C$223+$D$223*D225</f>
        <v>155</v>
      </c>
      <c r="D225">
        <v>300</v>
      </c>
    </row>
    <row r="226" spans="1:4">
      <c r="A226">
        <f>$A$223+$B$223*B226</f>
        <v>10.45</v>
      </c>
      <c r="B226">
        <v>1</v>
      </c>
      <c r="C226">
        <f>$C$223+$D$223*D226</f>
        <v>20.45</v>
      </c>
      <c r="D226">
        <v>1</v>
      </c>
    </row>
    <row r="240" spans="1:4">
      <c r="A240" s="59">
        <v>3.34</v>
      </c>
      <c r="B240" s="59"/>
    </row>
    <row r="241" spans="1:4">
      <c r="A241" t="s">
        <v>82</v>
      </c>
      <c r="B241" t="s">
        <v>83</v>
      </c>
      <c r="C241" t="s">
        <v>82</v>
      </c>
      <c r="D241" t="s">
        <v>83</v>
      </c>
    </row>
    <row r="242" spans="1:4">
      <c r="A242">
        <v>400</v>
      </c>
      <c r="B242">
        <f>6/10</f>
        <v>0.6</v>
      </c>
      <c r="C242">
        <v>800</v>
      </c>
      <c r="D242">
        <f>15/100</f>
        <v>0.15</v>
      </c>
    </row>
    <row r="243" spans="1:4">
      <c r="A243" t="s">
        <v>90</v>
      </c>
      <c r="B243" t="s">
        <v>77</v>
      </c>
      <c r="C243" t="s">
        <v>91</v>
      </c>
      <c r="D243" t="s">
        <v>77</v>
      </c>
    </row>
    <row r="244" spans="1:4">
      <c r="A244">
        <f>$A$242+$B$242*B244</f>
        <v>880</v>
      </c>
      <c r="B244">
        <v>800</v>
      </c>
      <c r="C244">
        <f>$C$242+$D$242*D244</f>
        <v>920</v>
      </c>
      <c r="D244">
        <v>800</v>
      </c>
    </row>
    <row r="245" spans="1:4">
      <c r="A245">
        <f>$A$242+$B$242*B245</f>
        <v>1240</v>
      </c>
      <c r="B245">
        <v>1400</v>
      </c>
      <c r="C245">
        <f>$C$242+$D$242*D245</f>
        <v>1010</v>
      </c>
      <c r="D245">
        <v>1400</v>
      </c>
    </row>
    <row r="258" spans="1:2">
      <c r="A258" s="59">
        <v>3.35</v>
      </c>
      <c r="B258" s="59"/>
    </row>
    <row r="259" spans="1:2">
      <c r="A259" t="s">
        <v>82</v>
      </c>
      <c r="B259" t="s">
        <v>83</v>
      </c>
    </row>
    <row r="260" spans="1:2">
      <c r="A260">
        <v>1000</v>
      </c>
      <c r="B260">
        <f>6/10</f>
        <v>0.6</v>
      </c>
    </row>
    <row r="261" spans="1:2">
      <c r="A261" t="s">
        <v>92</v>
      </c>
      <c r="B261" t="s">
        <v>77</v>
      </c>
    </row>
    <row r="262" spans="1:2">
      <c r="A262">
        <f>$A$260+$B$260*B262</f>
        <v>3700</v>
      </c>
      <c r="B262">
        <v>4500</v>
      </c>
    </row>
    <row r="263" spans="1:2">
      <c r="A263">
        <f>$A$260+$B$260*B263</f>
        <v>1600</v>
      </c>
      <c r="B263">
        <v>1000</v>
      </c>
    </row>
    <row r="276" spans="1:2">
      <c r="A276">
        <v>145</v>
      </c>
      <c r="B276">
        <v>0.5</v>
      </c>
    </row>
    <row r="277" spans="1:2">
      <c r="A277" s="59">
        <v>3.36</v>
      </c>
      <c r="B277" s="59"/>
    </row>
    <row r="278" spans="1:2">
      <c r="A278" t="s">
        <v>93</v>
      </c>
      <c r="B278" t="s">
        <v>94</v>
      </c>
    </row>
    <row r="279" spans="1:2">
      <c r="A279">
        <f>$A$276-$B$276*B279</f>
        <v>145</v>
      </c>
      <c r="B279">
        <v>0</v>
      </c>
    </row>
    <row r="280" spans="1:2">
      <c r="A280">
        <f>$A$276-$B$276*B280</f>
        <v>130</v>
      </c>
      <c r="B280">
        <v>30</v>
      </c>
    </row>
    <row r="281" spans="1:2">
      <c r="A281">
        <f>$A$276-$B$276*B281</f>
        <v>115</v>
      </c>
      <c r="B281">
        <v>60</v>
      </c>
    </row>
    <row r="282" spans="1:2">
      <c r="A282">
        <f>$A$276-$B$276*B282</f>
        <v>100</v>
      </c>
      <c r="B282">
        <v>90</v>
      </c>
    </row>
    <row r="294" spans="1:2">
      <c r="A294">
        <v>280</v>
      </c>
      <c r="B294">
        <v>5</v>
      </c>
    </row>
    <row r="295" spans="1:2">
      <c r="A295" s="59">
        <v>3.37</v>
      </c>
      <c r="B295" s="59"/>
    </row>
    <row r="296" spans="1:2">
      <c r="A296" t="s">
        <v>95</v>
      </c>
      <c r="B296" t="s">
        <v>94</v>
      </c>
    </row>
    <row r="297" spans="1:2">
      <c r="A297">
        <f>$A$294-$B$294*B297</f>
        <v>280</v>
      </c>
      <c r="B297">
        <v>0</v>
      </c>
    </row>
    <row r="298" spans="1:2">
      <c r="A298">
        <f t="shared" ref="A298:A300" si="8">$A$294-$B$294*B298</f>
        <v>130</v>
      </c>
      <c r="B298">
        <v>30</v>
      </c>
    </row>
    <row r="299" spans="1:2">
      <c r="A299">
        <f t="shared" si="8"/>
        <v>80</v>
      </c>
      <c r="B299">
        <v>40</v>
      </c>
    </row>
    <row r="300" spans="1:2">
      <c r="A300">
        <f t="shared" si="8"/>
        <v>30</v>
      </c>
      <c r="B300">
        <v>50</v>
      </c>
    </row>
    <row r="311" spans="1:2">
      <c r="A311">
        <v>87</v>
      </c>
      <c r="B311">
        <v>7.5</v>
      </c>
    </row>
    <row r="312" spans="1:2">
      <c r="A312" s="59">
        <v>3.38</v>
      </c>
      <c r="B312" s="59"/>
    </row>
    <row r="313" spans="1:2">
      <c r="A313" t="s">
        <v>96</v>
      </c>
      <c r="B313" t="s">
        <v>94</v>
      </c>
    </row>
    <row r="314" spans="1:2">
      <c r="A314">
        <f>$A$311-$B$311*B314</f>
        <v>87</v>
      </c>
      <c r="B314">
        <v>0</v>
      </c>
    </row>
    <row r="315" spans="1:2">
      <c r="A315">
        <f t="shared" ref="A315:A317" si="9">$A$311-$B$311*B315</f>
        <v>49.5</v>
      </c>
      <c r="B315">
        <v>5</v>
      </c>
    </row>
    <row r="316" spans="1:2">
      <c r="A316">
        <f t="shared" si="9"/>
        <v>19.5</v>
      </c>
      <c r="B316">
        <v>9</v>
      </c>
    </row>
    <row r="317" spans="1:2">
      <c r="A317">
        <f t="shared" si="9"/>
        <v>4.5</v>
      </c>
      <c r="B317">
        <v>11</v>
      </c>
    </row>
    <row r="331" spans="1:2">
      <c r="A331">
        <v>416</v>
      </c>
      <c r="B331">
        <v>0.8</v>
      </c>
    </row>
    <row r="332" spans="1:2">
      <c r="A332" s="59">
        <v>3.39</v>
      </c>
      <c r="B332" s="59"/>
    </row>
    <row r="333" spans="1:2">
      <c r="A333" t="s">
        <v>97</v>
      </c>
      <c r="B333" t="s">
        <v>94</v>
      </c>
    </row>
    <row r="334" spans="1:2">
      <c r="A334">
        <f>$A$331-$B$331*B334</f>
        <v>416</v>
      </c>
      <c r="B334">
        <v>0</v>
      </c>
    </row>
    <row r="335" spans="1:2">
      <c r="A335">
        <f t="shared" ref="A335:A337" si="10">$A$331-$B$331*B335</f>
        <v>256</v>
      </c>
      <c r="B335">
        <v>200</v>
      </c>
    </row>
    <row r="336" spans="1:2">
      <c r="A336">
        <f t="shared" si="10"/>
        <v>176</v>
      </c>
      <c r="B336">
        <v>300</v>
      </c>
    </row>
    <row r="337" spans="1:2">
      <c r="A337">
        <f t="shared" si="10"/>
        <v>96</v>
      </c>
      <c r="B337">
        <v>400</v>
      </c>
    </row>
    <row r="350" spans="1:2">
      <c r="A350">
        <v>342</v>
      </c>
      <c r="B350">
        <f>5/4</f>
        <v>1.25</v>
      </c>
    </row>
    <row r="351" spans="1:2">
      <c r="A351" s="60" t="s">
        <v>99</v>
      </c>
      <c r="B351" s="59"/>
    </row>
    <row r="352" spans="1:2">
      <c r="A352" t="s">
        <v>98</v>
      </c>
      <c r="B352" t="s">
        <v>94</v>
      </c>
    </row>
    <row r="353" spans="1:2">
      <c r="A353">
        <f>$A$350-$B$350*B353</f>
        <v>342</v>
      </c>
      <c r="B353">
        <v>0</v>
      </c>
    </row>
    <row r="354" spans="1:2">
      <c r="A354">
        <f t="shared" ref="A354:A356" si="11">$A$350-$B$350*B354</f>
        <v>217</v>
      </c>
      <c r="B354">
        <v>100</v>
      </c>
    </row>
    <row r="355" spans="1:2">
      <c r="A355">
        <f t="shared" si="11"/>
        <v>92</v>
      </c>
      <c r="B355">
        <v>200</v>
      </c>
    </row>
    <row r="356" spans="1:2">
      <c r="A356">
        <f t="shared" si="11"/>
        <v>29.5</v>
      </c>
      <c r="B356">
        <v>250</v>
      </c>
    </row>
    <row r="368" spans="1:2">
      <c r="A368">
        <v>34</v>
      </c>
    </row>
    <row r="369" spans="1:3">
      <c r="A369" s="59">
        <v>3.44</v>
      </c>
      <c r="B369" s="59"/>
    </row>
    <row r="370" spans="1:3">
      <c r="A370" t="s">
        <v>100</v>
      </c>
      <c r="B370" t="s">
        <v>101</v>
      </c>
      <c r="C370" t="s">
        <v>102</v>
      </c>
    </row>
    <row r="371" spans="1:3">
      <c r="A371">
        <v>115</v>
      </c>
      <c r="B371">
        <v>80</v>
      </c>
      <c r="C371">
        <v>0.4</v>
      </c>
    </row>
    <row r="372" spans="1:3">
      <c r="A372" t="s">
        <v>103</v>
      </c>
      <c r="B372" t="s">
        <v>77</v>
      </c>
    </row>
    <row r="373" spans="1:3">
      <c r="A373">
        <f>$A$368+$C$371*B373</f>
        <v>60</v>
      </c>
      <c r="B373">
        <v>65</v>
      </c>
    </row>
    <row r="374" spans="1:3">
      <c r="A374">
        <f t="shared" ref="A374:A375" si="12">$A$368+$C$371*B374</f>
        <v>80</v>
      </c>
      <c r="B374">
        <v>115</v>
      </c>
    </row>
    <row r="375" spans="1:3">
      <c r="A375">
        <f t="shared" si="12"/>
        <v>100</v>
      </c>
      <c r="B375">
        <v>165</v>
      </c>
    </row>
    <row r="388" spans="1:3">
      <c r="A388">
        <v>52.5</v>
      </c>
    </row>
    <row r="389" spans="1:3">
      <c r="A389" s="59">
        <v>3.45</v>
      </c>
      <c r="B389" s="59"/>
    </row>
    <row r="390" spans="1:3">
      <c r="A390" t="s">
        <v>100</v>
      </c>
      <c r="B390" t="s">
        <v>101</v>
      </c>
      <c r="C390" t="s">
        <v>102</v>
      </c>
    </row>
    <row r="391" spans="1:3">
      <c r="A391">
        <v>225</v>
      </c>
      <c r="B391">
        <v>210</v>
      </c>
      <c r="C391">
        <v>0.7</v>
      </c>
    </row>
    <row r="392" spans="1:3">
      <c r="A392" t="s">
        <v>104</v>
      </c>
      <c r="B392" t="s">
        <v>77</v>
      </c>
    </row>
    <row r="393" spans="1:3">
      <c r="A393">
        <f>$A$388+$C$391*B393</f>
        <v>140</v>
      </c>
      <c r="B393">
        <v>125</v>
      </c>
    </row>
    <row r="394" spans="1:3">
      <c r="A394">
        <f t="shared" ref="A394:A395" si="13">$A$388+$C$391*B394</f>
        <v>210</v>
      </c>
      <c r="B394">
        <v>225</v>
      </c>
    </row>
    <row r="395" spans="1:3">
      <c r="A395">
        <f t="shared" si="13"/>
        <v>245</v>
      </c>
      <c r="B395">
        <v>275</v>
      </c>
    </row>
    <row r="406" spans="1:3">
      <c r="A406">
        <v>98</v>
      </c>
    </row>
    <row r="407" spans="1:3">
      <c r="A407" s="59">
        <v>3.46</v>
      </c>
      <c r="B407" s="59"/>
    </row>
    <row r="408" spans="1:3">
      <c r="A408" t="s">
        <v>100</v>
      </c>
      <c r="B408" t="s">
        <v>101</v>
      </c>
      <c r="C408" t="s">
        <v>102</v>
      </c>
    </row>
    <row r="409" spans="1:3">
      <c r="A409">
        <v>540</v>
      </c>
      <c r="B409">
        <v>530</v>
      </c>
      <c r="C409">
        <v>0.8</v>
      </c>
    </row>
    <row r="410" spans="1:3">
      <c r="A410" t="s">
        <v>105</v>
      </c>
      <c r="B410" t="s">
        <v>77</v>
      </c>
    </row>
    <row r="411" spans="1:3">
      <c r="A411">
        <f>$A$406+$C$409*B411</f>
        <v>370</v>
      </c>
      <c r="B411">
        <v>340</v>
      </c>
    </row>
    <row r="412" spans="1:3">
      <c r="A412">
        <f t="shared" ref="A412:A413" si="14">$A$406+$C$409*B412</f>
        <v>530</v>
      </c>
      <c r="B412">
        <v>540</v>
      </c>
    </row>
    <row r="413" spans="1:3">
      <c r="A413">
        <f t="shared" si="14"/>
        <v>690</v>
      </c>
      <c r="B413">
        <v>740</v>
      </c>
    </row>
    <row r="425" spans="1:3">
      <c r="A425">
        <v>15</v>
      </c>
    </row>
    <row r="426" spans="1:3">
      <c r="A426" s="59">
        <v>3.47</v>
      </c>
      <c r="B426" s="59"/>
    </row>
    <row r="427" spans="1:3">
      <c r="A427" t="s">
        <v>100</v>
      </c>
      <c r="B427" t="s">
        <v>101</v>
      </c>
      <c r="C427" t="s">
        <v>102</v>
      </c>
    </row>
    <row r="428" spans="1:3">
      <c r="A428">
        <v>350</v>
      </c>
      <c r="B428">
        <v>330</v>
      </c>
      <c r="C428">
        <v>0.9</v>
      </c>
    </row>
    <row r="429" spans="1:3">
      <c r="A429" t="s">
        <v>106</v>
      </c>
      <c r="B429" t="s">
        <v>77</v>
      </c>
    </row>
    <row r="430" spans="1:3">
      <c r="A430">
        <f>$A$425+$C$428*B430</f>
        <v>60</v>
      </c>
      <c r="B430">
        <v>50</v>
      </c>
    </row>
    <row r="431" spans="1:3">
      <c r="A431">
        <f t="shared" ref="A431:A432" si="15">$A$425+$C$428*B431</f>
        <v>240</v>
      </c>
      <c r="B431">
        <v>250</v>
      </c>
    </row>
    <row r="432" spans="1:3">
      <c r="A432">
        <f t="shared" si="15"/>
        <v>330</v>
      </c>
      <c r="B432">
        <v>350</v>
      </c>
    </row>
  </sheetData>
  <mergeCells count="25">
    <mergeCell ref="A426:B426"/>
    <mergeCell ref="A85:B85"/>
    <mergeCell ref="A150:B150"/>
    <mergeCell ref="A166:B166"/>
    <mergeCell ref="A116:B116"/>
    <mergeCell ref="A133:B133"/>
    <mergeCell ref="A102:B102"/>
    <mergeCell ref="A369:B369"/>
    <mergeCell ref="A389:B389"/>
    <mergeCell ref="A407:B407"/>
    <mergeCell ref="A240:B240"/>
    <mergeCell ref="A184:B184"/>
    <mergeCell ref="A312:B312"/>
    <mergeCell ref="A332:B332"/>
    <mergeCell ref="A351:B351"/>
    <mergeCell ref="A277:B277"/>
    <mergeCell ref="A295:B295"/>
    <mergeCell ref="A258:B258"/>
    <mergeCell ref="A202:B202"/>
    <mergeCell ref="A221:B221"/>
    <mergeCell ref="A1:B1"/>
    <mergeCell ref="A19:B19"/>
    <mergeCell ref="A35:B35"/>
    <mergeCell ref="A51:B51"/>
    <mergeCell ref="A69:B6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54205-E29C-43D7-AC57-F06E9D79FEA5}">
  <dimension ref="A1:E580"/>
  <sheetViews>
    <sheetView zoomScaleNormal="100" workbookViewId="0">
      <selection sqref="A1:B1"/>
    </sheetView>
  </sheetViews>
  <sheetFormatPr baseColWidth="10" defaultRowHeight="15"/>
  <cols>
    <col min="2" max="2" width="12.7109375" bestFit="1" customWidth="1"/>
  </cols>
  <sheetData>
    <row r="1" spans="1:3">
      <c r="A1" s="59">
        <v>4.1900000000000004</v>
      </c>
      <c r="B1" s="59"/>
    </row>
    <row r="2" spans="1:3">
      <c r="A2" t="s">
        <v>108</v>
      </c>
      <c r="B2" t="s">
        <v>107</v>
      </c>
      <c r="C2" t="s">
        <v>29</v>
      </c>
    </row>
    <row r="3" spans="1:3">
      <c r="A3">
        <v>1</v>
      </c>
      <c r="B3">
        <f>A3</f>
        <v>1</v>
      </c>
    </row>
    <row r="4" spans="1:3">
      <c r="A4">
        <v>5</v>
      </c>
      <c r="B4">
        <f t="shared" ref="B4:B5" si="0">A4</f>
        <v>5</v>
      </c>
    </row>
    <row r="5" spans="1:3">
      <c r="A5">
        <v>9</v>
      </c>
      <c r="B5">
        <f t="shared" si="0"/>
        <v>9</v>
      </c>
    </row>
    <row r="7" spans="1:3">
      <c r="A7">
        <v>1</v>
      </c>
      <c r="B7">
        <f>2*A7</f>
        <v>2</v>
      </c>
      <c r="C7" t="s">
        <v>30</v>
      </c>
    </row>
    <row r="8" spans="1:3">
      <c r="A8">
        <v>3</v>
      </c>
      <c r="B8">
        <f t="shared" ref="B8:B9" si="1">2*A8</f>
        <v>6</v>
      </c>
    </row>
    <row r="9" spans="1:3">
      <c r="A9">
        <v>4</v>
      </c>
      <c r="B9">
        <f t="shared" si="1"/>
        <v>8</v>
      </c>
    </row>
    <row r="11" spans="1:3">
      <c r="A11">
        <v>1</v>
      </c>
      <c r="B11">
        <f>4*A11</f>
        <v>4</v>
      </c>
      <c r="C11" t="s">
        <v>37</v>
      </c>
    </row>
    <row r="12" spans="1:3">
      <c r="A12">
        <v>2</v>
      </c>
      <c r="B12">
        <f t="shared" ref="B12:B13" si="2">4*A12</f>
        <v>8</v>
      </c>
    </row>
    <row r="13" spans="1:3">
      <c r="A13">
        <v>3</v>
      </c>
      <c r="B13">
        <f t="shared" si="2"/>
        <v>12</v>
      </c>
    </row>
    <row r="20" spans="1:3">
      <c r="A20" s="60" t="s">
        <v>109</v>
      </c>
      <c r="B20" s="59"/>
    </row>
    <row r="21" spans="1:3">
      <c r="A21" t="s">
        <v>108</v>
      </c>
      <c r="B21" t="s">
        <v>107</v>
      </c>
      <c r="C21" t="s">
        <v>29</v>
      </c>
    </row>
    <row r="22" spans="1:3">
      <c r="A22">
        <v>1</v>
      </c>
      <c r="B22">
        <f>A22</f>
        <v>1</v>
      </c>
    </row>
    <row r="23" spans="1:3">
      <c r="A23">
        <v>5</v>
      </c>
      <c r="B23">
        <f t="shared" ref="B23:B24" si="3">A23</f>
        <v>5</v>
      </c>
    </row>
    <row r="24" spans="1:3">
      <c r="A24">
        <v>9</v>
      </c>
      <c r="B24">
        <f t="shared" si="3"/>
        <v>9</v>
      </c>
    </row>
    <row r="26" spans="1:3">
      <c r="A26">
        <v>2</v>
      </c>
      <c r="B26">
        <f>(1/2)*A26</f>
        <v>1</v>
      </c>
      <c r="C26" t="s">
        <v>30</v>
      </c>
    </row>
    <row r="27" spans="1:3">
      <c r="A27">
        <v>4</v>
      </c>
      <c r="B27">
        <f t="shared" ref="B27:B28" si="4">(1/2)*A27</f>
        <v>2</v>
      </c>
    </row>
    <row r="28" spans="1:3">
      <c r="A28">
        <v>10</v>
      </c>
      <c r="B28">
        <f t="shared" si="4"/>
        <v>5</v>
      </c>
    </row>
    <row r="30" spans="1:3">
      <c r="A30">
        <v>4</v>
      </c>
      <c r="B30">
        <f>(1/4)*A30</f>
        <v>1</v>
      </c>
      <c r="C30" t="s">
        <v>37</v>
      </c>
    </row>
    <row r="31" spans="1:3">
      <c r="A31">
        <v>8</v>
      </c>
      <c r="B31">
        <f t="shared" ref="B31:B32" si="5">(1/4)*A31</f>
        <v>2</v>
      </c>
    </row>
    <row r="32" spans="1:3">
      <c r="A32">
        <v>12</v>
      </c>
      <c r="B32">
        <f t="shared" si="5"/>
        <v>3</v>
      </c>
    </row>
    <row r="36" spans="1:3">
      <c r="A36" s="60" t="s">
        <v>110</v>
      </c>
      <c r="B36" s="59"/>
    </row>
    <row r="37" spans="1:3">
      <c r="A37" t="s">
        <v>108</v>
      </c>
      <c r="B37" t="s">
        <v>107</v>
      </c>
      <c r="C37" t="s">
        <v>29</v>
      </c>
    </row>
    <row r="38" spans="1:3">
      <c r="A38">
        <v>1</v>
      </c>
      <c r="B38">
        <f>A38</f>
        <v>1</v>
      </c>
    </row>
    <row r="39" spans="1:3">
      <c r="A39">
        <v>5</v>
      </c>
      <c r="B39">
        <f t="shared" ref="B39:B40" si="6">A39</f>
        <v>5</v>
      </c>
    </row>
    <row r="40" spans="1:3">
      <c r="A40">
        <v>9</v>
      </c>
      <c r="B40">
        <f t="shared" si="6"/>
        <v>9</v>
      </c>
    </row>
    <row r="42" spans="1:3">
      <c r="A42">
        <v>2</v>
      </c>
      <c r="B42">
        <f>A42+1</f>
        <v>3</v>
      </c>
      <c r="C42" t="s">
        <v>30</v>
      </c>
    </row>
    <row r="43" spans="1:3">
      <c r="A43">
        <v>4</v>
      </c>
      <c r="B43">
        <f t="shared" ref="B43:B44" si="7">A43+1</f>
        <v>5</v>
      </c>
    </row>
    <row r="44" spans="1:3">
      <c r="A44">
        <v>10</v>
      </c>
      <c r="B44">
        <f t="shared" si="7"/>
        <v>11</v>
      </c>
    </row>
    <row r="46" spans="1:3">
      <c r="A46">
        <v>1</v>
      </c>
      <c r="B46">
        <f>A46+3</f>
        <v>4</v>
      </c>
      <c r="C46" t="s">
        <v>37</v>
      </c>
    </row>
    <row r="47" spans="1:3">
      <c r="A47">
        <v>5</v>
      </c>
      <c r="B47">
        <f t="shared" ref="B47:B48" si="8">A47+3</f>
        <v>8</v>
      </c>
    </row>
    <row r="48" spans="1:3">
      <c r="A48">
        <v>8</v>
      </c>
      <c r="B48">
        <f t="shared" si="8"/>
        <v>11</v>
      </c>
    </row>
    <row r="50" spans="1:3">
      <c r="A50">
        <v>2</v>
      </c>
      <c r="B50">
        <f>A50-1</f>
        <v>1</v>
      </c>
      <c r="C50" t="s">
        <v>38</v>
      </c>
    </row>
    <row r="51" spans="1:3">
      <c r="A51">
        <v>9</v>
      </c>
      <c r="B51">
        <f t="shared" ref="B51:B52" si="9">A51-1</f>
        <v>8</v>
      </c>
    </row>
    <row r="52" spans="1:3">
      <c r="A52">
        <v>11</v>
      </c>
      <c r="B52">
        <f t="shared" si="9"/>
        <v>10</v>
      </c>
    </row>
    <row r="54" spans="1:3">
      <c r="A54">
        <v>3</v>
      </c>
      <c r="B54">
        <f>A54-3</f>
        <v>0</v>
      </c>
      <c r="C54" t="s">
        <v>111</v>
      </c>
    </row>
    <row r="55" spans="1:3">
      <c r="A55">
        <v>6</v>
      </c>
      <c r="B55">
        <f t="shared" ref="B55:B56" si="10">A55-3</f>
        <v>3</v>
      </c>
    </row>
    <row r="56" spans="1:3">
      <c r="A56">
        <v>9</v>
      </c>
      <c r="B56">
        <f t="shared" si="10"/>
        <v>6</v>
      </c>
    </row>
    <row r="58" spans="1:3">
      <c r="A58" s="60" t="s">
        <v>112</v>
      </c>
      <c r="B58" s="59"/>
    </row>
    <row r="59" spans="1:3">
      <c r="A59" t="s">
        <v>108</v>
      </c>
      <c r="B59" t="s">
        <v>107</v>
      </c>
      <c r="C59" t="s">
        <v>29</v>
      </c>
    </row>
    <row r="60" spans="1:3">
      <c r="A60">
        <v>0</v>
      </c>
      <c r="B60">
        <f>20-A60</f>
        <v>20</v>
      </c>
    </row>
    <row r="61" spans="1:3">
      <c r="A61">
        <v>2</v>
      </c>
      <c r="B61">
        <f t="shared" ref="B61:B62" si="11">20-A61</f>
        <v>18</v>
      </c>
    </row>
    <row r="62" spans="1:3">
      <c r="A62">
        <v>3</v>
      </c>
      <c r="B62">
        <f t="shared" si="11"/>
        <v>17</v>
      </c>
    </row>
    <row r="64" spans="1:3">
      <c r="A64">
        <v>0</v>
      </c>
      <c r="B64">
        <f>20-0.5*A64</f>
        <v>20</v>
      </c>
      <c r="C64" t="s">
        <v>30</v>
      </c>
    </row>
    <row r="65" spans="1:3">
      <c r="A65">
        <v>2</v>
      </c>
      <c r="B65">
        <f t="shared" ref="B65:B66" si="12">20-0.5*A65</f>
        <v>19</v>
      </c>
    </row>
    <row r="66" spans="1:3">
      <c r="A66">
        <v>3</v>
      </c>
      <c r="B66">
        <f t="shared" si="12"/>
        <v>18.5</v>
      </c>
    </row>
    <row r="68" spans="1:3">
      <c r="A68">
        <v>0</v>
      </c>
      <c r="B68">
        <f>20-2*A68</f>
        <v>20</v>
      </c>
      <c r="C68" t="s">
        <v>37</v>
      </c>
    </row>
    <row r="69" spans="1:3">
      <c r="A69">
        <v>2</v>
      </c>
      <c r="B69">
        <f t="shared" ref="B69:B70" si="13">20-2*A69</f>
        <v>16</v>
      </c>
    </row>
    <row r="70" spans="1:3">
      <c r="A70">
        <v>3</v>
      </c>
      <c r="B70">
        <f t="shared" si="13"/>
        <v>14</v>
      </c>
    </row>
    <row r="72" spans="1:3">
      <c r="A72">
        <v>0</v>
      </c>
      <c r="B72">
        <f>20-0.25*A72</f>
        <v>20</v>
      </c>
      <c r="C72" t="s">
        <v>38</v>
      </c>
    </row>
    <row r="73" spans="1:3">
      <c r="A73">
        <v>2</v>
      </c>
      <c r="B73">
        <f t="shared" ref="B73:B74" si="14">20-0.25*A73</f>
        <v>19.5</v>
      </c>
    </row>
    <row r="74" spans="1:3">
      <c r="A74">
        <v>3</v>
      </c>
      <c r="B74">
        <f t="shared" si="14"/>
        <v>19.25</v>
      </c>
    </row>
    <row r="76" spans="1:3">
      <c r="A76">
        <v>0</v>
      </c>
      <c r="B76">
        <f>20-4*A76</f>
        <v>20</v>
      </c>
      <c r="C76" t="s">
        <v>111</v>
      </c>
    </row>
    <row r="77" spans="1:3">
      <c r="A77">
        <v>2</v>
      </c>
      <c r="B77">
        <f t="shared" ref="B77:B78" si="15">20-4*A77</f>
        <v>12</v>
      </c>
    </row>
    <row r="78" spans="1:3">
      <c r="A78">
        <v>3</v>
      </c>
      <c r="B78">
        <f t="shared" si="15"/>
        <v>8</v>
      </c>
    </row>
    <row r="80" spans="1:3">
      <c r="A80" s="60" t="s">
        <v>113</v>
      </c>
      <c r="B80" s="59"/>
    </row>
    <row r="81" spans="1:3">
      <c r="A81" t="s">
        <v>108</v>
      </c>
      <c r="B81" t="s">
        <v>107</v>
      </c>
      <c r="C81" t="s">
        <v>29</v>
      </c>
    </row>
    <row r="82" spans="1:3">
      <c r="A82">
        <v>0</v>
      </c>
      <c r="B82">
        <f>20+A82</f>
        <v>20</v>
      </c>
    </row>
    <row r="83" spans="1:3">
      <c r="A83">
        <v>2</v>
      </c>
      <c r="B83">
        <f t="shared" ref="B83:B84" si="16">20+A83</f>
        <v>22</v>
      </c>
    </row>
    <row r="84" spans="1:3">
      <c r="A84">
        <v>9</v>
      </c>
      <c r="B84">
        <f t="shared" si="16"/>
        <v>29</v>
      </c>
    </row>
    <row r="86" spans="1:3">
      <c r="A86">
        <v>0</v>
      </c>
      <c r="B86">
        <f>20+0.5*A86</f>
        <v>20</v>
      </c>
      <c r="C86" t="s">
        <v>30</v>
      </c>
    </row>
    <row r="87" spans="1:3">
      <c r="A87">
        <v>2</v>
      </c>
      <c r="B87">
        <f t="shared" ref="B87:B88" si="17">20+0.5*A87</f>
        <v>21</v>
      </c>
    </row>
    <row r="88" spans="1:3">
      <c r="A88">
        <v>9</v>
      </c>
      <c r="B88">
        <f t="shared" si="17"/>
        <v>24.5</v>
      </c>
    </row>
    <row r="90" spans="1:3">
      <c r="A90">
        <v>0</v>
      </c>
      <c r="B90">
        <f>20+2*A90</f>
        <v>20</v>
      </c>
      <c r="C90" t="s">
        <v>37</v>
      </c>
    </row>
    <row r="91" spans="1:3">
      <c r="A91">
        <v>2</v>
      </c>
      <c r="B91">
        <f t="shared" ref="B91:B92" si="18">20+2*A91</f>
        <v>24</v>
      </c>
    </row>
    <row r="92" spans="1:3">
      <c r="A92">
        <v>9</v>
      </c>
      <c r="B92">
        <f t="shared" si="18"/>
        <v>38</v>
      </c>
    </row>
    <row r="94" spans="1:3">
      <c r="A94">
        <v>0</v>
      </c>
      <c r="B94">
        <f>20+0.25*A94</f>
        <v>20</v>
      </c>
      <c r="C94" t="s">
        <v>38</v>
      </c>
    </row>
    <row r="95" spans="1:3">
      <c r="A95">
        <v>2</v>
      </c>
      <c r="B95">
        <f t="shared" ref="B95:B96" si="19">20+0.25*A95</f>
        <v>20.5</v>
      </c>
    </row>
    <row r="96" spans="1:3">
      <c r="A96">
        <v>9</v>
      </c>
      <c r="B96">
        <f t="shared" si="19"/>
        <v>22.25</v>
      </c>
    </row>
    <row r="98" spans="1:3">
      <c r="A98">
        <v>0</v>
      </c>
      <c r="B98">
        <f>20+4*A98</f>
        <v>20</v>
      </c>
      <c r="C98" t="s">
        <v>111</v>
      </c>
    </row>
    <row r="99" spans="1:3">
      <c r="A99">
        <v>2</v>
      </c>
      <c r="B99">
        <f t="shared" ref="B99:B100" si="20">20+4*A99</f>
        <v>28</v>
      </c>
    </row>
    <row r="100" spans="1:3">
      <c r="A100">
        <v>9</v>
      </c>
      <c r="B100">
        <f t="shared" si="20"/>
        <v>56</v>
      </c>
    </row>
    <row r="102" spans="1:3">
      <c r="A102" s="59">
        <v>4.24</v>
      </c>
      <c r="B102" s="59"/>
    </row>
    <row r="103" spans="1:3">
      <c r="A103" t="s">
        <v>108</v>
      </c>
      <c r="B103" t="s">
        <v>107</v>
      </c>
      <c r="C103" t="s">
        <v>29</v>
      </c>
    </row>
    <row r="104" spans="1:3">
      <c r="A104">
        <v>0</v>
      </c>
      <c r="B104">
        <f>5-A104</f>
        <v>5</v>
      </c>
    </row>
    <row r="105" spans="1:3">
      <c r="A105">
        <v>3</v>
      </c>
      <c r="B105">
        <f t="shared" ref="B105:B106" si="21">5-A105</f>
        <v>2</v>
      </c>
    </row>
    <row r="106" spans="1:3">
      <c r="A106">
        <v>5</v>
      </c>
      <c r="B106">
        <f t="shared" si="21"/>
        <v>0</v>
      </c>
    </row>
    <row r="108" spans="1:3">
      <c r="A108">
        <v>0</v>
      </c>
      <c r="B108">
        <f>10-A108</f>
        <v>10</v>
      </c>
      <c r="C108" t="s">
        <v>30</v>
      </c>
    </row>
    <row r="109" spans="1:3">
      <c r="A109">
        <v>3</v>
      </c>
      <c r="B109">
        <f t="shared" ref="B109:B110" si="22">10-A109</f>
        <v>7</v>
      </c>
    </row>
    <row r="110" spans="1:3">
      <c r="A110">
        <v>5</v>
      </c>
      <c r="B110">
        <f t="shared" si="22"/>
        <v>5</v>
      </c>
    </row>
    <row r="112" spans="1:3">
      <c r="A112">
        <v>0</v>
      </c>
      <c r="B112">
        <f>15-A112</f>
        <v>15</v>
      </c>
      <c r="C112" t="s">
        <v>37</v>
      </c>
    </row>
    <row r="113" spans="1:3">
      <c r="A113">
        <v>3</v>
      </c>
      <c r="B113">
        <f t="shared" ref="B113:B114" si="23">15-A113</f>
        <v>12</v>
      </c>
    </row>
    <row r="114" spans="1:3">
      <c r="A114">
        <v>5</v>
      </c>
      <c r="B114">
        <f t="shared" si="23"/>
        <v>10</v>
      </c>
    </row>
    <row r="118" spans="1:3">
      <c r="A118" s="59">
        <v>4.25</v>
      </c>
      <c r="B118" s="59"/>
    </row>
    <row r="119" spans="1:3">
      <c r="A119" t="s">
        <v>108</v>
      </c>
      <c r="B119" t="s">
        <v>107</v>
      </c>
      <c r="C119" t="s">
        <v>29</v>
      </c>
    </row>
    <row r="120" spans="1:3">
      <c r="A120">
        <v>0</v>
      </c>
      <c r="B120">
        <f>20+A120</f>
        <v>20</v>
      </c>
    </row>
    <row r="121" spans="1:3">
      <c r="A121">
        <v>3</v>
      </c>
      <c r="B121">
        <f t="shared" ref="B121:B122" si="24">20+A121</f>
        <v>23</v>
      </c>
    </row>
    <row r="122" spans="1:3">
      <c r="A122">
        <v>5</v>
      </c>
      <c r="B122">
        <f t="shared" si="24"/>
        <v>25</v>
      </c>
    </row>
    <row r="124" spans="1:3">
      <c r="A124">
        <v>0</v>
      </c>
      <c r="B124">
        <f>25+A124</f>
        <v>25</v>
      </c>
      <c r="C124" t="s">
        <v>30</v>
      </c>
    </row>
    <row r="125" spans="1:3">
      <c r="A125">
        <v>3</v>
      </c>
      <c r="B125">
        <f t="shared" ref="B125:B126" si="25">25+A125</f>
        <v>28</v>
      </c>
    </row>
    <row r="126" spans="1:3">
      <c r="A126">
        <v>5</v>
      </c>
      <c r="B126">
        <f t="shared" si="25"/>
        <v>30</v>
      </c>
    </row>
    <row r="128" spans="1:3">
      <c r="A128">
        <v>0</v>
      </c>
      <c r="B128">
        <f>30+A128</f>
        <v>30</v>
      </c>
      <c r="C128" t="s">
        <v>37</v>
      </c>
    </row>
    <row r="129" spans="1:3">
      <c r="A129">
        <v>3</v>
      </c>
      <c r="B129">
        <f t="shared" ref="B129:B130" si="26">30+A129</f>
        <v>33</v>
      </c>
    </row>
    <row r="130" spans="1:3">
      <c r="A130">
        <v>5</v>
      </c>
      <c r="B130">
        <f t="shared" si="26"/>
        <v>35</v>
      </c>
    </row>
    <row r="134" spans="1:3">
      <c r="A134" s="59">
        <v>4.26</v>
      </c>
      <c r="B134" s="59"/>
    </row>
    <row r="135" spans="1:3">
      <c r="A135" t="s">
        <v>108</v>
      </c>
      <c r="B135" t="s">
        <v>107</v>
      </c>
      <c r="C135" t="s">
        <v>29</v>
      </c>
    </row>
    <row r="136" spans="1:3">
      <c r="A136">
        <v>1</v>
      </c>
      <c r="B136">
        <f>1/A136</f>
        <v>1</v>
      </c>
    </row>
    <row r="137" spans="1:3">
      <c r="A137">
        <v>3</v>
      </c>
      <c r="B137">
        <f t="shared" ref="B137:B138" si="27">1/A137</f>
        <v>0.33333333333333331</v>
      </c>
    </row>
    <row r="138" spans="1:3">
      <c r="A138">
        <v>9</v>
      </c>
      <c r="B138">
        <f t="shared" si="27"/>
        <v>0.1111111111111111</v>
      </c>
    </row>
    <row r="140" spans="1:3">
      <c r="A140">
        <v>1</v>
      </c>
      <c r="B140">
        <f>3/A140</f>
        <v>3</v>
      </c>
      <c r="C140" t="s">
        <v>30</v>
      </c>
    </row>
    <row r="141" spans="1:3">
      <c r="A141">
        <v>3</v>
      </c>
      <c r="B141">
        <f t="shared" ref="B141:B142" si="28">3/A141</f>
        <v>1</v>
      </c>
    </row>
    <row r="142" spans="1:3">
      <c r="A142">
        <v>9</v>
      </c>
      <c r="B142">
        <f t="shared" si="28"/>
        <v>0.33333333333333331</v>
      </c>
    </row>
    <row r="144" spans="1:3">
      <c r="A144">
        <v>1</v>
      </c>
      <c r="B144">
        <f>6/A144</f>
        <v>6</v>
      </c>
      <c r="C144" t="s">
        <v>37</v>
      </c>
    </row>
    <row r="145" spans="1:3">
      <c r="A145">
        <v>3</v>
      </c>
      <c r="B145">
        <f t="shared" ref="B145:B146" si="29">6/A145</f>
        <v>2</v>
      </c>
    </row>
    <row r="146" spans="1:3">
      <c r="A146">
        <v>9</v>
      </c>
      <c r="B146">
        <f t="shared" si="29"/>
        <v>0.66666666666666663</v>
      </c>
    </row>
    <row r="149" spans="1:3">
      <c r="A149" s="59">
        <v>4.2699999999999996</v>
      </c>
      <c r="B149" s="59"/>
    </row>
    <row r="150" spans="1:3">
      <c r="A150" t="s">
        <v>108</v>
      </c>
      <c r="B150" t="s">
        <v>107</v>
      </c>
      <c r="C150" t="s">
        <v>29</v>
      </c>
    </row>
    <row r="151" spans="1:3">
      <c r="A151">
        <v>1</v>
      </c>
      <c r="B151">
        <f>1/A151</f>
        <v>1</v>
      </c>
    </row>
    <row r="152" spans="1:3">
      <c r="A152">
        <v>3</v>
      </c>
      <c r="B152">
        <f t="shared" ref="B152:B153" si="30">1/A152</f>
        <v>0.33333333333333331</v>
      </c>
    </row>
    <row r="153" spans="1:3">
      <c r="A153">
        <v>6</v>
      </c>
      <c r="B153">
        <f t="shared" si="30"/>
        <v>0.16666666666666666</v>
      </c>
    </row>
    <row r="155" spans="1:3">
      <c r="A155">
        <v>1</v>
      </c>
      <c r="B155">
        <f>1/A155^2</f>
        <v>1</v>
      </c>
      <c r="C155" t="s">
        <v>30</v>
      </c>
    </row>
    <row r="156" spans="1:3">
      <c r="A156">
        <v>3</v>
      </c>
      <c r="B156">
        <f t="shared" ref="B156:B157" si="31">1/A156^2</f>
        <v>0.1111111111111111</v>
      </c>
    </row>
    <row r="157" spans="1:3">
      <c r="A157">
        <v>6</v>
      </c>
      <c r="B157">
        <f t="shared" si="31"/>
        <v>2.7777777777777776E-2</v>
      </c>
    </row>
    <row r="159" spans="1:3">
      <c r="A159">
        <v>1</v>
      </c>
      <c r="B159">
        <f>1/A159^3</f>
        <v>1</v>
      </c>
      <c r="C159" t="s">
        <v>37</v>
      </c>
    </row>
    <row r="160" spans="1:3">
      <c r="A160">
        <v>3</v>
      </c>
      <c r="B160">
        <f t="shared" ref="B160:B161" si="32">1/A160^3</f>
        <v>3.7037037037037035E-2</v>
      </c>
    </row>
    <row r="161" spans="1:3">
      <c r="A161">
        <v>6</v>
      </c>
      <c r="B161">
        <f t="shared" si="32"/>
        <v>4.6296296296296294E-3</v>
      </c>
    </row>
    <row r="164" spans="1:3">
      <c r="A164" s="59">
        <v>4.28</v>
      </c>
      <c r="B164" s="59"/>
    </row>
    <row r="165" spans="1:3">
      <c r="A165" t="s">
        <v>108</v>
      </c>
      <c r="B165" t="s">
        <v>107</v>
      </c>
      <c r="C165" t="s">
        <v>29</v>
      </c>
    </row>
    <row r="166" spans="1:3">
      <c r="A166">
        <v>2</v>
      </c>
      <c r="B166">
        <f>1/(1-A166)</f>
        <v>-1</v>
      </c>
    </row>
    <row r="167" spans="1:3">
      <c r="A167">
        <v>3</v>
      </c>
      <c r="B167">
        <f t="shared" ref="B167:B168" si="33">1/(1-A167)</f>
        <v>-0.5</v>
      </c>
    </row>
    <row r="168" spans="1:3">
      <c r="A168">
        <v>4</v>
      </c>
      <c r="B168">
        <f t="shared" si="33"/>
        <v>-0.33333333333333331</v>
      </c>
    </row>
    <row r="170" spans="1:3">
      <c r="A170">
        <v>2</v>
      </c>
      <c r="B170">
        <f>1/(1-A170^2)</f>
        <v>-0.33333333333333331</v>
      </c>
      <c r="C170" t="s">
        <v>30</v>
      </c>
    </row>
    <row r="171" spans="1:3">
      <c r="A171">
        <v>3</v>
      </c>
      <c r="B171">
        <f t="shared" ref="B171:B172" si="34">1/(1-A171^2)</f>
        <v>-0.125</v>
      </c>
    </row>
    <row r="172" spans="1:3">
      <c r="A172">
        <v>4</v>
      </c>
      <c r="B172">
        <f t="shared" si="34"/>
        <v>-6.6666666666666666E-2</v>
      </c>
    </row>
    <row r="180" spans="1:3">
      <c r="A180" s="59">
        <v>4.29</v>
      </c>
      <c r="B180" s="59"/>
    </row>
    <row r="181" spans="1:3">
      <c r="A181" t="s">
        <v>108</v>
      </c>
      <c r="B181" t="s">
        <v>107</v>
      </c>
      <c r="C181" t="s">
        <v>29</v>
      </c>
    </row>
    <row r="182" spans="1:3">
      <c r="A182">
        <v>2</v>
      </c>
      <c r="B182">
        <f>1/A182^2</f>
        <v>0.25</v>
      </c>
    </row>
    <row r="183" spans="1:3">
      <c r="A183">
        <v>3</v>
      </c>
      <c r="B183">
        <f t="shared" ref="B183:B184" si="35">1/A183^2</f>
        <v>0.1111111111111111</v>
      </c>
    </row>
    <row r="184" spans="1:3">
      <c r="A184">
        <v>4</v>
      </c>
      <c r="B184">
        <f t="shared" si="35"/>
        <v>6.25E-2</v>
      </c>
    </row>
    <row r="186" spans="1:3">
      <c r="A186">
        <v>2</v>
      </c>
      <c r="B186">
        <f>3/(A186^2)</f>
        <v>0.75</v>
      </c>
      <c r="C186" t="s">
        <v>30</v>
      </c>
    </row>
    <row r="187" spans="1:3">
      <c r="A187">
        <v>3</v>
      </c>
      <c r="B187">
        <f t="shared" ref="B187:B188" si="36">3/(A187^2)</f>
        <v>0.33333333333333331</v>
      </c>
    </row>
    <row r="188" spans="1:3">
      <c r="A188">
        <v>4</v>
      </c>
      <c r="B188">
        <f t="shared" si="36"/>
        <v>0.1875</v>
      </c>
    </row>
    <row r="190" spans="1:3">
      <c r="A190">
        <v>2</v>
      </c>
      <c r="B190">
        <f>6/(A190^2)</f>
        <v>1.5</v>
      </c>
      <c r="C190" t="s">
        <v>37</v>
      </c>
    </row>
    <row r="191" spans="1:3">
      <c r="A191">
        <v>3</v>
      </c>
      <c r="B191">
        <f t="shared" ref="B191:B192" si="37">6/(A191^2)</f>
        <v>0.66666666666666663</v>
      </c>
    </row>
    <row r="192" spans="1:3">
      <c r="A192">
        <v>4</v>
      </c>
      <c r="B192">
        <f t="shared" si="37"/>
        <v>0.375</v>
      </c>
    </row>
    <row r="196" spans="1:3">
      <c r="A196" s="59">
        <v>4.4400000000000004</v>
      </c>
      <c r="B196" s="59"/>
    </row>
    <row r="197" spans="1:3">
      <c r="A197">
        <v>3000</v>
      </c>
      <c r="B197">
        <f>2200+0.5*A197</f>
        <v>3700</v>
      </c>
      <c r="C197" t="s">
        <v>114</v>
      </c>
    </row>
    <row r="198" spans="1:3">
      <c r="A198">
        <v>4000</v>
      </c>
      <c r="B198">
        <f t="shared" ref="B198:B199" si="38">2200+0.5*A198</f>
        <v>4200</v>
      </c>
    </row>
    <row r="199" spans="1:3">
      <c r="A199">
        <v>5000</v>
      </c>
      <c r="B199">
        <f t="shared" si="38"/>
        <v>4700</v>
      </c>
    </row>
    <row r="201" spans="1:3">
      <c r="A201">
        <v>3000</v>
      </c>
      <c r="B201">
        <f>1500+0.5*A201</f>
        <v>3000</v>
      </c>
      <c r="C201" t="s">
        <v>79</v>
      </c>
    </row>
    <row r="202" spans="1:3">
      <c r="A202">
        <v>4000</v>
      </c>
      <c r="B202">
        <f t="shared" ref="B202:B203" si="39">1500+0.5*A202</f>
        <v>3500</v>
      </c>
    </row>
    <row r="203" spans="1:3">
      <c r="A203">
        <v>5000</v>
      </c>
      <c r="B203">
        <f t="shared" si="39"/>
        <v>4000</v>
      </c>
    </row>
    <row r="205" spans="1:3">
      <c r="A205">
        <v>3000</v>
      </c>
      <c r="B205">
        <f>700</f>
        <v>700</v>
      </c>
      <c r="C205" t="s">
        <v>115</v>
      </c>
    </row>
    <row r="206" spans="1:3">
      <c r="A206">
        <v>4000</v>
      </c>
      <c r="B206">
        <f>700</f>
        <v>700</v>
      </c>
    </row>
    <row r="207" spans="1:3">
      <c r="A207">
        <v>5000</v>
      </c>
      <c r="B207">
        <f>700</f>
        <v>700</v>
      </c>
    </row>
    <row r="213" spans="1:3">
      <c r="A213" s="59">
        <v>4.45</v>
      </c>
      <c r="B213" s="59"/>
    </row>
    <row r="214" spans="1:3">
      <c r="A214">
        <v>0</v>
      </c>
      <c r="B214">
        <f>300+450+600+0.5*(A214)</f>
        <v>1350</v>
      </c>
      <c r="C214" t="s">
        <v>114</v>
      </c>
    </row>
    <row r="215" spans="1:3">
      <c r="A215">
        <v>1500</v>
      </c>
      <c r="B215">
        <f t="shared" ref="B215:B216" si="40">300+450+600+0.5*(A215)</f>
        <v>2100</v>
      </c>
    </row>
    <row r="216" spans="1:3">
      <c r="A216">
        <v>2500</v>
      </c>
      <c r="B216">
        <f t="shared" si="40"/>
        <v>2600</v>
      </c>
    </row>
    <row r="218" spans="1:3">
      <c r="A218">
        <v>0</v>
      </c>
      <c r="B218">
        <f>600+0.5*A218</f>
        <v>600</v>
      </c>
      <c r="C218" t="s">
        <v>79</v>
      </c>
    </row>
    <row r="219" spans="1:3">
      <c r="A219">
        <v>1500</v>
      </c>
      <c r="B219">
        <f t="shared" ref="B219:B220" si="41">600+0.5*A219</f>
        <v>1350</v>
      </c>
    </row>
    <row r="220" spans="1:3">
      <c r="A220">
        <v>2500</v>
      </c>
      <c r="B220">
        <f t="shared" si="41"/>
        <v>1850</v>
      </c>
    </row>
    <row r="222" spans="1:3">
      <c r="A222">
        <v>0</v>
      </c>
      <c r="B222">
        <f>750</f>
        <v>750</v>
      </c>
      <c r="C222" t="s">
        <v>115</v>
      </c>
    </row>
    <row r="223" spans="1:3">
      <c r="A223">
        <v>1500</v>
      </c>
      <c r="B223">
        <f>750</f>
        <v>750</v>
      </c>
    </row>
    <row r="224" spans="1:3">
      <c r="A224">
        <v>2500</v>
      </c>
      <c r="B224">
        <f>750</f>
        <v>750</v>
      </c>
    </row>
    <row r="229" spans="1:3">
      <c r="A229" s="59">
        <v>4.46</v>
      </c>
      <c r="B229" s="59"/>
    </row>
    <row r="230" spans="1:3">
      <c r="A230">
        <v>0</v>
      </c>
      <c r="B230">
        <f>500+800+0.15*(A230)</f>
        <v>1300</v>
      </c>
      <c r="C230" t="s">
        <v>114</v>
      </c>
    </row>
    <row r="231" spans="1:3">
      <c r="A231">
        <v>1750</v>
      </c>
      <c r="B231">
        <f t="shared" ref="B231:B232" si="42">500+800+0.15*(A231)</f>
        <v>1562.5</v>
      </c>
    </row>
    <row r="232" spans="1:3">
      <c r="A232">
        <v>3500</v>
      </c>
      <c r="B232">
        <f t="shared" si="42"/>
        <v>1825</v>
      </c>
    </row>
    <row r="234" spans="1:3">
      <c r="A234">
        <v>0</v>
      </c>
      <c r="B234">
        <f>800+0.15*A234</f>
        <v>800</v>
      </c>
      <c r="C234" t="s">
        <v>79</v>
      </c>
    </row>
    <row r="235" spans="1:3">
      <c r="A235">
        <v>1750</v>
      </c>
      <c r="B235">
        <f t="shared" ref="B235:B236" si="43">800+0.15*A235</f>
        <v>1062.5</v>
      </c>
    </row>
    <row r="236" spans="1:3">
      <c r="A236">
        <v>3500</v>
      </c>
      <c r="B236">
        <f t="shared" si="43"/>
        <v>1325</v>
      </c>
    </row>
    <row r="238" spans="1:3">
      <c r="A238">
        <v>0</v>
      </c>
      <c r="B238">
        <v>500</v>
      </c>
      <c r="C238" t="s">
        <v>115</v>
      </c>
    </row>
    <row r="239" spans="1:3">
      <c r="A239">
        <v>1750</v>
      </c>
      <c r="B239">
        <v>500</v>
      </c>
    </row>
    <row r="240" spans="1:3">
      <c r="A240">
        <v>3500</v>
      </c>
      <c r="B240">
        <v>500</v>
      </c>
    </row>
    <row r="244" spans="1:3">
      <c r="A244" s="59">
        <v>4.47</v>
      </c>
      <c r="B244" s="59"/>
    </row>
    <row r="245" spans="1:3">
      <c r="A245">
        <v>0</v>
      </c>
      <c r="B245">
        <f>450+850+(3/20)*A245</f>
        <v>1300</v>
      </c>
      <c r="C245" t="s">
        <v>114</v>
      </c>
    </row>
    <row r="246" spans="1:3">
      <c r="A246">
        <v>1700</v>
      </c>
      <c r="B246">
        <f t="shared" ref="B246:B247" si="44">450+850+(3/20)*A246</f>
        <v>1555</v>
      </c>
    </row>
    <row r="247" spans="1:3">
      <c r="A247">
        <v>3400</v>
      </c>
      <c r="B247">
        <f t="shared" si="44"/>
        <v>1810</v>
      </c>
    </row>
    <row r="249" spans="1:3">
      <c r="A249">
        <v>0</v>
      </c>
      <c r="B249">
        <f>850+(3/20)*A249</f>
        <v>850</v>
      </c>
      <c r="C249" t="s">
        <v>79</v>
      </c>
    </row>
    <row r="250" spans="1:3">
      <c r="A250">
        <v>1700</v>
      </c>
      <c r="B250">
        <f t="shared" ref="B250:B251" si="45">850+(3/20)*A250</f>
        <v>1105</v>
      </c>
    </row>
    <row r="251" spans="1:3">
      <c r="A251">
        <v>3400</v>
      </c>
      <c r="B251">
        <f t="shared" si="45"/>
        <v>1360</v>
      </c>
    </row>
    <row r="253" spans="1:3">
      <c r="A253">
        <v>0</v>
      </c>
      <c r="B253">
        <v>450</v>
      </c>
      <c r="C253" t="s">
        <v>115</v>
      </c>
    </row>
    <row r="254" spans="1:3">
      <c r="A254">
        <v>1700</v>
      </c>
      <c r="B254">
        <v>450</v>
      </c>
    </row>
    <row r="255" spans="1:3">
      <c r="A255">
        <v>3400</v>
      </c>
      <c r="B255">
        <v>450</v>
      </c>
    </row>
    <row r="260" spans="1:3">
      <c r="A260" s="59">
        <v>4.4800000000000004</v>
      </c>
      <c r="B260" s="59"/>
    </row>
    <row r="261" spans="1:3">
      <c r="A261">
        <v>0</v>
      </c>
      <c r="B261">
        <v>550</v>
      </c>
      <c r="C261" t="s">
        <v>115</v>
      </c>
    </row>
    <row r="262" spans="1:3">
      <c r="A262">
        <v>687.5</v>
      </c>
      <c r="B262">
        <v>550</v>
      </c>
    </row>
    <row r="263" spans="1:3">
      <c r="A263">
        <v>1000</v>
      </c>
      <c r="B263">
        <v>550</v>
      </c>
    </row>
    <row r="265" spans="1:3">
      <c r="A265">
        <v>0</v>
      </c>
      <c r="B265">
        <f>550+$C$265+0.2*A265</f>
        <v>550</v>
      </c>
    </row>
    <row r="266" spans="1:3">
      <c r="A266">
        <v>687.5</v>
      </c>
      <c r="B266">
        <f>550+$C$265+0.2*A266</f>
        <v>687.5</v>
      </c>
      <c r="C266" t="s">
        <v>114</v>
      </c>
    </row>
    <row r="267" spans="1:3">
      <c r="A267">
        <v>1000</v>
      </c>
      <c r="B267">
        <f t="shared" ref="B267" si="46">550+$C$265+0.2*A267</f>
        <v>750</v>
      </c>
    </row>
    <row r="269" spans="1:3">
      <c r="A269">
        <v>687.5</v>
      </c>
      <c r="B269">
        <v>550</v>
      </c>
      <c r="C269" t="s">
        <v>116</v>
      </c>
    </row>
    <row r="270" spans="1:3">
      <c r="A270">
        <v>687.5</v>
      </c>
      <c r="B270">
        <v>687.5</v>
      </c>
    </row>
    <row r="272" spans="1:3">
      <c r="A272">
        <v>0</v>
      </c>
      <c r="B272">
        <v>0</v>
      </c>
      <c r="C272" t="s">
        <v>120</v>
      </c>
    </row>
    <row r="273" spans="1:3">
      <c r="A273">
        <v>1000</v>
      </c>
      <c r="B273">
        <v>1000</v>
      </c>
    </row>
    <row r="275" spans="1:3">
      <c r="A275" s="60" t="s">
        <v>117</v>
      </c>
      <c r="B275" s="59"/>
    </row>
    <row r="276" spans="1:3">
      <c r="B276">
        <v>0.5</v>
      </c>
      <c r="C276" t="s">
        <v>102</v>
      </c>
    </row>
    <row r="277" spans="1:3">
      <c r="B277">
        <v>450</v>
      </c>
    </row>
    <row r="278" spans="1:3">
      <c r="B278" s="46">
        <v>150</v>
      </c>
    </row>
    <row r="279" spans="1:3">
      <c r="B279">
        <v>200</v>
      </c>
    </row>
    <row r="280" spans="1:3">
      <c r="A280">
        <v>0</v>
      </c>
      <c r="B280">
        <f>$B$279+$B$278+$B$276*A280</f>
        <v>350</v>
      </c>
      <c r="C280" t="s">
        <v>114</v>
      </c>
    </row>
    <row r="281" spans="1:3">
      <c r="A281">
        <v>450</v>
      </c>
      <c r="B281">
        <f t="shared" ref="B281:B282" si="47">$B$279+$B$278+$B$276*A281</f>
        <v>575</v>
      </c>
    </row>
    <row r="282" spans="1:3">
      <c r="A282">
        <v>800</v>
      </c>
      <c r="B282">
        <f t="shared" si="47"/>
        <v>750</v>
      </c>
    </row>
    <row r="284" spans="1:3">
      <c r="A284">
        <v>0</v>
      </c>
      <c r="B284">
        <f>$B$278+$B$279</f>
        <v>350</v>
      </c>
      <c r="C284" t="s">
        <v>115</v>
      </c>
    </row>
    <row r="285" spans="1:3">
      <c r="A285">
        <v>450</v>
      </c>
      <c r="B285">
        <f>$B$278+$B$279</f>
        <v>350</v>
      </c>
    </row>
    <row r="286" spans="1:3">
      <c r="A286">
        <v>800</v>
      </c>
      <c r="B286">
        <f t="shared" ref="B286" si="48">$B$278+$B$279</f>
        <v>350</v>
      </c>
    </row>
    <row r="288" spans="1:3">
      <c r="A288">
        <v>0</v>
      </c>
      <c r="B288">
        <f>$B$278</f>
        <v>150</v>
      </c>
      <c r="C288" t="s">
        <v>118</v>
      </c>
    </row>
    <row r="289" spans="1:4">
      <c r="A289">
        <v>450</v>
      </c>
      <c r="B289">
        <f>$B$278</f>
        <v>150</v>
      </c>
    </row>
    <row r="290" spans="1:4">
      <c r="A290">
        <v>800</v>
      </c>
      <c r="B290">
        <f t="shared" ref="B290" si="49">$B$278</f>
        <v>150</v>
      </c>
    </row>
    <row r="291" spans="1:4">
      <c r="D291" t="s">
        <v>121</v>
      </c>
    </row>
    <row r="292" spans="1:4">
      <c r="A292">
        <v>0</v>
      </c>
      <c r="B292">
        <v>200</v>
      </c>
      <c r="C292" t="s">
        <v>119</v>
      </c>
    </row>
    <row r="293" spans="1:4">
      <c r="A293">
        <v>450</v>
      </c>
      <c r="B293">
        <v>200</v>
      </c>
      <c r="D293">
        <f>350/0.5</f>
        <v>700</v>
      </c>
    </row>
    <row r="294" spans="1:4">
      <c r="A294">
        <v>800</v>
      </c>
      <c r="B294">
        <v>200</v>
      </c>
      <c r="D294">
        <f>150+200+0.5*D293</f>
        <v>700</v>
      </c>
    </row>
    <row r="297" spans="1:4">
      <c r="A297" s="60" t="s">
        <v>122</v>
      </c>
      <c r="B297" s="59"/>
    </row>
    <row r="298" spans="1:4">
      <c r="B298">
        <v>0.5</v>
      </c>
      <c r="C298" t="s">
        <v>102</v>
      </c>
    </row>
    <row r="299" spans="1:4">
      <c r="B299">
        <v>450</v>
      </c>
    </row>
    <row r="300" spans="1:4">
      <c r="B300" s="46">
        <v>150</v>
      </c>
    </row>
    <row r="301" spans="1:4">
      <c r="B301">
        <v>200</v>
      </c>
    </row>
    <row r="302" spans="1:4">
      <c r="A302">
        <v>0</v>
      </c>
      <c r="B302">
        <f>$B$279+$B$278+$B$276*A302</f>
        <v>350</v>
      </c>
      <c r="C302" t="s">
        <v>114</v>
      </c>
    </row>
    <row r="303" spans="1:4">
      <c r="A303">
        <v>450</v>
      </c>
      <c r="B303">
        <f t="shared" ref="B303:B304" si="50">$B$279+$B$278+$B$276*A303</f>
        <v>575</v>
      </c>
    </row>
    <row r="304" spans="1:4">
      <c r="A304">
        <v>800</v>
      </c>
      <c r="B304">
        <f t="shared" si="50"/>
        <v>750</v>
      </c>
    </row>
    <row r="306" spans="1:3">
      <c r="A306">
        <v>0</v>
      </c>
      <c r="B306">
        <f>$B$278+$B$279</f>
        <v>350</v>
      </c>
      <c r="C306" t="s">
        <v>115</v>
      </c>
    </row>
    <row r="307" spans="1:3">
      <c r="A307">
        <v>450</v>
      </c>
      <c r="B307">
        <f>$B$278+$B$279</f>
        <v>350</v>
      </c>
    </row>
    <row r="308" spans="1:3">
      <c r="A308">
        <v>800</v>
      </c>
      <c r="B308">
        <f t="shared" ref="B308" si="51">$B$278+$B$279</f>
        <v>350</v>
      </c>
    </row>
    <row r="310" spans="1:3">
      <c r="A310">
        <v>0</v>
      </c>
      <c r="B310">
        <f>$B$278</f>
        <v>150</v>
      </c>
      <c r="C310" t="s">
        <v>118</v>
      </c>
    </row>
    <row r="311" spans="1:3">
      <c r="A311">
        <v>450</v>
      </c>
      <c r="B311">
        <f>$B$278</f>
        <v>150</v>
      </c>
    </row>
    <row r="312" spans="1:3">
      <c r="A312">
        <v>800</v>
      </c>
      <c r="B312">
        <f t="shared" ref="B312" si="52">$B$278</f>
        <v>150</v>
      </c>
    </row>
    <row r="314" spans="1:3">
      <c r="A314">
        <v>0</v>
      </c>
      <c r="B314">
        <v>200</v>
      </c>
      <c r="C314" t="s">
        <v>119</v>
      </c>
    </row>
    <row r="315" spans="1:3">
      <c r="A315">
        <v>450</v>
      </c>
      <c r="B315">
        <v>200</v>
      </c>
    </row>
    <row r="316" spans="1:3">
      <c r="A316">
        <v>800</v>
      </c>
      <c r="B316">
        <v>200</v>
      </c>
    </row>
    <row r="318" spans="1:3">
      <c r="A318">
        <v>0</v>
      </c>
      <c r="B318">
        <v>0</v>
      </c>
      <c r="C318" t="s">
        <v>120</v>
      </c>
    </row>
    <row r="319" spans="1:3">
      <c r="A319">
        <v>700</v>
      </c>
      <c r="B319">
        <v>700</v>
      </c>
    </row>
    <row r="320" spans="1:3">
      <c r="A320">
        <v>800</v>
      </c>
      <c r="B320">
        <v>800</v>
      </c>
    </row>
    <row r="322" spans="1:4">
      <c r="A322">
        <v>450</v>
      </c>
      <c r="B322">
        <v>575</v>
      </c>
      <c r="C322" t="s">
        <v>116</v>
      </c>
    </row>
    <row r="323" spans="1:4">
      <c r="A323">
        <v>450</v>
      </c>
      <c r="B323">
        <v>450</v>
      </c>
    </row>
    <row r="324" spans="1:4">
      <c r="A324">
        <v>450</v>
      </c>
      <c r="B324">
        <v>350</v>
      </c>
    </row>
    <row r="326" spans="1:4">
      <c r="A326" s="60" t="s">
        <v>125</v>
      </c>
      <c r="B326" s="59"/>
    </row>
    <row r="327" spans="1:4">
      <c r="B327">
        <v>0.6</v>
      </c>
      <c r="C327">
        <v>0.65</v>
      </c>
    </row>
    <row r="328" spans="1:4">
      <c r="B328">
        <v>1600</v>
      </c>
      <c r="C328">
        <v>1600</v>
      </c>
      <c r="D328" t="s">
        <v>115</v>
      </c>
    </row>
    <row r="329" spans="1:4">
      <c r="A329" t="s">
        <v>123</v>
      </c>
      <c r="C329" t="s">
        <v>124</v>
      </c>
    </row>
    <row r="330" spans="1:4">
      <c r="A330">
        <v>0</v>
      </c>
      <c r="B330">
        <f>$B$328+$B$327*A330</f>
        <v>1600</v>
      </c>
      <c r="C330">
        <v>0</v>
      </c>
      <c r="D330">
        <f>$C$328+$C$327*C330</f>
        <v>1600</v>
      </c>
    </row>
    <row r="331" spans="1:4">
      <c r="A331">
        <v>2000</v>
      </c>
      <c r="B331">
        <f t="shared" ref="B331:B333" si="53">$B$328+$B$327*A331</f>
        <v>2800</v>
      </c>
      <c r="C331">
        <v>2000</v>
      </c>
      <c r="D331">
        <f t="shared" ref="D331:D333" si="54">$C$328+$C$327*C331</f>
        <v>2900</v>
      </c>
    </row>
    <row r="332" spans="1:4">
      <c r="A332">
        <v>4000</v>
      </c>
      <c r="B332">
        <f t="shared" si="53"/>
        <v>4000</v>
      </c>
      <c r="C332">
        <f>1600/0.35</f>
        <v>4571.4285714285716</v>
      </c>
      <c r="D332">
        <f t="shared" si="54"/>
        <v>4571.4285714285716</v>
      </c>
    </row>
    <row r="333" spans="1:4">
      <c r="A333">
        <v>8000</v>
      </c>
      <c r="B333">
        <f t="shared" si="53"/>
        <v>6400</v>
      </c>
      <c r="C333">
        <v>8000</v>
      </c>
      <c r="D333">
        <f t="shared" si="54"/>
        <v>6800</v>
      </c>
    </row>
    <row r="335" spans="1:4">
      <c r="A335">
        <v>0</v>
      </c>
      <c r="B335">
        <v>0</v>
      </c>
    </row>
    <row r="336" spans="1:4">
      <c r="A336">
        <v>8000</v>
      </c>
      <c r="B336">
        <v>8000</v>
      </c>
    </row>
    <row r="338" spans="1:4">
      <c r="A338" s="47"/>
      <c r="B338" s="47"/>
    </row>
    <row r="339" spans="1:4">
      <c r="A339" s="60" t="s">
        <v>126</v>
      </c>
      <c r="B339" s="59"/>
    </row>
    <row r="340" spans="1:4">
      <c r="A340" s="47" t="s">
        <v>80</v>
      </c>
      <c r="B340" t="s">
        <v>127</v>
      </c>
      <c r="C340" t="s">
        <v>128</v>
      </c>
      <c r="D340" t="s">
        <v>129</v>
      </c>
    </row>
    <row r="341" spans="1:4">
      <c r="A341">
        <v>300</v>
      </c>
      <c r="B341">
        <v>50</v>
      </c>
      <c r="C341">
        <v>35</v>
      </c>
      <c r="D341">
        <f>B341-C341</f>
        <v>15</v>
      </c>
    </row>
    <row r="342" spans="1:4">
      <c r="A342">
        <v>320</v>
      </c>
      <c r="B342">
        <v>50</v>
      </c>
      <c r="C342">
        <v>40</v>
      </c>
      <c r="D342">
        <f t="shared" ref="D342:D346" si="55">B342-C342</f>
        <v>10</v>
      </c>
    </row>
    <row r="343" spans="1:4">
      <c r="A343">
        <v>340</v>
      </c>
      <c r="B343">
        <v>50</v>
      </c>
      <c r="C343">
        <v>45</v>
      </c>
      <c r="D343">
        <f t="shared" si="55"/>
        <v>5</v>
      </c>
    </row>
    <row r="344" spans="1:4">
      <c r="A344">
        <v>360</v>
      </c>
      <c r="B344">
        <v>50</v>
      </c>
      <c r="C344">
        <v>50</v>
      </c>
      <c r="D344">
        <f t="shared" si="55"/>
        <v>0</v>
      </c>
    </row>
    <row r="345" spans="1:4">
      <c r="A345">
        <v>380</v>
      </c>
      <c r="B345">
        <v>50</v>
      </c>
      <c r="C345">
        <v>55</v>
      </c>
      <c r="D345">
        <f t="shared" si="55"/>
        <v>-5</v>
      </c>
    </row>
    <row r="346" spans="1:4">
      <c r="A346">
        <v>400</v>
      </c>
      <c r="B346">
        <v>50</v>
      </c>
      <c r="C346">
        <v>60</v>
      </c>
      <c r="D346">
        <f t="shared" si="55"/>
        <v>-10</v>
      </c>
    </row>
    <row r="354" spans="1:4">
      <c r="A354" s="60" t="s">
        <v>130</v>
      </c>
      <c r="B354" s="59"/>
    </row>
    <row r="355" spans="1:4">
      <c r="A355" s="47" t="s">
        <v>80</v>
      </c>
      <c r="B355" t="s">
        <v>127</v>
      </c>
      <c r="C355" t="s">
        <v>128</v>
      </c>
      <c r="D355" t="s">
        <v>129</v>
      </c>
    </row>
    <row r="356" spans="1:4">
      <c r="A356">
        <v>800</v>
      </c>
      <c r="B356">
        <v>200</v>
      </c>
      <c r="C356">
        <v>150</v>
      </c>
      <c r="D356">
        <f>B356-C356</f>
        <v>50</v>
      </c>
    </row>
    <row r="357" spans="1:4">
      <c r="A357">
        <v>810</v>
      </c>
      <c r="B357">
        <v>200</v>
      </c>
      <c r="C357">
        <v>175</v>
      </c>
      <c r="D357">
        <f t="shared" ref="D357:D361" si="56">B357-C357</f>
        <v>25</v>
      </c>
    </row>
    <row r="358" spans="1:4">
      <c r="A358">
        <v>820</v>
      </c>
      <c r="B358">
        <v>200</v>
      </c>
      <c r="C358">
        <v>200</v>
      </c>
      <c r="D358">
        <f t="shared" si="56"/>
        <v>0</v>
      </c>
    </row>
    <row r="359" spans="1:4">
      <c r="A359">
        <v>830</v>
      </c>
      <c r="B359">
        <v>200</v>
      </c>
      <c r="C359">
        <v>225</v>
      </c>
      <c r="D359">
        <f t="shared" si="56"/>
        <v>-25</v>
      </c>
    </row>
    <row r="360" spans="1:4">
      <c r="A360">
        <v>840</v>
      </c>
      <c r="B360">
        <v>200</v>
      </c>
      <c r="C360">
        <v>250</v>
      </c>
      <c r="D360">
        <f t="shared" si="56"/>
        <v>-50</v>
      </c>
    </row>
    <row r="361" spans="1:4">
      <c r="A361">
        <v>850</v>
      </c>
      <c r="B361">
        <v>200</v>
      </c>
      <c r="C361">
        <v>275</v>
      </c>
      <c r="D361">
        <f t="shared" si="56"/>
        <v>-75</v>
      </c>
    </row>
    <row r="369" spans="1:5">
      <c r="A369" s="60" t="s">
        <v>133</v>
      </c>
      <c r="B369" s="59"/>
    </row>
    <row r="370" spans="1:5">
      <c r="A370" t="s">
        <v>132</v>
      </c>
      <c r="B370" t="s">
        <v>131</v>
      </c>
      <c r="C370" t="s">
        <v>37</v>
      </c>
      <c r="D370" t="s">
        <v>115</v>
      </c>
    </row>
    <row r="371" spans="1:5">
      <c r="A371">
        <v>500</v>
      </c>
      <c r="B371">
        <v>200</v>
      </c>
      <c r="C371">
        <v>0.25</v>
      </c>
      <c r="D371">
        <f>A371+B371</f>
        <v>700</v>
      </c>
    </row>
    <row r="372" spans="1:5">
      <c r="A372" t="s">
        <v>114</v>
      </c>
      <c r="C372" t="s">
        <v>79</v>
      </c>
      <c r="E372" t="s">
        <v>120</v>
      </c>
    </row>
    <row r="373" spans="1:5">
      <c r="A373">
        <f>$D$371+$C$371*B373</f>
        <v>700</v>
      </c>
      <c r="B373">
        <v>0</v>
      </c>
      <c r="C373">
        <f>$A$371+$C$371*B373</f>
        <v>500</v>
      </c>
      <c r="D373">
        <v>700</v>
      </c>
      <c r="E373">
        <v>0</v>
      </c>
    </row>
    <row r="374" spans="1:5">
      <c r="A374">
        <f>$D$371+$C$371*B374</f>
        <v>933.33333333333337</v>
      </c>
      <c r="B374">
        <f>D371/(1-C371)</f>
        <v>933.33333333333337</v>
      </c>
      <c r="C374">
        <f t="shared" ref="C374:C375" si="57">$A$371+$C$371*B374</f>
        <v>733.33333333333337</v>
      </c>
      <c r="D374">
        <v>700</v>
      </c>
      <c r="E374">
        <f>B374</f>
        <v>933.33333333333337</v>
      </c>
    </row>
    <row r="375" spans="1:5">
      <c r="A375">
        <f t="shared" ref="A375" si="58">$D$371+$C$371*B375</f>
        <v>1150</v>
      </c>
      <c r="B375">
        <v>1800</v>
      </c>
      <c r="C375">
        <f t="shared" si="57"/>
        <v>950</v>
      </c>
      <c r="D375">
        <v>700</v>
      </c>
      <c r="E375">
        <f>B375</f>
        <v>1800</v>
      </c>
    </row>
    <row r="384" spans="1:5">
      <c r="A384" s="60" t="s">
        <v>134</v>
      </c>
      <c r="B384" s="59"/>
    </row>
    <row r="385" spans="1:5">
      <c r="A385" t="s">
        <v>132</v>
      </c>
      <c r="B385" t="s">
        <v>131</v>
      </c>
      <c r="C385" t="s">
        <v>37</v>
      </c>
      <c r="D385" t="s">
        <v>115</v>
      </c>
    </row>
    <row r="386" spans="1:5">
      <c r="A386">
        <v>500</v>
      </c>
      <c r="B386">
        <v>200</v>
      </c>
      <c r="C386">
        <v>0.5</v>
      </c>
      <c r="D386">
        <f>A386+B386</f>
        <v>700</v>
      </c>
    </row>
    <row r="387" spans="1:5">
      <c r="A387" t="s">
        <v>114</v>
      </c>
      <c r="C387" t="s">
        <v>79</v>
      </c>
      <c r="E387" t="s">
        <v>120</v>
      </c>
    </row>
    <row r="388" spans="1:5">
      <c r="A388">
        <f>$D$386+$C$386*B388</f>
        <v>700</v>
      </c>
      <c r="B388">
        <v>0</v>
      </c>
      <c r="C388">
        <f>$A$386+$C$386*B388</f>
        <v>500</v>
      </c>
      <c r="D388">
        <f>$D$386</f>
        <v>700</v>
      </c>
      <c r="E388">
        <v>0</v>
      </c>
    </row>
    <row r="389" spans="1:5">
      <c r="A389">
        <f t="shared" ref="A389:A390" si="59">$D$386+$C$386*B389</f>
        <v>1400</v>
      </c>
      <c r="B389">
        <v>1400</v>
      </c>
      <c r="C389">
        <f t="shared" ref="C389:C390" si="60">$A$386+$C$386*B389</f>
        <v>1200</v>
      </c>
      <c r="D389">
        <f t="shared" ref="D389:D390" si="61">$D$386</f>
        <v>700</v>
      </c>
      <c r="E389">
        <v>1400</v>
      </c>
    </row>
    <row r="390" spans="1:5">
      <c r="A390">
        <f t="shared" si="59"/>
        <v>2100</v>
      </c>
      <c r="B390">
        <v>2800</v>
      </c>
      <c r="C390">
        <f t="shared" si="60"/>
        <v>1900</v>
      </c>
      <c r="D390">
        <f t="shared" si="61"/>
        <v>700</v>
      </c>
      <c r="E390">
        <v>2800</v>
      </c>
    </row>
    <row r="399" spans="1:5">
      <c r="A399" s="60" t="s">
        <v>135</v>
      </c>
      <c r="B399" s="59"/>
    </row>
    <row r="400" spans="1:5">
      <c r="A400" t="s">
        <v>132</v>
      </c>
      <c r="B400" t="s">
        <v>131</v>
      </c>
      <c r="C400" t="s">
        <v>37</v>
      </c>
      <c r="D400" t="s">
        <v>115</v>
      </c>
    </row>
    <row r="401" spans="1:5">
      <c r="A401">
        <v>500</v>
      </c>
      <c r="B401">
        <v>200</v>
      </c>
      <c r="C401">
        <v>0.75</v>
      </c>
      <c r="D401">
        <f>A401+B401</f>
        <v>700</v>
      </c>
    </row>
    <row r="402" spans="1:5">
      <c r="A402" t="s">
        <v>114</v>
      </c>
      <c r="C402" t="s">
        <v>79</v>
      </c>
      <c r="E402" t="s">
        <v>120</v>
      </c>
    </row>
    <row r="403" spans="1:5">
      <c r="A403">
        <f>$D$401+$C$401*B403</f>
        <v>700</v>
      </c>
      <c r="B403">
        <v>0</v>
      </c>
      <c r="C403">
        <f>$A$401+$C$401*B403</f>
        <v>500</v>
      </c>
      <c r="D403">
        <f>$D$401</f>
        <v>700</v>
      </c>
      <c r="E403">
        <f>B403</f>
        <v>0</v>
      </c>
    </row>
    <row r="404" spans="1:5">
      <c r="A404">
        <f>$D$401+$C$401*B404</f>
        <v>2800</v>
      </c>
      <c r="B404">
        <f>D401/(1-C401)</f>
        <v>2800</v>
      </c>
      <c r="C404">
        <f t="shared" ref="C404:C405" si="62">$A$401+$C$401*B404</f>
        <v>2600</v>
      </c>
      <c r="D404">
        <f t="shared" ref="D404:D405" si="63">$D$401</f>
        <v>700</v>
      </c>
      <c r="E404">
        <f t="shared" ref="E404:E405" si="64">B404</f>
        <v>2800</v>
      </c>
    </row>
    <row r="405" spans="1:5">
      <c r="A405">
        <f>$D$401+$C$401*B405</f>
        <v>4900</v>
      </c>
      <c r="B405">
        <v>5600</v>
      </c>
      <c r="C405">
        <f t="shared" si="62"/>
        <v>4700</v>
      </c>
      <c r="D405">
        <f t="shared" si="63"/>
        <v>700</v>
      </c>
      <c r="E405">
        <f t="shared" si="64"/>
        <v>5600</v>
      </c>
    </row>
    <row r="414" spans="1:5">
      <c r="A414" s="60" t="s">
        <v>136</v>
      </c>
      <c r="B414" s="59"/>
    </row>
    <row r="415" spans="1:5">
      <c r="A415" t="s">
        <v>37</v>
      </c>
      <c r="B415" t="s">
        <v>67</v>
      </c>
      <c r="C415" t="s">
        <v>115</v>
      </c>
    </row>
    <row r="416" spans="1:5">
      <c r="A416">
        <v>0.25</v>
      </c>
      <c r="B416">
        <v>0.25</v>
      </c>
      <c r="C416">
        <v>850</v>
      </c>
    </row>
    <row r="417" spans="1:4">
      <c r="A417" t="s">
        <v>114</v>
      </c>
      <c r="B417">
        <f>1-B416</f>
        <v>0.75</v>
      </c>
      <c r="C417">
        <f>1/(1-(A416*B417))</f>
        <v>1.2307692307692308</v>
      </c>
      <c r="D417" t="s">
        <v>120</v>
      </c>
    </row>
    <row r="418" spans="1:4">
      <c r="A418">
        <f>$C$416+$A$416*(1-$B$416)*B418</f>
        <v>850</v>
      </c>
      <c r="B418">
        <v>0</v>
      </c>
      <c r="C418">
        <f>B418</f>
        <v>0</v>
      </c>
    </row>
    <row r="419" spans="1:4">
      <c r="A419">
        <f>$C$416+$A$416*(1-$B$416)*B419</f>
        <v>1046.1538461538462</v>
      </c>
      <c r="B419">
        <f>C416*C417</f>
        <v>1046.1538461538462</v>
      </c>
      <c r="C419">
        <f t="shared" ref="C419:C420" si="65">B419</f>
        <v>1046.1538461538462</v>
      </c>
      <c r="D419">
        <f>C419*B416</f>
        <v>261.53846153846155</v>
      </c>
    </row>
    <row r="420" spans="1:4">
      <c r="A420">
        <f t="shared" ref="A420" si="66">$C$416+$A$416*(1-$B$416)*B420</f>
        <v>1242.25</v>
      </c>
      <c r="B420">
        <v>2092</v>
      </c>
      <c r="C420">
        <f t="shared" si="65"/>
        <v>2092</v>
      </c>
    </row>
    <row r="431" spans="1:4">
      <c r="A431" s="60" t="s">
        <v>137</v>
      </c>
      <c r="B431" s="59"/>
    </row>
    <row r="432" spans="1:4">
      <c r="A432" t="s">
        <v>37</v>
      </c>
      <c r="B432" t="s">
        <v>67</v>
      </c>
      <c r="C432" t="s">
        <v>115</v>
      </c>
    </row>
    <row r="433" spans="1:4">
      <c r="A433">
        <v>0.25</v>
      </c>
      <c r="B433">
        <v>0.35</v>
      </c>
      <c r="C433">
        <v>850</v>
      </c>
    </row>
    <row r="434" spans="1:4">
      <c r="A434" t="s">
        <v>114</v>
      </c>
      <c r="B434">
        <f>1-B433</f>
        <v>0.65</v>
      </c>
      <c r="C434">
        <f>1/(1-(A433*B434))</f>
        <v>1.1940298507462686</v>
      </c>
      <c r="D434" t="s">
        <v>120</v>
      </c>
    </row>
    <row r="435" spans="1:4">
      <c r="A435">
        <f>$C$433+$A$433*(1-$B$433)*B435</f>
        <v>850</v>
      </c>
      <c r="B435">
        <v>0</v>
      </c>
      <c r="C435">
        <f>B435</f>
        <v>0</v>
      </c>
      <c r="D435">
        <f>B433*C436</f>
        <v>355.2238805970149</v>
      </c>
    </row>
    <row r="436" spans="1:4">
      <c r="A436">
        <f t="shared" ref="A436:A437" si="67">$C$433+$A$433*(1-$B$433)*B436</f>
        <v>1014.9253731343283</v>
      </c>
      <c r="B436">
        <f>C433/(1-$A$433*(1-B433))</f>
        <v>1014.9253731343283</v>
      </c>
      <c r="C436">
        <f t="shared" ref="C436:C437" si="68">B436</f>
        <v>1014.9253731343283</v>
      </c>
    </row>
    <row r="437" spans="1:4">
      <c r="A437">
        <f t="shared" si="67"/>
        <v>1179.875</v>
      </c>
      <c r="B437">
        <v>2030</v>
      </c>
      <c r="C437">
        <f t="shared" si="68"/>
        <v>2030</v>
      </c>
    </row>
    <row r="445" spans="1:4">
      <c r="A445" s="60" t="s">
        <v>138</v>
      </c>
      <c r="B445" s="59"/>
    </row>
    <row r="446" spans="1:4">
      <c r="A446" t="s">
        <v>37</v>
      </c>
      <c r="B446" t="s">
        <v>67</v>
      </c>
      <c r="C446" t="s">
        <v>115</v>
      </c>
    </row>
    <row r="447" spans="1:4">
      <c r="A447">
        <v>0.25</v>
      </c>
      <c r="B447">
        <v>0.4</v>
      </c>
      <c r="C447">
        <v>850</v>
      </c>
    </row>
    <row r="448" spans="1:4">
      <c r="A448" t="s">
        <v>114</v>
      </c>
      <c r="B448">
        <f>1-B447</f>
        <v>0.6</v>
      </c>
      <c r="C448">
        <f>1/(1-(A447*B448))</f>
        <v>1.1764705882352942</v>
      </c>
      <c r="D448" t="s">
        <v>120</v>
      </c>
    </row>
    <row r="449" spans="1:4">
      <c r="A449">
        <f>$C$447+$A$447*(1-$B$447)*B449</f>
        <v>850</v>
      </c>
      <c r="B449">
        <v>0</v>
      </c>
      <c r="C449">
        <f>B449</f>
        <v>0</v>
      </c>
      <c r="D449">
        <f>B447*C450</f>
        <v>400</v>
      </c>
    </row>
    <row r="450" spans="1:4">
      <c r="A450">
        <f t="shared" ref="A450:A451" si="69">$C$447+$A$447*(1-$B$447)*B450</f>
        <v>1000</v>
      </c>
      <c r="B450">
        <f>C447/(1-$A$447*(1-$B$447))</f>
        <v>1000</v>
      </c>
      <c r="C450">
        <f t="shared" ref="C450:C451" si="70">B450</f>
        <v>1000</v>
      </c>
    </row>
    <row r="451" spans="1:4">
      <c r="A451">
        <f t="shared" si="69"/>
        <v>1150</v>
      </c>
      <c r="B451">
        <v>2000</v>
      </c>
      <c r="C451">
        <f t="shared" si="70"/>
        <v>2000</v>
      </c>
    </row>
    <row r="460" spans="1:4">
      <c r="B460" s="48" t="s">
        <v>143</v>
      </c>
      <c r="C460" s="48" t="s">
        <v>149</v>
      </c>
      <c r="D460" s="48" t="s">
        <v>150</v>
      </c>
    </row>
    <row r="461" spans="1:4">
      <c r="A461" t="s">
        <v>115</v>
      </c>
      <c r="B461">
        <v>105</v>
      </c>
      <c r="C461">
        <v>105</v>
      </c>
      <c r="D461">
        <v>105</v>
      </c>
    </row>
    <row r="462" spans="1:4">
      <c r="A462" t="s">
        <v>140</v>
      </c>
      <c r="B462">
        <v>50</v>
      </c>
      <c r="C462">
        <v>50</v>
      </c>
      <c r="D462">
        <v>50</v>
      </c>
    </row>
    <row r="463" spans="1:4">
      <c r="A463" t="s">
        <v>132</v>
      </c>
      <c r="B463">
        <v>80</v>
      </c>
      <c r="C463">
        <v>80</v>
      </c>
      <c r="D463">
        <v>80</v>
      </c>
    </row>
    <row r="464" spans="1:4">
      <c r="A464" t="s">
        <v>131</v>
      </c>
      <c r="B464">
        <v>17.1875</v>
      </c>
      <c r="C464">
        <v>18.8</v>
      </c>
      <c r="D464">
        <v>20.3</v>
      </c>
    </row>
    <row r="465" spans="1:4">
      <c r="A465" t="s">
        <v>141</v>
      </c>
      <c r="B465">
        <v>25</v>
      </c>
      <c r="C465">
        <v>25</v>
      </c>
      <c r="D465">
        <v>25</v>
      </c>
    </row>
    <row r="466" spans="1:4">
      <c r="A466" t="s">
        <v>142</v>
      </c>
      <c r="B466">
        <f>B461-(SUM(B463:B465)-B462)</f>
        <v>32.8125</v>
      </c>
      <c r="C466">
        <f>C461-(SUM(C463:C465)-C462)</f>
        <v>31.200000000000003</v>
      </c>
      <c r="D466">
        <f>D461-(SUM(D463:D465)-D462)</f>
        <v>29.700000000000003</v>
      </c>
    </row>
    <row r="467" spans="1:4">
      <c r="A467" t="s">
        <v>67</v>
      </c>
      <c r="B467">
        <v>0.3</v>
      </c>
      <c r="C467">
        <v>0.3</v>
      </c>
      <c r="D467">
        <v>0.3</v>
      </c>
    </row>
    <row r="468" spans="1:4">
      <c r="A468" t="s">
        <v>37</v>
      </c>
      <c r="B468">
        <v>0.2</v>
      </c>
      <c r="C468">
        <v>0.2</v>
      </c>
      <c r="D468">
        <v>0.2</v>
      </c>
    </row>
    <row r="469" spans="1:4">
      <c r="A469" t="s">
        <v>139</v>
      </c>
      <c r="B469">
        <v>0.1</v>
      </c>
      <c r="C469">
        <v>0.15</v>
      </c>
      <c r="D469">
        <v>0.2</v>
      </c>
    </row>
    <row r="470" spans="1:4">
      <c r="A470" t="s">
        <v>144</v>
      </c>
      <c r="B470" s="49">
        <f>1/(1-(B468*(1-B467)-B469))</f>
        <v>1.0416666666666667</v>
      </c>
      <c r="C470" s="49">
        <f>1/(1-(C468*(1-C467)-C469))</f>
        <v>0.99009900990099009</v>
      </c>
      <c r="D470" s="49">
        <f>1/(1-(D468*(1-D467)-D469))</f>
        <v>0.94339622641509424</v>
      </c>
    </row>
    <row r="471" spans="1:4">
      <c r="A471" t="s">
        <v>120</v>
      </c>
      <c r="B471" s="50">
        <f>B470*B461</f>
        <v>109.37500000000001</v>
      </c>
      <c r="C471" s="50">
        <f>C470*C461</f>
        <v>103.96039603960396</v>
      </c>
      <c r="D471" s="50">
        <f>D470*D461</f>
        <v>99.056603773584897</v>
      </c>
    </row>
    <row r="472" spans="1:4">
      <c r="A472" t="s">
        <v>146</v>
      </c>
      <c r="B472" s="50">
        <f>(1-B467)*B471</f>
        <v>76.5625</v>
      </c>
      <c r="C472" s="50">
        <f>(1-C467)*C471</f>
        <v>72.772277227722768</v>
      </c>
      <c r="D472" s="50">
        <f>(1-D467)*D471</f>
        <v>69.339622641509422</v>
      </c>
    </row>
    <row r="473" spans="1:4">
      <c r="A473" t="s">
        <v>145</v>
      </c>
      <c r="B473" s="50">
        <f>B463+B468*B472</f>
        <v>95.3125</v>
      </c>
      <c r="C473" s="50">
        <f>C463+C468*C472</f>
        <v>94.554455445544562</v>
      </c>
      <c r="D473" s="50">
        <f>D463+D468*D472</f>
        <v>93.867924528301884</v>
      </c>
    </row>
    <row r="474" spans="1:4">
      <c r="A474" t="s">
        <v>147</v>
      </c>
      <c r="B474" s="50">
        <f>B462+B469*B471</f>
        <v>60.9375</v>
      </c>
      <c r="C474" s="50">
        <f>C462+C469*C471</f>
        <v>65.594059405940598</v>
      </c>
      <c r="D474" s="50">
        <f>D462+D469*D471</f>
        <v>69.811320754716974</v>
      </c>
    </row>
    <row r="475" spans="1:4">
      <c r="A475" t="s">
        <v>148</v>
      </c>
      <c r="B475" s="50">
        <f>B467*B471</f>
        <v>32.8125</v>
      </c>
      <c r="C475" s="50">
        <f>C467*C471</f>
        <v>31.188118811881189</v>
      </c>
      <c r="D475" s="50">
        <f>D467*D471</f>
        <v>29.716981132075468</v>
      </c>
    </row>
    <row r="476" spans="1:4">
      <c r="A476" t="s">
        <v>114</v>
      </c>
    </row>
    <row r="477" spans="1:4">
      <c r="B477">
        <f t="shared" ref="B477:D479" si="71">B$463+(B$468*(1-B$467)*B481)+B$464+(B$467*B481)+B$465-(B$462+B$469*B481)</f>
        <v>72.1875</v>
      </c>
      <c r="C477">
        <f t="shared" si="71"/>
        <v>73.8</v>
      </c>
      <c r="D477">
        <f t="shared" si="71"/>
        <v>75.3</v>
      </c>
    </row>
    <row r="478" spans="1:4">
      <c r="B478">
        <f t="shared" si="71"/>
        <v>109.375</v>
      </c>
      <c r="C478" s="40">
        <f t="shared" si="71"/>
        <v>103.94851485148514</v>
      </c>
      <c r="D478" s="40">
        <f t="shared" si="71"/>
        <v>99.073584905660368</v>
      </c>
    </row>
    <row r="479" spans="1:4">
      <c r="B479">
        <f t="shared" si="71"/>
        <v>146.5625</v>
      </c>
      <c r="C479" s="40">
        <f t="shared" si="71"/>
        <v>134.09702970297027</v>
      </c>
      <c r="D479" s="40">
        <f t="shared" si="71"/>
        <v>122.84716981132077</v>
      </c>
    </row>
    <row r="480" spans="1:4">
      <c r="A480" t="s">
        <v>80</v>
      </c>
    </row>
    <row r="481" spans="1:4">
      <c r="B481">
        <v>0</v>
      </c>
      <c r="C481">
        <v>0</v>
      </c>
      <c r="D481">
        <v>0</v>
      </c>
    </row>
    <row r="482" spans="1:4">
      <c r="B482">
        <f>B471</f>
        <v>109.37500000000001</v>
      </c>
      <c r="C482" s="40">
        <f>C471</f>
        <v>103.96039603960396</v>
      </c>
      <c r="D482" s="40">
        <f>D471</f>
        <v>99.056603773584897</v>
      </c>
    </row>
    <row r="483" spans="1:4">
      <c r="B483">
        <f>B482*2</f>
        <v>218.75000000000003</v>
      </c>
      <c r="C483" s="40">
        <f>C482*2</f>
        <v>207.92079207920793</v>
      </c>
      <c r="D483" s="40">
        <f>D482*2</f>
        <v>198.11320754716979</v>
      </c>
    </row>
    <row r="484" spans="1:4">
      <c r="C484" s="40">
        <v>1.5118811881188099</v>
      </c>
    </row>
    <row r="486" spans="1:4">
      <c r="B486" s="48" t="s">
        <v>153</v>
      </c>
      <c r="C486" s="48" t="s">
        <v>154</v>
      </c>
    </row>
    <row r="487" spans="1:4">
      <c r="A487" t="s">
        <v>115</v>
      </c>
      <c r="B487">
        <v>400</v>
      </c>
      <c r="C487">
        <v>450</v>
      </c>
    </row>
    <row r="488" spans="1:4">
      <c r="B488">
        <v>400</v>
      </c>
      <c r="C488">
        <v>450</v>
      </c>
    </row>
    <row r="489" spans="1:4">
      <c r="B489">
        <v>400</v>
      </c>
      <c r="C489">
        <v>450</v>
      </c>
    </row>
    <row r="490" spans="1:4">
      <c r="A490" t="s">
        <v>151</v>
      </c>
      <c r="B490">
        <f>3/4</f>
        <v>0.75</v>
      </c>
      <c r="C490">
        <v>0.65</v>
      </c>
    </row>
    <row r="491" spans="1:4">
      <c r="A491" t="s">
        <v>132</v>
      </c>
      <c r="B491">
        <f>B490*B487</f>
        <v>300</v>
      </c>
      <c r="C491">
        <f>C490*C487</f>
        <v>292.5</v>
      </c>
    </row>
    <row r="492" spans="1:4">
      <c r="A492" t="s">
        <v>152</v>
      </c>
      <c r="B492">
        <v>600</v>
      </c>
      <c r="C492">
        <v>800</v>
      </c>
    </row>
    <row r="493" spans="1:4">
      <c r="A493" t="s">
        <v>102</v>
      </c>
      <c r="B493">
        <f>(B492-B487)/B492</f>
        <v>0.33333333333333331</v>
      </c>
      <c r="C493">
        <f>(C492-C487)/C492</f>
        <v>0.4375</v>
      </c>
    </row>
    <row r="494" spans="1:4">
      <c r="A494" t="s">
        <v>114</v>
      </c>
    </row>
    <row r="495" spans="1:4">
      <c r="B495">
        <f>B$487+B$493*B499</f>
        <v>400</v>
      </c>
      <c r="C495">
        <f>C$487+C$493*C499</f>
        <v>450</v>
      </c>
    </row>
    <row r="496" spans="1:4">
      <c r="B496">
        <f t="shared" ref="B496:C497" si="72">B$487+B$493*B500</f>
        <v>600</v>
      </c>
      <c r="C496">
        <f t="shared" si="72"/>
        <v>800</v>
      </c>
    </row>
    <row r="497" spans="1:3">
      <c r="B497">
        <f t="shared" si="72"/>
        <v>800</v>
      </c>
      <c r="C497">
        <f t="shared" si="72"/>
        <v>1150</v>
      </c>
    </row>
    <row r="498" spans="1:3">
      <c r="A498" t="s">
        <v>80</v>
      </c>
    </row>
    <row r="499" spans="1:3">
      <c r="B499">
        <v>0</v>
      </c>
      <c r="C499">
        <v>0</v>
      </c>
    </row>
    <row r="500" spans="1:3">
      <c r="A500" t="s">
        <v>120</v>
      </c>
      <c r="B500">
        <v>600</v>
      </c>
      <c r="C500">
        <f>C492</f>
        <v>800</v>
      </c>
    </row>
    <row r="501" spans="1:3">
      <c r="B501">
        <f>B500*2</f>
        <v>1200</v>
      </c>
      <c r="C501">
        <f>C500*2</f>
        <v>1600</v>
      </c>
    </row>
    <row r="502" spans="1:3">
      <c r="A502" t="s">
        <v>79</v>
      </c>
    </row>
    <row r="503" spans="1:3">
      <c r="B503">
        <f>B$491+B$493*B499</f>
        <v>300</v>
      </c>
      <c r="C503">
        <f>C$491+C$493*C499</f>
        <v>292.5</v>
      </c>
    </row>
    <row r="504" spans="1:3">
      <c r="B504">
        <f t="shared" ref="B504:C505" si="73">B$491+B$493*B500</f>
        <v>500</v>
      </c>
      <c r="C504">
        <f t="shared" si="73"/>
        <v>642.5</v>
      </c>
    </row>
    <row r="505" spans="1:3">
      <c r="B505">
        <f t="shared" si="73"/>
        <v>700</v>
      </c>
      <c r="C505">
        <f t="shared" si="73"/>
        <v>992.5</v>
      </c>
    </row>
    <row r="508" spans="1:3">
      <c r="B508" s="48" t="s">
        <v>155</v>
      </c>
      <c r="C508" s="48" t="s">
        <v>158</v>
      </c>
    </row>
    <row r="509" spans="1:3">
      <c r="A509" t="s">
        <v>115</v>
      </c>
      <c r="B509">
        <v>450</v>
      </c>
      <c r="C509">
        <v>230</v>
      </c>
    </row>
    <row r="510" spans="1:3">
      <c r="B510">
        <f>B509</f>
        <v>450</v>
      </c>
      <c r="C510">
        <f>C509</f>
        <v>230</v>
      </c>
    </row>
    <row r="511" spans="1:3">
      <c r="B511">
        <f>B509</f>
        <v>450</v>
      </c>
      <c r="C511">
        <f>C509</f>
        <v>230</v>
      </c>
    </row>
    <row r="512" spans="1:3">
      <c r="A512" t="s">
        <v>151</v>
      </c>
      <c r="B512">
        <v>0.5</v>
      </c>
      <c r="C512">
        <v>0.6</v>
      </c>
    </row>
    <row r="513" spans="1:3">
      <c r="A513" t="s">
        <v>132</v>
      </c>
      <c r="B513">
        <f>B512*B509</f>
        <v>225</v>
      </c>
      <c r="C513">
        <f>C512*C509</f>
        <v>138</v>
      </c>
    </row>
    <row r="514" spans="1:3">
      <c r="A514" t="s">
        <v>152</v>
      </c>
      <c r="B514">
        <v>950</v>
      </c>
      <c r="C514">
        <v>640</v>
      </c>
    </row>
    <row r="515" spans="1:3">
      <c r="A515" t="s">
        <v>102</v>
      </c>
      <c r="B515">
        <v>0.7</v>
      </c>
      <c r="C515">
        <v>0.8</v>
      </c>
    </row>
    <row r="516" spans="1:3">
      <c r="A516" t="s">
        <v>67</v>
      </c>
      <c r="B516" s="49">
        <f>(B514-B509-B517)/(-B517)</f>
        <v>0.24812030075187969</v>
      </c>
      <c r="C516" s="49">
        <f>(C514-C509-C517)/(-C517)</f>
        <v>0.19921875</v>
      </c>
    </row>
    <row r="517" spans="1:3">
      <c r="A517" t="s">
        <v>156</v>
      </c>
      <c r="B517">
        <f>B515*B514</f>
        <v>665</v>
      </c>
      <c r="C517">
        <f>C515*C514</f>
        <v>512</v>
      </c>
    </row>
    <row r="518" spans="1:3">
      <c r="A518" t="s">
        <v>114</v>
      </c>
    </row>
    <row r="519" spans="1:3">
      <c r="B519">
        <f>B$509+(B$515*(1-B$516)*B523)</f>
        <v>450</v>
      </c>
      <c r="C519">
        <f>C$509+(C$515*(1-C$516)*C523)</f>
        <v>230</v>
      </c>
    </row>
    <row r="520" spans="1:3">
      <c r="B520">
        <f t="shared" ref="B520:C520" si="74">B$509+(B$515*(1-B$516)*B524)</f>
        <v>950</v>
      </c>
      <c r="C520">
        <f t="shared" si="74"/>
        <v>640</v>
      </c>
    </row>
    <row r="521" spans="1:3">
      <c r="B521">
        <f>B$509+(B$515*(1-B$516)*B525)</f>
        <v>1450</v>
      </c>
      <c r="C521">
        <f>C$509+(C$515*(1-C$516)*C525)</f>
        <v>1050</v>
      </c>
    </row>
    <row r="522" spans="1:3">
      <c r="A522" t="s">
        <v>80</v>
      </c>
    </row>
    <row r="523" spans="1:3">
      <c r="B523">
        <v>0</v>
      </c>
      <c r="C523">
        <v>0</v>
      </c>
    </row>
    <row r="524" spans="1:3">
      <c r="A524" t="s">
        <v>120</v>
      </c>
      <c r="B524">
        <f>B514</f>
        <v>950</v>
      </c>
      <c r="C524">
        <f>C514</f>
        <v>640</v>
      </c>
    </row>
    <row r="525" spans="1:3">
      <c r="B525">
        <f>B524*2</f>
        <v>1900</v>
      </c>
      <c r="C525">
        <f>C524*2</f>
        <v>1280</v>
      </c>
    </row>
    <row r="526" spans="1:3">
      <c r="A526" t="s">
        <v>79</v>
      </c>
    </row>
    <row r="527" spans="1:3">
      <c r="B527">
        <f t="shared" ref="B527:C529" si="75">B$513+B$515*B523</f>
        <v>225</v>
      </c>
      <c r="C527">
        <f t="shared" si="75"/>
        <v>138</v>
      </c>
    </row>
    <row r="528" spans="1:3">
      <c r="B528">
        <f t="shared" si="75"/>
        <v>890</v>
      </c>
      <c r="C528">
        <f t="shared" si="75"/>
        <v>650</v>
      </c>
    </row>
    <row r="529" spans="1:4">
      <c r="B529">
        <f t="shared" si="75"/>
        <v>1555</v>
      </c>
      <c r="C529">
        <f t="shared" si="75"/>
        <v>1162</v>
      </c>
    </row>
    <row r="531" spans="1:4">
      <c r="A531" t="s">
        <v>157</v>
      </c>
      <c r="B531" s="40">
        <f>B509-B513</f>
        <v>225</v>
      </c>
      <c r="C531" s="40">
        <f>C509-C513</f>
        <v>92</v>
      </c>
    </row>
    <row r="532" spans="1:4">
      <c r="B532" s="40">
        <f>B531</f>
        <v>225</v>
      </c>
    </row>
    <row r="533" spans="1:4">
      <c r="B533" s="40">
        <f>B531</f>
        <v>225</v>
      </c>
    </row>
    <row r="536" spans="1:4" ht="15.75" thickBot="1">
      <c r="B536" s="48" t="s">
        <v>178</v>
      </c>
    </row>
    <row r="537" spans="1:4" ht="15.75" thickBot="1">
      <c r="A537" t="s">
        <v>115</v>
      </c>
      <c r="B537" s="53">
        <f>1200-((B541*(1-B542)*B540)-B543*B540)</f>
        <v>1032</v>
      </c>
      <c r="D537" t="s">
        <v>159</v>
      </c>
    </row>
    <row r="538" spans="1:4">
      <c r="D538" t="s">
        <v>168</v>
      </c>
    </row>
    <row r="539" spans="1:4">
      <c r="D539" t="s">
        <v>167</v>
      </c>
    </row>
    <row r="540" spans="1:4">
      <c r="A540" t="s">
        <v>152</v>
      </c>
      <c r="B540">
        <v>1200</v>
      </c>
      <c r="D540" t="s">
        <v>165</v>
      </c>
    </row>
    <row r="541" spans="1:4" ht="15.75" thickBot="1">
      <c r="A541" t="s">
        <v>102</v>
      </c>
      <c r="B541">
        <v>0.65</v>
      </c>
      <c r="D541" t="s">
        <v>166</v>
      </c>
    </row>
    <row r="542" spans="1:4" ht="15.75" thickBot="1">
      <c r="A542" t="s">
        <v>67</v>
      </c>
      <c r="B542" s="52">
        <v>0.4</v>
      </c>
      <c r="D542" t="s">
        <v>169</v>
      </c>
    </row>
    <row r="543" spans="1:4">
      <c r="A543" t="s">
        <v>139</v>
      </c>
      <c r="B543" s="49">
        <v>0.25</v>
      </c>
    </row>
    <row r="544" spans="1:4">
      <c r="A544" t="s">
        <v>156</v>
      </c>
      <c r="B544" s="49">
        <f>B541*B540</f>
        <v>780</v>
      </c>
      <c r="D544" t="s">
        <v>162</v>
      </c>
    </row>
    <row r="545" spans="1:4">
      <c r="A545" t="s">
        <v>160</v>
      </c>
      <c r="B545" s="49">
        <f>B543*B540</f>
        <v>300</v>
      </c>
      <c r="D545" t="s">
        <v>163</v>
      </c>
    </row>
    <row r="546" spans="1:4">
      <c r="A546" s="51" t="s">
        <v>161</v>
      </c>
      <c r="B546" s="49">
        <f>B540-B544+B545</f>
        <v>720</v>
      </c>
      <c r="D546" t="s">
        <v>164</v>
      </c>
    </row>
    <row r="547" spans="1:4">
      <c r="A547" t="s">
        <v>114</v>
      </c>
      <c r="D547" t="s">
        <v>165</v>
      </c>
    </row>
    <row r="548" spans="1:4">
      <c r="A548" t="s">
        <v>80</v>
      </c>
      <c r="B548">
        <f>B540</f>
        <v>1200</v>
      </c>
      <c r="D548" t="s">
        <v>166</v>
      </c>
    </row>
    <row r="549" spans="1:4">
      <c r="A549" t="s">
        <v>120</v>
      </c>
      <c r="B549">
        <f>(B541*(1-B542)*B548)-(B543*B548)+B537</f>
        <v>1200</v>
      </c>
    </row>
    <row r="550" spans="1:4">
      <c r="D550" s="51" t="s">
        <v>170</v>
      </c>
    </row>
    <row r="551" spans="1:4">
      <c r="D551" s="51" t="s">
        <v>171</v>
      </c>
    </row>
    <row r="552" spans="1:4">
      <c r="D552" s="51" t="s">
        <v>172</v>
      </c>
    </row>
    <row r="553" spans="1:4">
      <c r="D553" s="51" t="s">
        <v>173</v>
      </c>
    </row>
    <row r="554" spans="1:4">
      <c r="D554" s="51" t="s">
        <v>175</v>
      </c>
    </row>
    <row r="555" spans="1:4">
      <c r="D555" s="51" t="s">
        <v>174</v>
      </c>
    </row>
    <row r="556" spans="1:4">
      <c r="D556" s="51" t="s">
        <v>176</v>
      </c>
    </row>
    <row r="557" spans="1:4">
      <c r="D557" s="51" t="s">
        <v>177</v>
      </c>
    </row>
    <row r="558" spans="1:4">
      <c r="D558" s="51"/>
    </row>
    <row r="560" spans="1:4">
      <c r="B560" s="48" t="s">
        <v>179</v>
      </c>
      <c r="C560" s="48" t="s">
        <v>190</v>
      </c>
    </row>
    <row r="561" spans="1:3">
      <c r="A561" t="s">
        <v>152</v>
      </c>
      <c r="B561">
        <v>520</v>
      </c>
      <c r="C561">
        <v>700</v>
      </c>
    </row>
    <row r="562" spans="1:3">
      <c r="A562" t="s">
        <v>37</v>
      </c>
      <c r="B562">
        <v>0.8</v>
      </c>
      <c r="C562">
        <v>0.4</v>
      </c>
    </row>
    <row r="563" spans="1:3">
      <c r="A563" t="s">
        <v>139</v>
      </c>
      <c r="B563">
        <v>0.3</v>
      </c>
      <c r="C563">
        <v>0.1</v>
      </c>
    </row>
    <row r="564" spans="1:3">
      <c r="A564" t="s">
        <v>140</v>
      </c>
      <c r="B564">
        <v>300</v>
      </c>
      <c r="C564">
        <v>100</v>
      </c>
    </row>
    <row r="565" spans="1:3">
      <c r="A565" t="s">
        <v>141</v>
      </c>
      <c r="B565">
        <v>130</v>
      </c>
      <c r="C565">
        <v>110</v>
      </c>
    </row>
    <row r="566" spans="1:3">
      <c r="A566" t="s">
        <v>67</v>
      </c>
      <c r="B566">
        <v>0.25</v>
      </c>
      <c r="C566">
        <v>0.35</v>
      </c>
    </row>
    <row r="567" spans="1:3">
      <c r="A567" t="s">
        <v>180</v>
      </c>
      <c r="B567">
        <v>200</v>
      </c>
      <c r="C567">
        <v>150</v>
      </c>
    </row>
    <row r="568" spans="1:3">
      <c r="A568" t="s">
        <v>182</v>
      </c>
      <c r="B568">
        <f>(B562*(1-B566))*B561</f>
        <v>312.00000000000006</v>
      </c>
    </row>
    <row r="569" spans="1:3">
      <c r="A569" t="s">
        <v>187</v>
      </c>
      <c r="B569">
        <f>B564+B563*B561</f>
        <v>456</v>
      </c>
      <c r="C569">
        <f>C564+C563*C561</f>
        <v>170</v>
      </c>
    </row>
    <row r="570" spans="1:3">
      <c r="A570" t="s">
        <v>183</v>
      </c>
      <c r="B570">
        <f>B576-B575</f>
        <v>334</v>
      </c>
      <c r="C570">
        <f>C576-C575</f>
        <v>428</v>
      </c>
    </row>
    <row r="571" spans="1:3">
      <c r="A571" t="s">
        <v>142</v>
      </c>
      <c r="B571">
        <f>B566*B561</f>
        <v>130</v>
      </c>
      <c r="C571">
        <f>C566*C561</f>
        <v>244.99999999999997</v>
      </c>
    </row>
    <row r="572" spans="1:3">
      <c r="A572" t="s">
        <v>132</v>
      </c>
      <c r="B572">
        <f>B570-B571</f>
        <v>204</v>
      </c>
      <c r="C572">
        <f>C570-C571</f>
        <v>183.00000000000003</v>
      </c>
    </row>
    <row r="573" spans="1:3">
      <c r="A573" t="s">
        <v>184</v>
      </c>
      <c r="B573">
        <f>B570+B567+B565-B564</f>
        <v>364</v>
      </c>
      <c r="C573">
        <f>C570+C567+C565-C564</f>
        <v>588</v>
      </c>
    </row>
    <row r="574" spans="1:3">
      <c r="A574" t="s">
        <v>186</v>
      </c>
      <c r="B574" s="49">
        <f>1/(1-(B562*(1-B566)-B563))</f>
        <v>1.4285714285714286</v>
      </c>
      <c r="C574" s="49">
        <f>1/(1-(C562*(1-C566)-C563))</f>
        <v>1.1904761904761905</v>
      </c>
    </row>
    <row r="575" spans="1:3">
      <c r="A575" t="s">
        <v>188</v>
      </c>
      <c r="B575">
        <f>B565+B567-B564</f>
        <v>30</v>
      </c>
      <c r="C575">
        <f>C565+C567-C564</f>
        <v>160</v>
      </c>
    </row>
    <row r="576" spans="1:3">
      <c r="A576" t="s">
        <v>189</v>
      </c>
      <c r="B576">
        <f>B561/B574</f>
        <v>364</v>
      </c>
      <c r="C576">
        <f>C561/C574</f>
        <v>588</v>
      </c>
    </row>
    <row r="577" spans="1:3">
      <c r="A577" t="s">
        <v>185</v>
      </c>
      <c r="B577">
        <f>B573*B574</f>
        <v>520</v>
      </c>
      <c r="C577">
        <f>C573*C574</f>
        <v>700</v>
      </c>
    </row>
    <row r="578" spans="1:3">
      <c r="A578" t="s">
        <v>79</v>
      </c>
      <c r="B578">
        <f>B572+(B562*(1-B566)*B561)</f>
        <v>516</v>
      </c>
      <c r="C578">
        <f>C572+(C562*(1-C566)*C561)</f>
        <v>365</v>
      </c>
    </row>
    <row r="579" spans="1:3">
      <c r="A579" t="s">
        <v>129</v>
      </c>
      <c r="B579">
        <f>B565-B569</f>
        <v>-326</v>
      </c>
      <c r="C579">
        <f>C565-C569</f>
        <v>-60</v>
      </c>
    </row>
    <row r="580" spans="1:3">
      <c r="A580" t="s">
        <v>181</v>
      </c>
    </row>
  </sheetData>
  <mergeCells count="27">
    <mergeCell ref="A384:B384"/>
    <mergeCell ref="A399:B399"/>
    <mergeCell ref="A414:B414"/>
    <mergeCell ref="A431:B431"/>
    <mergeCell ref="A445:B445"/>
    <mergeCell ref="A102:B102"/>
    <mergeCell ref="A196:B196"/>
    <mergeCell ref="A213:B213"/>
    <mergeCell ref="A229:B229"/>
    <mergeCell ref="A244:B244"/>
    <mergeCell ref="A149:B149"/>
    <mergeCell ref="A164:B164"/>
    <mergeCell ref="A180:B180"/>
    <mergeCell ref="A1:B1"/>
    <mergeCell ref="A20:B20"/>
    <mergeCell ref="A36:B36"/>
    <mergeCell ref="A58:B58"/>
    <mergeCell ref="A80:B80"/>
    <mergeCell ref="A339:B339"/>
    <mergeCell ref="A354:B354"/>
    <mergeCell ref="A369:B369"/>
    <mergeCell ref="A326:B326"/>
    <mergeCell ref="A118:B118"/>
    <mergeCell ref="A134:B134"/>
    <mergeCell ref="A275:B275"/>
    <mergeCell ref="A297:B297"/>
    <mergeCell ref="A260:B26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5BC7F-C461-472C-8C27-C3F2A7173C8E}">
  <dimension ref="A1:H1231"/>
  <sheetViews>
    <sheetView tabSelected="1" topLeftCell="A1198" workbookViewId="0">
      <selection activeCell="D1216" sqref="D1216"/>
    </sheetView>
  </sheetViews>
  <sheetFormatPr baseColWidth="10" defaultRowHeight="15"/>
  <sheetData>
    <row r="1" spans="1:3">
      <c r="A1" s="59" t="s">
        <v>191</v>
      </c>
      <c r="B1" s="59"/>
      <c r="C1" t="s">
        <v>192</v>
      </c>
    </row>
    <row r="2" spans="1:3">
      <c r="A2" t="s">
        <v>193</v>
      </c>
      <c r="B2" t="s">
        <v>194</v>
      </c>
      <c r="C2">
        <v>12</v>
      </c>
    </row>
    <row r="3" spans="1:3">
      <c r="A3">
        <f>$C$2-B3</f>
        <v>12</v>
      </c>
      <c r="B3">
        <v>0</v>
      </c>
    </row>
    <row r="4" spans="1:3">
      <c r="A4">
        <f t="shared" ref="A4:A6" si="0">$C$2-B4</f>
        <v>8</v>
      </c>
      <c r="B4">
        <v>4</v>
      </c>
    </row>
    <row r="5" spans="1:3">
      <c r="A5">
        <f t="shared" si="0"/>
        <v>4</v>
      </c>
      <c r="B5">
        <v>8</v>
      </c>
    </row>
    <row r="6" spans="1:3">
      <c r="A6">
        <f t="shared" si="0"/>
        <v>0</v>
      </c>
      <c r="B6">
        <v>12</v>
      </c>
    </row>
    <row r="16" spans="1:3">
      <c r="A16" s="59" t="s">
        <v>195</v>
      </c>
      <c r="B16" s="59"/>
      <c r="C16" t="s">
        <v>196</v>
      </c>
    </row>
    <row r="17" spans="1:3">
      <c r="A17" t="s">
        <v>193</v>
      </c>
      <c r="B17" t="s">
        <v>194</v>
      </c>
      <c r="C17">
        <v>12</v>
      </c>
    </row>
    <row r="18" spans="1:3">
      <c r="A18">
        <f>$C$17-$C$18*B18</f>
        <v>12</v>
      </c>
      <c r="B18">
        <v>0</v>
      </c>
      <c r="C18">
        <v>2</v>
      </c>
    </row>
    <row r="19" spans="1:3">
      <c r="A19">
        <f t="shared" ref="A19:A21" si="1">$C$17-$C$18*B19</f>
        <v>8</v>
      </c>
      <c r="B19">
        <v>2</v>
      </c>
    </row>
    <row r="20" spans="1:3">
      <c r="A20">
        <f t="shared" si="1"/>
        <v>4</v>
      </c>
      <c r="B20">
        <v>4</v>
      </c>
    </row>
    <row r="21" spans="1:3">
      <c r="A21">
        <f t="shared" si="1"/>
        <v>0</v>
      </c>
      <c r="B21">
        <v>6</v>
      </c>
    </row>
    <row r="31" spans="1:3">
      <c r="A31" s="59" t="s">
        <v>197</v>
      </c>
      <c r="B31" s="59"/>
      <c r="C31" t="s">
        <v>198</v>
      </c>
    </row>
    <row r="32" spans="1:3">
      <c r="A32" t="s">
        <v>193</v>
      </c>
      <c r="B32" t="s">
        <v>194</v>
      </c>
      <c r="C32">
        <v>12</v>
      </c>
    </row>
    <row r="33" spans="1:5">
      <c r="A33">
        <f>$C$32-$C$33*B33</f>
        <v>12</v>
      </c>
      <c r="B33">
        <v>0</v>
      </c>
      <c r="C33">
        <v>0.5</v>
      </c>
    </row>
    <row r="34" spans="1:5">
      <c r="A34">
        <f t="shared" ref="A34:A36" si="2">$C$32-$C$33*B34</f>
        <v>8</v>
      </c>
      <c r="B34">
        <v>8</v>
      </c>
    </row>
    <row r="35" spans="1:5">
      <c r="A35">
        <f t="shared" si="2"/>
        <v>4</v>
      </c>
      <c r="B35">
        <v>16</v>
      </c>
    </row>
    <row r="36" spans="1:5">
      <c r="A36">
        <f t="shared" si="2"/>
        <v>0</v>
      </c>
      <c r="B36">
        <v>24</v>
      </c>
    </row>
    <row r="46" spans="1:5">
      <c r="A46" s="59" t="s">
        <v>199</v>
      </c>
      <c r="B46" s="59"/>
    </row>
    <row r="47" spans="1:5">
      <c r="A47" t="s">
        <v>192</v>
      </c>
      <c r="C47" t="s">
        <v>196</v>
      </c>
      <c r="E47" t="s">
        <v>198</v>
      </c>
    </row>
    <row r="48" spans="1:5">
      <c r="A48">
        <v>12</v>
      </c>
      <c r="C48">
        <v>12</v>
      </c>
      <c r="E48">
        <v>12</v>
      </c>
    </row>
    <row r="49" spans="1:6">
      <c r="A49">
        <v>1</v>
      </c>
      <c r="C49">
        <v>2</v>
      </c>
      <c r="E49">
        <v>0.5</v>
      </c>
    </row>
    <row r="50" spans="1:6">
      <c r="A50" t="s">
        <v>193</v>
      </c>
      <c r="B50" t="s">
        <v>194</v>
      </c>
      <c r="C50" t="s">
        <v>193</v>
      </c>
      <c r="D50" t="s">
        <v>194</v>
      </c>
      <c r="E50" t="s">
        <v>193</v>
      </c>
      <c r="F50" t="s">
        <v>194</v>
      </c>
    </row>
    <row r="51" spans="1:6">
      <c r="A51">
        <f>A$48-A$49*B51</f>
        <v>12</v>
      </c>
      <c r="B51">
        <v>0</v>
      </c>
      <c r="C51">
        <f>C$48-C$49*D51</f>
        <v>12</v>
      </c>
      <c r="D51">
        <v>0</v>
      </c>
      <c r="E51">
        <f>E$48-E$49*F51</f>
        <v>12</v>
      </c>
      <c r="F51">
        <v>0</v>
      </c>
    </row>
    <row r="52" spans="1:6">
      <c r="A52">
        <f t="shared" ref="A52:C54" si="3">A$48-A$49*B52</f>
        <v>8</v>
      </c>
      <c r="B52">
        <v>4</v>
      </c>
      <c r="C52">
        <f t="shared" si="3"/>
        <v>8</v>
      </c>
      <c r="D52">
        <v>2</v>
      </c>
      <c r="E52">
        <f t="shared" ref="E52" si="4">E$48-E$49*F52</f>
        <v>8</v>
      </c>
      <c r="F52">
        <v>8</v>
      </c>
    </row>
    <row r="53" spans="1:6">
      <c r="A53">
        <f t="shared" si="3"/>
        <v>4</v>
      </c>
      <c r="B53">
        <v>8</v>
      </c>
      <c r="C53">
        <f t="shared" si="3"/>
        <v>4</v>
      </c>
      <c r="D53">
        <v>4</v>
      </c>
      <c r="E53">
        <f t="shared" ref="E53" si="5">E$48-E$49*F53</f>
        <v>4</v>
      </c>
      <c r="F53">
        <v>16</v>
      </c>
    </row>
    <row r="54" spans="1:6">
      <c r="A54">
        <f t="shared" si="3"/>
        <v>0</v>
      </c>
      <c r="B54">
        <v>12</v>
      </c>
      <c r="C54">
        <f>C$48-C$49*D54</f>
        <v>0</v>
      </c>
      <c r="D54">
        <v>6</v>
      </c>
      <c r="E54">
        <f t="shared" ref="E54" si="6">E$48-E$49*F54</f>
        <v>0</v>
      </c>
      <c r="F54">
        <v>24</v>
      </c>
    </row>
    <row r="61" spans="1:6">
      <c r="A61" s="59" t="s">
        <v>200</v>
      </c>
      <c r="B61" s="59"/>
    </row>
    <row r="62" spans="1:6">
      <c r="A62" t="s">
        <v>201</v>
      </c>
    </row>
    <row r="63" spans="1:6">
      <c r="A63">
        <v>150</v>
      </c>
    </row>
    <row r="64" spans="1:6">
      <c r="A64">
        <f>1/3</f>
        <v>0.33333333333333331</v>
      </c>
    </row>
    <row r="65" spans="1:2">
      <c r="A65" t="s">
        <v>193</v>
      </c>
      <c r="B65" t="s">
        <v>194</v>
      </c>
    </row>
    <row r="66" spans="1:2">
      <c r="A66">
        <f>A$63-A$64*B66</f>
        <v>150</v>
      </c>
      <c r="B66">
        <v>0</v>
      </c>
    </row>
    <row r="67" spans="1:2">
      <c r="A67">
        <f t="shared" ref="A67:A69" si="7">A$63-A$64*B67</f>
        <v>100</v>
      </c>
      <c r="B67">
        <v>150</v>
      </c>
    </row>
    <row r="68" spans="1:2">
      <c r="A68">
        <f t="shared" si="7"/>
        <v>50</v>
      </c>
      <c r="B68">
        <v>300</v>
      </c>
    </row>
    <row r="69" spans="1:2">
      <c r="A69">
        <f t="shared" si="7"/>
        <v>0</v>
      </c>
      <c r="B69">
        <v>450</v>
      </c>
    </row>
    <row r="77" spans="1:2">
      <c r="A77" s="59" t="s">
        <v>202</v>
      </c>
      <c r="B77" s="59"/>
    </row>
    <row r="78" spans="1:2">
      <c r="A78" t="s">
        <v>203</v>
      </c>
    </row>
    <row r="79" spans="1:2">
      <c r="A79">
        <v>150</v>
      </c>
    </row>
    <row r="80" spans="1:2">
      <c r="A80">
        <f>8</f>
        <v>8</v>
      </c>
    </row>
    <row r="81" spans="1:2">
      <c r="A81" t="s">
        <v>193</v>
      </c>
      <c r="B81" t="s">
        <v>194</v>
      </c>
    </row>
    <row r="82" spans="1:2">
      <c r="A82">
        <f>A$79-A$80*B82</f>
        <v>150</v>
      </c>
      <c r="B82">
        <v>0</v>
      </c>
    </row>
    <row r="83" spans="1:2">
      <c r="A83">
        <f t="shared" ref="A83:A85" si="8">A$79-A$80*B83</f>
        <v>102</v>
      </c>
      <c r="B83">
        <v>6</v>
      </c>
    </row>
    <row r="84" spans="1:2">
      <c r="A84">
        <f t="shared" si="8"/>
        <v>54</v>
      </c>
      <c r="B84">
        <v>12</v>
      </c>
    </row>
    <row r="85" spans="1:2">
      <c r="A85">
        <f t="shared" si="8"/>
        <v>0</v>
      </c>
      <c r="B85">
        <f>150/8</f>
        <v>18.75</v>
      </c>
    </row>
    <row r="92" spans="1:2">
      <c r="A92" s="59" t="s">
        <v>204</v>
      </c>
      <c r="B92" s="59"/>
    </row>
    <row r="93" spans="1:2">
      <c r="A93" t="s">
        <v>205</v>
      </c>
    </row>
    <row r="94" spans="1:2">
      <c r="A94">
        <v>150</v>
      </c>
    </row>
    <row r="95" spans="1:2">
      <c r="A95">
        <v>1</v>
      </c>
    </row>
    <row r="96" spans="1:2">
      <c r="A96" t="s">
        <v>193</v>
      </c>
      <c r="B96" t="s">
        <v>194</v>
      </c>
    </row>
    <row r="97" spans="1:6">
      <c r="A97">
        <f>A$94-A$95*B97</f>
        <v>150</v>
      </c>
      <c r="B97">
        <v>0</v>
      </c>
    </row>
    <row r="98" spans="1:6">
      <c r="A98">
        <f t="shared" ref="A98:A100" si="9">A$94-A$95*B98</f>
        <v>100</v>
      </c>
      <c r="B98">
        <v>50</v>
      </c>
    </row>
    <row r="99" spans="1:6">
      <c r="A99">
        <f t="shared" si="9"/>
        <v>50</v>
      </c>
      <c r="B99">
        <v>100</v>
      </c>
    </row>
    <row r="100" spans="1:6">
      <c r="A100">
        <f t="shared" si="9"/>
        <v>0</v>
      </c>
      <c r="B100">
        <v>150</v>
      </c>
    </row>
    <row r="108" spans="1:6">
      <c r="A108" s="59" t="s">
        <v>206</v>
      </c>
      <c r="B108" s="59"/>
    </row>
    <row r="109" spans="1:6">
      <c r="A109" t="s">
        <v>201</v>
      </c>
      <c r="C109" t="s">
        <v>203</v>
      </c>
      <c r="E109" t="s">
        <v>205</v>
      </c>
    </row>
    <row r="110" spans="1:6">
      <c r="A110">
        <v>150</v>
      </c>
      <c r="C110">
        <v>150</v>
      </c>
      <c r="E110">
        <v>150</v>
      </c>
    </row>
    <row r="111" spans="1:6">
      <c r="A111">
        <f>1/3</f>
        <v>0.33333333333333331</v>
      </c>
      <c r="C111">
        <f>8</f>
        <v>8</v>
      </c>
      <c r="E111">
        <v>1</v>
      </c>
    </row>
    <row r="112" spans="1:6">
      <c r="A112" t="s">
        <v>193</v>
      </c>
      <c r="B112" t="s">
        <v>194</v>
      </c>
      <c r="C112" t="s">
        <v>193</v>
      </c>
      <c r="D112" t="s">
        <v>194</v>
      </c>
      <c r="E112" t="s">
        <v>193</v>
      </c>
      <c r="F112" t="s">
        <v>194</v>
      </c>
    </row>
    <row r="113" spans="1:6">
      <c r="A113">
        <f>A$110-A$111*B113</f>
        <v>150</v>
      </c>
      <c r="B113">
        <v>0</v>
      </c>
      <c r="C113">
        <f>C$110-C$111*D113</f>
        <v>150</v>
      </c>
      <c r="D113">
        <v>0</v>
      </c>
      <c r="E113">
        <f>E$110-E$111*F113</f>
        <v>150</v>
      </c>
      <c r="F113">
        <v>0</v>
      </c>
    </row>
    <row r="114" spans="1:6">
      <c r="A114">
        <f t="shared" ref="A114:C116" si="10">A$110-A$111*B114</f>
        <v>100</v>
      </c>
      <c r="B114">
        <v>150</v>
      </c>
      <c r="C114">
        <f t="shared" si="10"/>
        <v>102</v>
      </c>
      <c r="D114">
        <v>6</v>
      </c>
      <c r="E114">
        <f t="shared" ref="E114" si="11">E$110-E$111*F114</f>
        <v>100</v>
      </c>
      <c r="F114">
        <v>50</v>
      </c>
    </row>
    <row r="115" spans="1:6">
      <c r="A115">
        <f t="shared" si="10"/>
        <v>50</v>
      </c>
      <c r="B115">
        <v>300</v>
      </c>
      <c r="C115">
        <f t="shared" si="10"/>
        <v>54</v>
      </c>
      <c r="D115">
        <v>12</v>
      </c>
      <c r="E115">
        <f t="shared" ref="E115" si="12">E$110-E$111*F115</f>
        <v>50</v>
      </c>
      <c r="F115">
        <v>100</v>
      </c>
    </row>
    <row r="116" spans="1:6">
      <c r="A116">
        <f t="shared" si="10"/>
        <v>0</v>
      </c>
      <c r="B116">
        <v>450</v>
      </c>
      <c r="C116">
        <f t="shared" si="10"/>
        <v>0</v>
      </c>
      <c r="D116">
        <v>18.75</v>
      </c>
      <c r="E116">
        <f t="shared" ref="E116" si="13">E$110-E$111*F116</f>
        <v>0</v>
      </c>
      <c r="F116">
        <v>150</v>
      </c>
    </row>
    <row r="124" spans="1:6">
      <c r="A124" s="59" t="s">
        <v>208</v>
      </c>
      <c r="B124" s="59"/>
    </row>
    <row r="125" spans="1:6">
      <c r="A125" t="s">
        <v>207</v>
      </c>
    </row>
    <row r="126" spans="1:6">
      <c r="A126">
        <v>65</v>
      </c>
    </row>
    <row r="127" spans="1:6">
      <c r="A127">
        <v>0.25</v>
      </c>
    </row>
    <row r="128" spans="1:6">
      <c r="A128" t="s">
        <v>193</v>
      </c>
      <c r="B128" t="s">
        <v>194</v>
      </c>
    </row>
    <row r="129" spans="1:2">
      <c r="A129">
        <f>A$126-A$127*B129</f>
        <v>65</v>
      </c>
      <c r="B129">
        <v>0</v>
      </c>
    </row>
    <row r="130" spans="1:2">
      <c r="A130">
        <f t="shared" ref="A130:A132" si="14">A$126-A$127*B130</f>
        <v>43</v>
      </c>
      <c r="B130">
        <v>88</v>
      </c>
    </row>
    <row r="131" spans="1:2">
      <c r="A131">
        <f t="shared" si="14"/>
        <v>21</v>
      </c>
      <c r="B131">
        <v>176</v>
      </c>
    </row>
    <row r="132" spans="1:2">
      <c r="A132">
        <f t="shared" si="14"/>
        <v>0</v>
      </c>
      <c r="B132">
        <v>260</v>
      </c>
    </row>
    <row r="140" spans="1:2">
      <c r="A140" s="59" t="s">
        <v>209</v>
      </c>
      <c r="B140" s="59"/>
    </row>
    <row r="141" spans="1:2">
      <c r="A141" t="s">
        <v>210</v>
      </c>
    </row>
    <row r="142" spans="1:2">
      <c r="A142">
        <v>65</v>
      </c>
    </row>
    <row r="143" spans="1:2">
      <c r="A143">
        <v>1</v>
      </c>
    </row>
    <row r="144" spans="1:2">
      <c r="A144" t="s">
        <v>193</v>
      </c>
      <c r="B144" t="s">
        <v>194</v>
      </c>
    </row>
    <row r="145" spans="1:6">
      <c r="A145">
        <f>A$142-A$143*B145</f>
        <v>65</v>
      </c>
      <c r="B145">
        <v>0</v>
      </c>
    </row>
    <row r="146" spans="1:6">
      <c r="A146">
        <f t="shared" ref="A146:A148" si="15">A$142-A$143*B146</f>
        <v>43</v>
      </c>
      <c r="B146">
        <v>22</v>
      </c>
    </row>
    <row r="147" spans="1:6">
      <c r="A147">
        <f t="shared" si="15"/>
        <v>21</v>
      </c>
      <c r="B147">
        <v>44</v>
      </c>
    </row>
    <row r="148" spans="1:6">
      <c r="A148">
        <f t="shared" si="15"/>
        <v>0</v>
      </c>
      <c r="B148">
        <v>65</v>
      </c>
    </row>
    <row r="155" spans="1:6">
      <c r="A155" s="59" t="s">
        <v>211</v>
      </c>
      <c r="B155" s="59"/>
    </row>
    <row r="156" spans="1:6">
      <c r="A156" t="s">
        <v>212</v>
      </c>
      <c r="C156" t="s">
        <v>207</v>
      </c>
      <c r="E156" t="s">
        <v>210</v>
      </c>
    </row>
    <row r="157" spans="1:6">
      <c r="A157">
        <v>65</v>
      </c>
      <c r="C157">
        <v>65</v>
      </c>
      <c r="E157">
        <v>65</v>
      </c>
    </row>
    <row r="158" spans="1:6">
      <c r="A158">
        <v>6.5</v>
      </c>
      <c r="C158">
        <v>0.25</v>
      </c>
      <c r="E158">
        <v>1</v>
      </c>
    </row>
    <row r="159" spans="1:6">
      <c r="A159" t="s">
        <v>193</v>
      </c>
      <c r="B159" t="s">
        <v>194</v>
      </c>
      <c r="C159" t="s">
        <v>193</v>
      </c>
      <c r="D159" t="s">
        <v>194</v>
      </c>
      <c r="E159" t="s">
        <v>193</v>
      </c>
      <c r="F159" t="s">
        <v>194</v>
      </c>
    </row>
    <row r="160" spans="1:6">
      <c r="A160">
        <f>A$157-A$158*B160</f>
        <v>65</v>
      </c>
      <c r="B160">
        <v>0</v>
      </c>
      <c r="C160">
        <f>C$157-C$158*D160</f>
        <v>65</v>
      </c>
      <c r="D160">
        <v>0</v>
      </c>
      <c r="E160">
        <f>E$157-E$158*F160</f>
        <v>65</v>
      </c>
      <c r="F160">
        <v>0</v>
      </c>
    </row>
    <row r="161" spans="1:6">
      <c r="A161">
        <f t="shared" ref="A161:C163" si="16">A$157-A$158*B161</f>
        <v>45.5</v>
      </c>
      <c r="B161">
        <v>3</v>
      </c>
      <c r="C161">
        <f t="shared" si="16"/>
        <v>43</v>
      </c>
      <c r="D161">
        <v>88</v>
      </c>
      <c r="E161">
        <f t="shared" ref="E161" si="17">E$157-E$158*F161</f>
        <v>43</v>
      </c>
      <c r="F161">
        <v>22</v>
      </c>
    </row>
    <row r="162" spans="1:6">
      <c r="A162">
        <f t="shared" si="16"/>
        <v>26</v>
      </c>
      <c r="B162">
        <v>6</v>
      </c>
      <c r="C162">
        <f t="shared" si="16"/>
        <v>21</v>
      </c>
      <c r="D162">
        <v>176</v>
      </c>
      <c r="E162">
        <f t="shared" ref="E162" si="18">E$157-E$158*F162</f>
        <v>21</v>
      </c>
      <c r="F162">
        <v>44</v>
      </c>
    </row>
    <row r="163" spans="1:6">
      <c r="A163">
        <f t="shared" si="16"/>
        <v>0</v>
      </c>
      <c r="B163">
        <v>10</v>
      </c>
      <c r="C163">
        <f t="shared" si="16"/>
        <v>0</v>
      </c>
      <c r="D163">
        <v>260</v>
      </c>
      <c r="E163">
        <f t="shared" ref="E163" si="19">E$157-E$158*F163</f>
        <v>0</v>
      </c>
      <c r="F163">
        <v>65</v>
      </c>
    </row>
    <row r="170" spans="1:6">
      <c r="A170" s="59" t="s">
        <v>213</v>
      </c>
      <c r="B170" s="59"/>
    </row>
    <row r="171" spans="1:6">
      <c r="A171" t="s">
        <v>214</v>
      </c>
    </row>
    <row r="172" spans="1:6">
      <c r="A172">
        <v>24</v>
      </c>
    </row>
    <row r="173" spans="1:6">
      <c r="A173">
        <f>1/4</f>
        <v>0.25</v>
      </c>
    </row>
    <row r="174" spans="1:6">
      <c r="A174" t="s">
        <v>193</v>
      </c>
      <c r="B174" t="s">
        <v>194</v>
      </c>
    </row>
    <row r="175" spans="1:6">
      <c r="A175">
        <f>A$172-A$173*B175</f>
        <v>24</v>
      </c>
      <c r="B175">
        <v>0</v>
      </c>
    </row>
    <row r="176" spans="1:6">
      <c r="A176">
        <f t="shared" ref="A176:A178" si="20">A$172-A$173*B176</f>
        <v>16</v>
      </c>
      <c r="B176">
        <v>32</v>
      </c>
    </row>
    <row r="177" spans="1:2">
      <c r="A177">
        <f t="shared" si="20"/>
        <v>8</v>
      </c>
      <c r="B177">
        <v>64</v>
      </c>
    </row>
    <row r="178" spans="1:2">
      <c r="A178">
        <f t="shared" si="20"/>
        <v>0</v>
      </c>
      <c r="B178">
        <v>96</v>
      </c>
    </row>
    <row r="185" spans="1:2">
      <c r="A185" s="59" t="s">
        <v>215</v>
      </c>
      <c r="B185" s="59"/>
    </row>
    <row r="186" spans="1:2">
      <c r="A186" t="s">
        <v>216</v>
      </c>
    </row>
    <row r="187" spans="1:2">
      <c r="A187">
        <v>32</v>
      </c>
    </row>
    <row r="188" spans="1:2">
      <c r="A188">
        <f>1/4</f>
        <v>0.25</v>
      </c>
    </row>
    <row r="189" spans="1:2">
      <c r="A189" t="s">
        <v>193</v>
      </c>
      <c r="B189" t="s">
        <v>194</v>
      </c>
    </row>
    <row r="190" spans="1:2">
      <c r="A190">
        <f>A$187-A$188*B190</f>
        <v>32</v>
      </c>
      <c r="B190">
        <v>0</v>
      </c>
    </row>
    <row r="191" spans="1:2">
      <c r="A191">
        <f t="shared" ref="A191:A193" si="21">A$187-A$188*B191</f>
        <v>21.5</v>
      </c>
      <c r="B191">
        <v>42</v>
      </c>
    </row>
    <row r="192" spans="1:2">
      <c r="A192">
        <f t="shared" si="21"/>
        <v>11</v>
      </c>
      <c r="B192">
        <v>84</v>
      </c>
    </row>
    <row r="193" spans="1:2">
      <c r="A193">
        <f t="shared" si="21"/>
        <v>0</v>
      </c>
      <c r="B193">
        <v>128</v>
      </c>
    </row>
    <row r="200" spans="1:2">
      <c r="A200" s="59" t="s">
        <v>217</v>
      </c>
      <c r="B200" s="59"/>
    </row>
    <row r="201" spans="1:2">
      <c r="A201" t="s">
        <v>218</v>
      </c>
    </row>
    <row r="202" spans="1:2">
      <c r="A202">
        <v>44</v>
      </c>
    </row>
    <row r="203" spans="1:2">
      <c r="A203">
        <f>1/4</f>
        <v>0.25</v>
      </c>
    </row>
    <row r="204" spans="1:2">
      <c r="A204" t="s">
        <v>193</v>
      </c>
      <c r="B204" t="s">
        <v>194</v>
      </c>
    </row>
    <row r="205" spans="1:2">
      <c r="A205">
        <f>A$202-A$203*B205</f>
        <v>44</v>
      </c>
      <c r="B205">
        <v>0</v>
      </c>
    </row>
    <row r="206" spans="1:2">
      <c r="A206">
        <f t="shared" ref="A206:A208" si="22">A$202-A$203*B206</f>
        <v>29</v>
      </c>
      <c r="B206">
        <v>60</v>
      </c>
    </row>
    <row r="207" spans="1:2">
      <c r="A207">
        <f t="shared" si="22"/>
        <v>14</v>
      </c>
      <c r="B207">
        <v>120</v>
      </c>
    </row>
    <row r="208" spans="1:2">
      <c r="A208">
        <f t="shared" si="22"/>
        <v>0</v>
      </c>
      <c r="B208">
        <v>176</v>
      </c>
    </row>
    <row r="215" spans="1:6">
      <c r="A215" s="59" t="s">
        <v>219</v>
      </c>
      <c r="B215" s="59"/>
      <c r="C215" s="54"/>
      <c r="D215" s="54"/>
      <c r="E215" s="54"/>
      <c r="F215" s="54"/>
    </row>
    <row r="216" spans="1:6">
      <c r="A216" t="s">
        <v>214</v>
      </c>
      <c r="C216" t="s">
        <v>216</v>
      </c>
      <c r="E216" t="s">
        <v>218</v>
      </c>
    </row>
    <row r="217" spans="1:6">
      <c r="A217">
        <v>24</v>
      </c>
      <c r="C217">
        <v>32</v>
      </c>
      <c r="E217">
        <v>44</v>
      </c>
    </row>
    <row r="218" spans="1:6">
      <c r="A218">
        <f>1/4</f>
        <v>0.25</v>
      </c>
      <c r="C218">
        <f>1/4</f>
        <v>0.25</v>
      </c>
      <c r="E218">
        <f>1/4</f>
        <v>0.25</v>
      </c>
    </row>
    <row r="219" spans="1:6">
      <c r="A219" t="s">
        <v>193</v>
      </c>
      <c r="B219" t="s">
        <v>194</v>
      </c>
      <c r="C219" t="s">
        <v>193</v>
      </c>
      <c r="D219" t="s">
        <v>194</v>
      </c>
      <c r="E219" t="s">
        <v>193</v>
      </c>
      <c r="F219" t="s">
        <v>194</v>
      </c>
    </row>
    <row r="220" spans="1:6">
      <c r="A220">
        <f>A$217-A$218*B220</f>
        <v>24</v>
      </c>
      <c r="B220">
        <v>0</v>
      </c>
      <c r="C220">
        <f>C$217-C$218*D220</f>
        <v>32</v>
      </c>
      <c r="D220">
        <v>0</v>
      </c>
      <c r="E220">
        <f>E$217-E$218*F220</f>
        <v>44</v>
      </c>
      <c r="F220">
        <v>0</v>
      </c>
    </row>
    <row r="221" spans="1:6">
      <c r="A221">
        <f t="shared" ref="A221:C223" si="23">A$217-A$218*B221</f>
        <v>16</v>
      </c>
      <c r="B221">
        <v>32</v>
      </c>
      <c r="C221">
        <f t="shared" si="23"/>
        <v>21</v>
      </c>
      <c r="D221">
        <v>44</v>
      </c>
      <c r="E221">
        <f t="shared" ref="E221" si="24">E$217-E$218*F221</f>
        <v>29</v>
      </c>
      <c r="F221">
        <v>60</v>
      </c>
    </row>
    <row r="222" spans="1:6">
      <c r="A222">
        <f t="shared" si="23"/>
        <v>8</v>
      </c>
      <c r="B222">
        <v>64</v>
      </c>
      <c r="C222">
        <f t="shared" si="23"/>
        <v>11</v>
      </c>
      <c r="D222">
        <v>84</v>
      </c>
      <c r="E222">
        <f t="shared" ref="E222" si="25">E$217-E$218*F222</f>
        <v>14</v>
      </c>
      <c r="F222">
        <v>120</v>
      </c>
    </row>
    <row r="223" spans="1:6">
      <c r="A223">
        <f t="shared" si="23"/>
        <v>0</v>
      </c>
      <c r="B223">
        <v>96</v>
      </c>
      <c r="C223">
        <f t="shared" si="23"/>
        <v>0</v>
      </c>
      <c r="D223">
        <v>128</v>
      </c>
      <c r="E223">
        <f t="shared" ref="E223" si="26">E$217-E$218*F223</f>
        <v>0</v>
      </c>
      <c r="F223">
        <v>176</v>
      </c>
    </row>
    <row r="231" spans="1:2">
      <c r="A231" s="59" t="s">
        <v>220</v>
      </c>
      <c r="B231" s="59"/>
    </row>
    <row r="232" spans="1:2">
      <c r="A232" t="s">
        <v>221</v>
      </c>
    </row>
    <row r="233" spans="1:2">
      <c r="A233">
        <v>50</v>
      </c>
    </row>
    <row r="234" spans="1:2">
      <c r="A234">
        <v>0.5</v>
      </c>
    </row>
    <row r="235" spans="1:2">
      <c r="A235" t="s">
        <v>193</v>
      </c>
      <c r="B235" t="s">
        <v>194</v>
      </c>
    </row>
    <row r="236" spans="1:2">
      <c r="A236">
        <f>A$233-A$234*B236</f>
        <v>50</v>
      </c>
      <c r="B236">
        <v>0</v>
      </c>
    </row>
    <row r="237" spans="1:2">
      <c r="A237">
        <f t="shared" ref="A237:A239" si="27">A$233-A$234*B237</f>
        <v>33</v>
      </c>
      <c r="B237">
        <v>34</v>
      </c>
    </row>
    <row r="238" spans="1:2">
      <c r="A238">
        <f t="shared" si="27"/>
        <v>17</v>
      </c>
      <c r="B238">
        <v>66</v>
      </c>
    </row>
    <row r="239" spans="1:2">
      <c r="A239">
        <f t="shared" si="27"/>
        <v>0</v>
      </c>
      <c r="B239">
        <v>100</v>
      </c>
    </row>
    <row r="247" spans="1:2">
      <c r="A247" s="59" t="s">
        <v>222</v>
      </c>
      <c r="B247" s="59"/>
    </row>
    <row r="248" spans="1:2">
      <c r="A248" t="s">
        <v>223</v>
      </c>
    </row>
    <row r="249" spans="1:2">
      <c r="A249">
        <v>75</v>
      </c>
    </row>
    <row r="250" spans="1:2">
      <c r="A250">
        <v>0.5</v>
      </c>
    </row>
    <row r="251" spans="1:2">
      <c r="A251" t="s">
        <v>193</v>
      </c>
      <c r="B251" t="s">
        <v>194</v>
      </c>
    </row>
    <row r="252" spans="1:2">
      <c r="A252">
        <f>A$249-A$250*B252</f>
        <v>75</v>
      </c>
      <c r="B252">
        <v>0</v>
      </c>
    </row>
    <row r="253" spans="1:2">
      <c r="A253">
        <f t="shared" ref="A253:A255" si="28">A$249-A$250*B253</f>
        <v>50</v>
      </c>
      <c r="B253">
        <v>50</v>
      </c>
    </row>
    <row r="254" spans="1:2">
      <c r="A254">
        <f t="shared" si="28"/>
        <v>25</v>
      </c>
      <c r="B254">
        <v>100</v>
      </c>
    </row>
    <row r="255" spans="1:2">
      <c r="A255">
        <f t="shared" si="28"/>
        <v>0</v>
      </c>
      <c r="B255">
        <v>150</v>
      </c>
    </row>
    <row r="262" spans="1:2">
      <c r="A262" s="59" t="s">
        <v>224</v>
      </c>
      <c r="B262" s="59"/>
    </row>
    <row r="263" spans="1:2">
      <c r="A263" t="s">
        <v>225</v>
      </c>
    </row>
    <row r="264" spans="1:2">
      <c r="A264">
        <v>30</v>
      </c>
    </row>
    <row r="265" spans="1:2">
      <c r="A265">
        <v>0.5</v>
      </c>
    </row>
    <row r="266" spans="1:2">
      <c r="A266" t="s">
        <v>193</v>
      </c>
      <c r="B266" t="s">
        <v>194</v>
      </c>
    </row>
    <row r="267" spans="1:2">
      <c r="A267">
        <f>A$264-A$265*B267</f>
        <v>30</v>
      </c>
      <c r="B267">
        <v>0</v>
      </c>
    </row>
    <row r="268" spans="1:2">
      <c r="A268">
        <f t="shared" ref="A268:A270" si="29">A$264-A$265*B268</f>
        <v>20</v>
      </c>
      <c r="B268">
        <v>20</v>
      </c>
    </row>
    <row r="269" spans="1:2">
      <c r="A269">
        <f t="shared" si="29"/>
        <v>10</v>
      </c>
      <c r="B269">
        <v>40</v>
      </c>
    </row>
    <row r="270" spans="1:2">
      <c r="A270">
        <f t="shared" si="29"/>
        <v>0</v>
      </c>
      <c r="B270">
        <v>60</v>
      </c>
    </row>
    <row r="278" spans="1:6">
      <c r="A278" s="59" t="s">
        <v>226</v>
      </c>
      <c r="B278" s="59"/>
      <c r="C278" s="54"/>
      <c r="D278" s="54"/>
      <c r="E278" s="54"/>
      <c r="F278" s="54"/>
    </row>
    <row r="279" spans="1:6">
      <c r="A279" t="s">
        <v>221</v>
      </c>
      <c r="C279" t="s">
        <v>223</v>
      </c>
      <c r="E279" t="s">
        <v>225</v>
      </c>
    </row>
    <row r="280" spans="1:6">
      <c r="A280">
        <v>50</v>
      </c>
      <c r="C280">
        <v>75</v>
      </c>
      <c r="E280">
        <v>30</v>
      </c>
    </row>
    <row r="281" spans="1:6">
      <c r="A281">
        <v>0.5</v>
      </c>
      <c r="C281">
        <v>0.5</v>
      </c>
      <c r="E281">
        <v>0.5</v>
      </c>
    </row>
    <row r="282" spans="1:6">
      <c r="A282" t="s">
        <v>193</v>
      </c>
      <c r="B282" t="s">
        <v>194</v>
      </c>
      <c r="C282" t="s">
        <v>193</v>
      </c>
      <c r="D282" t="s">
        <v>194</v>
      </c>
      <c r="E282" t="s">
        <v>193</v>
      </c>
      <c r="F282" t="s">
        <v>194</v>
      </c>
    </row>
    <row r="283" spans="1:6">
      <c r="A283">
        <f>A$280-A$281*B283</f>
        <v>50</v>
      </c>
      <c r="B283">
        <v>0</v>
      </c>
      <c r="C283">
        <f>C$280-C$281*D283</f>
        <v>75</v>
      </c>
      <c r="D283">
        <v>0</v>
      </c>
      <c r="E283">
        <f>E$280-E$281*F283</f>
        <v>30</v>
      </c>
      <c r="F283">
        <v>0</v>
      </c>
    </row>
    <row r="284" spans="1:6">
      <c r="A284">
        <f t="shared" ref="A284:C286" si="30">A$280-A$281*B284</f>
        <v>33</v>
      </c>
      <c r="B284">
        <v>34</v>
      </c>
      <c r="C284">
        <f t="shared" si="30"/>
        <v>50</v>
      </c>
      <c r="D284">
        <v>50</v>
      </c>
      <c r="E284">
        <f t="shared" ref="E284" si="31">E$280-E$281*F284</f>
        <v>20</v>
      </c>
      <c r="F284">
        <v>20</v>
      </c>
    </row>
    <row r="285" spans="1:6">
      <c r="A285">
        <f t="shared" si="30"/>
        <v>17</v>
      </c>
      <c r="B285">
        <v>66</v>
      </c>
      <c r="C285">
        <f t="shared" si="30"/>
        <v>25</v>
      </c>
      <c r="D285">
        <v>100</v>
      </c>
      <c r="E285">
        <f t="shared" ref="E285" si="32">E$280-E$281*F285</f>
        <v>10</v>
      </c>
      <c r="F285">
        <v>40</v>
      </c>
    </row>
    <row r="286" spans="1:6">
      <c r="A286">
        <f t="shared" si="30"/>
        <v>0</v>
      </c>
      <c r="B286">
        <v>100</v>
      </c>
      <c r="C286">
        <f t="shared" si="30"/>
        <v>0</v>
      </c>
      <c r="D286">
        <v>150</v>
      </c>
      <c r="E286">
        <f t="shared" ref="E286" si="33">E$280-E$281*F286</f>
        <v>0</v>
      </c>
      <c r="F286">
        <v>60</v>
      </c>
    </row>
    <row r="293" spans="1:2">
      <c r="A293" s="59" t="s">
        <v>227</v>
      </c>
      <c r="B293" s="59"/>
    </row>
    <row r="294" spans="1:2">
      <c r="A294" t="s">
        <v>228</v>
      </c>
    </row>
    <row r="295" spans="1:2">
      <c r="A295">
        <v>80</v>
      </c>
    </row>
    <row r="296" spans="1:2">
      <c r="A296">
        <v>2</v>
      </c>
    </row>
    <row r="297" spans="1:2">
      <c r="A297" t="s">
        <v>193</v>
      </c>
      <c r="B297" t="s">
        <v>194</v>
      </c>
    </row>
    <row r="298" spans="1:2">
      <c r="A298">
        <f>A$295-A$296*B298</f>
        <v>80</v>
      </c>
      <c r="B298">
        <v>0</v>
      </c>
    </row>
    <row r="299" spans="1:2">
      <c r="A299">
        <f t="shared" ref="A299:A301" si="34">A$295-A$296*B299</f>
        <v>54</v>
      </c>
      <c r="B299">
        <v>13</v>
      </c>
    </row>
    <row r="300" spans="1:2">
      <c r="A300">
        <f t="shared" si="34"/>
        <v>28</v>
      </c>
      <c r="B300">
        <v>26</v>
      </c>
    </row>
    <row r="301" spans="1:2">
      <c r="A301">
        <f t="shared" si="34"/>
        <v>0</v>
      </c>
      <c r="B301">
        <v>40</v>
      </c>
    </row>
    <row r="308" spans="1:2">
      <c r="A308" s="59" t="s">
        <v>229</v>
      </c>
      <c r="B308" s="59"/>
    </row>
    <row r="309" spans="1:2">
      <c r="A309" t="s">
        <v>230</v>
      </c>
    </row>
    <row r="310" spans="1:2">
      <c r="A310">
        <v>120</v>
      </c>
    </row>
    <row r="311" spans="1:2">
      <c r="A311">
        <v>2</v>
      </c>
    </row>
    <row r="312" spans="1:2">
      <c r="A312" t="s">
        <v>193</v>
      </c>
      <c r="B312" t="s">
        <v>194</v>
      </c>
    </row>
    <row r="313" spans="1:2">
      <c r="A313">
        <f>A$310-A$311*B313</f>
        <v>120</v>
      </c>
      <c r="B313">
        <v>0</v>
      </c>
    </row>
    <row r="314" spans="1:2">
      <c r="A314">
        <f t="shared" ref="A314:A316" si="35">A$310-A$311*B314</f>
        <v>80</v>
      </c>
      <c r="B314">
        <v>20</v>
      </c>
    </row>
    <row r="315" spans="1:2">
      <c r="A315">
        <f t="shared" si="35"/>
        <v>40</v>
      </c>
      <c r="B315">
        <v>40</v>
      </c>
    </row>
    <row r="316" spans="1:2">
      <c r="A316">
        <f t="shared" si="35"/>
        <v>0</v>
      </c>
      <c r="B316">
        <v>60</v>
      </c>
    </row>
    <row r="323" spans="1:2">
      <c r="A323" s="59" t="s">
        <v>231</v>
      </c>
      <c r="B323" s="59"/>
    </row>
    <row r="324" spans="1:2">
      <c r="A324" t="s">
        <v>232</v>
      </c>
    </row>
    <row r="325" spans="1:2">
      <c r="A325">
        <v>160</v>
      </c>
    </row>
    <row r="326" spans="1:2">
      <c r="A326">
        <v>2</v>
      </c>
    </row>
    <row r="327" spans="1:2">
      <c r="A327" t="s">
        <v>193</v>
      </c>
      <c r="B327" t="s">
        <v>194</v>
      </c>
    </row>
    <row r="328" spans="1:2">
      <c r="A328">
        <f>A$325-A$326*B328</f>
        <v>160</v>
      </c>
      <c r="B328">
        <v>0</v>
      </c>
    </row>
    <row r="329" spans="1:2">
      <c r="A329">
        <f t="shared" ref="A329:A331" si="36">A$325-A$326*B329</f>
        <v>106</v>
      </c>
      <c r="B329">
        <v>27</v>
      </c>
    </row>
    <row r="330" spans="1:2">
      <c r="A330">
        <f t="shared" si="36"/>
        <v>52</v>
      </c>
      <c r="B330">
        <v>54</v>
      </c>
    </row>
    <row r="331" spans="1:2">
      <c r="A331">
        <f t="shared" si="36"/>
        <v>0</v>
      </c>
      <c r="B331">
        <v>80</v>
      </c>
    </row>
    <row r="338" spans="1:6">
      <c r="A338" s="59" t="s">
        <v>233</v>
      </c>
      <c r="B338" s="59"/>
      <c r="C338" s="54"/>
      <c r="D338" s="54"/>
      <c r="E338" s="54"/>
      <c r="F338" s="54"/>
    </row>
    <row r="339" spans="1:6">
      <c r="A339" t="s">
        <v>228</v>
      </c>
      <c r="C339" t="s">
        <v>230</v>
      </c>
      <c r="E339" t="s">
        <v>232</v>
      </c>
    </row>
    <row r="340" spans="1:6">
      <c r="A340">
        <v>80</v>
      </c>
      <c r="C340">
        <v>120</v>
      </c>
      <c r="E340">
        <v>160</v>
      </c>
    </row>
    <row r="341" spans="1:6">
      <c r="A341">
        <v>2</v>
      </c>
      <c r="C341">
        <v>2</v>
      </c>
      <c r="E341">
        <v>2</v>
      </c>
    </row>
    <row r="342" spans="1:6">
      <c r="A342" t="s">
        <v>193</v>
      </c>
      <c r="B342" t="s">
        <v>194</v>
      </c>
      <c r="C342" t="s">
        <v>193</v>
      </c>
      <c r="D342" t="s">
        <v>194</v>
      </c>
      <c r="E342" t="s">
        <v>193</v>
      </c>
      <c r="F342" t="s">
        <v>194</v>
      </c>
    </row>
    <row r="343" spans="1:6">
      <c r="A343">
        <f>A$340-A$341*B343</f>
        <v>80</v>
      </c>
      <c r="B343">
        <v>0</v>
      </c>
      <c r="C343">
        <f>C$340-C$341*D343</f>
        <v>120</v>
      </c>
      <c r="D343">
        <v>0</v>
      </c>
      <c r="E343">
        <f>E$340-E$341*F343</f>
        <v>160</v>
      </c>
      <c r="F343">
        <v>0</v>
      </c>
    </row>
    <row r="344" spans="1:6">
      <c r="A344">
        <f t="shared" ref="A344:C346" si="37">A$340-A$341*B344</f>
        <v>54</v>
      </c>
      <c r="B344">
        <v>13</v>
      </c>
      <c r="C344">
        <f t="shared" si="37"/>
        <v>80</v>
      </c>
      <c r="D344">
        <v>20</v>
      </c>
      <c r="E344">
        <f t="shared" ref="E344" si="38">E$340-E$341*F344</f>
        <v>106</v>
      </c>
      <c r="F344">
        <v>27</v>
      </c>
    </row>
    <row r="345" spans="1:6">
      <c r="A345">
        <f t="shared" si="37"/>
        <v>28</v>
      </c>
      <c r="B345">
        <v>26</v>
      </c>
      <c r="C345">
        <f t="shared" si="37"/>
        <v>40</v>
      </c>
      <c r="D345">
        <v>40</v>
      </c>
      <c r="E345">
        <f t="shared" ref="E345" si="39">E$340-E$341*F345</f>
        <v>52</v>
      </c>
      <c r="F345">
        <v>54</v>
      </c>
    </row>
    <row r="346" spans="1:6">
      <c r="A346">
        <f t="shared" si="37"/>
        <v>0</v>
      </c>
      <c r="B346">
        <v>40</v>
      </c>
      <c r="C346">
        <f t="shared" si="37"/>
        <v>0</v>
      </c>
      <c r="D346">
        <v>60</v>
      </c>
      <c r="E346">
        <f t="shared" ref="E346" si="40">E$340-E$341*F346</f>
        <v>0</v>
      </c>
      <c r="F346">
        <v>80</v>
      </c>
    </row>
    <row r="353" spans="1:4">
      <c r="A353" s="59" t="s">
        <v>234</v>
      </c>
      <c r="B353" s="59"/>
    </row>
    <row r="354" spans="1:4">
      <c r="A354" t="s">
        <v>235</v>
      </c>
      <c r="C354" t="s">
        <v>236</v>
      </c>
    </row>
    <row r="355" spans="1:4">
      <c r="A355">
        <v>4</v>
      </c>
      <c r="C355">
        <f>A355*30</f>
        <v>120</v>
      </c>
    </row>
    <row r="356" spans="1:4">
      <c r="A356">
        <v>2</v>
      </c>
      <c r="C356">
        <v>60</v>
      </c>
    </row>
    <row r="357" spans="1:4">
      <c r="A357" t="s">
        <v>193</v>
      </c>
      <c r="B357" t="s">
        <v>194</v>
      </c>
      <c r="C357" t="s">
        <v>193</v>
      </c>
      <c r="D357" t="s">
        <v>194</v>
      </c>
    </row>
    <row r="358" spans="1:4">
      <c r="A358">
        <f>A$355-A$356*B358</f>
        <v>4</v>
      </c>
      <c r="B358">
        <v>0</v>
      </c>
      <c r="C358">
        <f>C$355-C$356*D358</f>
        <v>120</v>
      </c>
      <c r="D358">
        <v>0</v>
      </c>
    </row>
    <row r="359" spans="1:4">
      <c r="A359">
        <f t="shared" ref="A359:C361" si="41">A$355-A$356*B359</f>
        <v>2</v>
      </c>
      <c r="B359">
        <v>1</v>
      </c>
      <c r="C359">
        <f t="shared" si="41"/>
        <v>60</v>
      </c>
      <c r="D359">
        <v>1</v>
      </c>
    </row>
    <row r="360" spans="1:4">
      <c r="A360">
        <f t="shared" si="41"/>
        <v>1</v>
      </c>
      <c r="B360">
        <v>1.5</v>
      </c>
      <c r="C360">
        <f t="shared" si="41"/>
        <v>30</v>
      </c>
      <c r="D360">
        <v>1.5</v>
      </c>
    </row>
    <row r="361" spans="1:4">
      <c r="A361">
        <f t="shared" si="41"/>
        <v>0</v>
      </c>
      <c r="B361">
        <v>2</v>
      </c>
      <c r="C361">
        <f t="shared" si="41"/>
        <v>0</v>
      </c>
      <c r="D361">
        <v>2</v>
      </c>
    </row>
    <row r="369" spans="1:4">
      <c r="A369" s="59" t="s">
        <v>239</v>
      </c>
      <c r="B369" s="59"/>
    </row>
    <row r="370" spans="1:4">
      <c r="A370" t="s">
        <v>238</v>
      </c>
      <c r="C370" t="s">
        <v>237</v>
      </c>
    </row>
    <row r="371" spans="1:4">
      <c r="A371">
        <v>20</v>
      </c>
      <c r="C371">
        <f>A371*5</f>
        <v>100</v>
      </c>
    </row>
    <row r="372" spans="1:4">
      <c r="A372">
        <v>4</v>
      </c>
      <c r="C372">
        <v>20</v>
      </c>
    </row>
    <row r="373" spans="1:4">
      <c r="A373" t="s">
        <v>193</v>
      </c>
      <c r="B373" t="s">
        <v>194</v>
      </c>
      <c r="C373" t="s">
        <v>193</v>
      </c>
      <c r="D373" t="s">
        <v>194</v>
      </c>
    </row>
    <row r="374" spans="1:4">
      <c r="A374">
        <f>A$371-A$372*B374</f>
        <v>20</v>
      </c>
      <c r="B374">
        <v>0</v>
      </c>
      <c r="C374">
        <f>C$371-C$372*D374</f>
        <v>100</v>
      </c>
      <c r="D374">
        <v>0</v>
      </c>
    </row>
    <row r="375" spans="1:4">
      <c r="A375">
        <f t="shared" ref="A375:C377" si="42">A$371-A$372*B375</f>
        <v>12</v>
      </c>
      <c r="B375">
        <v>2</v>
      </c>
      <c r="C375">
        <f t="shared" si="42"/>
        <v>60</v>
      </c>
      <c r="D375">
        <v>2</v>
      </c>
    </row>
    <row r="376" spans="1:4">
      <c r="A376">
        <f t="shared" si="42"/>
        <v>4</v>
      </c>
      <c r="B376">
        <v>4</v>
      </c>
      <c r="C376">
        <f t="shared" si="42"/>
        <v>20</v>
      </c>
      <c r="D376">
        <v>4</v>
      </c>
    </row>
    <row r="377" spans="1:4">
      <c r="A377">
        <f t="shared" si="42"/>
        <v>0</v>
      </c>
      <c r="B377">
        <v>5</v>
      </c>
      <c r="C377">
        <f t="shared" si="42"/>
        <v>0</v>
      </c>
      <c r="D377">
        <v>5</v>
      </c>
    </row>
    <row r="383" spans="1:4">
      <c r="A383" s="59" t="s">
        <v>242</v>
      </c>
      <c r="B383" s="59"/>
    </row>
    <row r="384" spans="1:4">
      <c r="A384" t="s">
        <v>240</v>
      </c>
      <c r="C384" t="s">
        <v>241</v>
      </c>
    </row>
    <row r="385" spans="1:4">
      <c r="A385">
        <v>12</v>
      </c>
      <c r="C385">
        <v>300</v>
      </c>
    </row>
    <row r="386" spans="1:4">
      <c r="A386">
        <v>3</v>
      </c>
      <c r="C386">
        <v>75</v>
      </c>
    </row>
    <row r="387" spans="1:4">
      <c r="A387" t="s">
        <v>193</v>
      </c>
      <c r="B387" t="s">
        <v>194</v>
      </c>
      <c r="C387" t="s">
        <v>193</v>
      </c>
      <c r="D387" t="s">
        <v>194</v>
      </c>
    </row>
    <row r="388" spans="1:4">
      <c r="A388">
        <f>A$385-A$386*B388</f>
        <v>12</v>
      </c>
      <c r="B388">
        <v>0</v>
      </c>
      <c r="C388">
        <f>C$385-C$386*D388</f>
        <v>300</v>
      </c>
      <c r="D388">
        <v>0</v>
      </c>
    </row>
    <row r="389" spans="1:4">
      <c r="A389">
        <f t="shared" ref="A389:C391" si="43">A$385-A$386*B389</f>
        <v>6</v>
      </c>
      <c r="B389">
        <v>2</v>
      </c>
      <c r="C389">
        <f t="shared" si="43"/>
        <v>150</v>
      </c>
      <c r="D389">
        <v>2</v>
      </c>
    </row>
    <row r="390" spans="1:4">
      <c r="A390">
        <f t="shared" si="43"/>
        <v>3</v>
      </c>
      <c r="B390">
        <v>3</v>
      </c>
      <c r="C390">
        <f t="shared" si="43"/>
        <v>75</v>
      </c>
      <c r="D390">
        <v>3</v>
      </c>
    </row>
    <row r="391" spans="1:4">
      <c r="A391">
        <f t="shared" si="43"/>
        <v>0</v>
      </c>
      <c r="B391">
        <v>4</v>
      </c>
      <c r="C391">
        <f t="shared" si="43"/>
        <v>0</v>
      </c>
      <c r="D391">
        <v>4</v>
      </c>
    </row>
    <row r="398" spans="1:4">
      <c r="A398" s="59" t="s">
        <v>243</v>
      </c>
      <c r="B398" s="59"/>
    </row>
    <row r="399" spans="1:4">
      <c r="A399" t="s">
        <v>244</v>
      </c>
      <c r="C399" t="s">
        <v>245</v>
      </c>
    </row>
    <row r="400" spans="1:4">
      <c r="A400">
        <v>45</v>
      </c>
      <c r="C400">
        <v>180</v>
      </c>
    </row>
    <row r="401" spans="1:4">
      <c r="A401">
        <v>0.5</v>
      </c>
      <c r="C401">
        <v>2</v>
      </c>
    </row>
    <row r="402" spans="1:4">
      <c r="A402" t="s">
        <v>193</v>
      </c>
      <c r="B402" t="s">
        <v>194</v>
      </c>
      <c r="C402" t="s">
        <v>193</v>
      </c>
      <c r="D402" t="s">
        <v>194</v>
      </c>
    </row>
    <row r="403" spans="1:4">
      <c r="A403">
        <f>A$400-A$401*B403</f>
        <v>45</v>
      </c>
      <c r="B403">
        <v>0</v>
      </c>
      <c r="C403">
        <f>C$400-C$401*D403</f>
        <v>180</v>
      </c>
      <c r="D403">
        <v>0</v>
      </c>
    </row>
    <row r="404" spans="1:4">
      <c r="A404">
        <f t="shared" ref="A404:C406" si="44">A$400-A$401*B404</f>
        <v>30</v>
      </c>
      <c r="B404">
        <v>30</v>
      </c>
      <c r="C404">
        <f t="shared" si="44"/>
        <v>120</v>
      </c>
      <c r="D404">
        <v>30</v>
      </c>
    </row>
    <row r="405" spans="1:4">
      <c r="A405">
        <f t="shared" si="44"/>
        <v>15</v>
      </c>
      <c r="B405">
        <v>60</v>
      </c>
      <c r="C405">
        <f t="shared" si="44"/>
        <v>60</v>
      </c>
      <c r="D405">
        <v>60</v>
      </c>
    </row>
    <row r="406" spans="1:4">
      <c r="A406">
        <f t="shared" si="44"/>
        <v>0</v>
      </c>
      <c r="B406">
        <v>90</v>
      </c>
      <c r="C406">
        <f t="shared" si="44"/>
        <v>0</v>
      </c>
      <c r="D406">
        <v>90</v>
      </c>
    </row>
    <row r="414" spans="1:4">
      <c r="A414" s="59" t="s">
        <v>246</v>
      </c>
      <c r="B414" s="59"/>
    </row>
    <row r="415" spans="1:4">
      <c r="A415" t="s">
        <v>247</v>
      </c>
      <c r="C415" t="s">
        <v>248</v>
      </c>
    </row>
    <row r="416" spans="1:4">
      <c r="A416">
        <v>70</v>
      </c>
      <c r="C416">
        <v>700</v>
      </c>
    </row>
    <row r="417" spans="1:4">
      <c r="A417">
        <v>0.1</v>
      </c>
      <c r="C417">
        <v>1</v>
      </c>
    </row>
    <row r="418" spans="1:4">
      <c r="A418" t="s">
        <v>193</v>
      </c>
      <c r="B418" t="s">
        <v>194</v>
      </c>
      <c r="C418" t="s">
        <v>193</v>
      </c>
      <c r="D418" t="s">
        <v>194</v>
      </c>
    </row>
    <row r="419" spans="1:4">
      <c r="A419">
        <f>A$416-A$417*B419</f>
        <v>70</v>
      </c>
      <c r="B419">
        <v>0</v>
      </c>
      <c r="C419">
        <f>C$416-C$417*D419</f>
        <v>700</v>
      </c>
      <c r="D419">
        <v>0</v>
      </c>
    </row>
    <row r="420" spans="1:4">
      <c r="A420">
        <f t="shared" ref="A420:C422" si="45">A$416-A$417*B420</f>
        <v>45</v>
      </c>
      <c r="B420">
        <v>250</v>
      </c>
      <c r="C420">
        <f t="shared" si="45"/>
        <v>450</v>
      </c>
      <c r="D420">
        <v>250</v>
      </c>
    </row>
    <row r="421" spans="1:4">
      <c r="A421">
        <f t="shared" si="45"/>
        <v>20</v>
      </c>
      <c r="B421">
        <v>500</v>
      </c>
      <c r="C421">
        <f t="shared" si="45"/>
        <v>200</v>
      </c>
      <c r="D421">
        <v>500</v>
      </c>
    </row>
    <row r="422" spans="1:4">
      <c r="A422">
        <f t="shared" si="45"/>
        <v>0</v>
      </c>
      <c r="B422">
        <v>700</v>
      </c>
      <c r="C422">
        <f t="shared" si="45"/>
        <v>0</v>
      </c>
      <c r="D422">
        <v>700</v>
      </c>
    </row>
    <row r="429" spans="1:4">
      <c r="A429" s="59" t="s">
        <v>249</v>
      </c>
      <c r="B429" s="59"/>
    </row>
    <row r="430" spans="1:4">
      <c r="A430" t="s">
        <v>250</v>
      </c>
      <c r="C430" t="s">
        <v>251</v>
      </c>
    </row>
    <row r="431" spans="1:4">
      <c r="A431">
        <v>22</v>
      </c>
      <c r="C431">
        <f>120*A431</f>
        <v>2640</v>
      </c>
    </row>
    <row r="432" spans="1:4">
      <c r="A432">
        <v>0.2</v>
      </c>
      <c r="C432">
        <f>120*A432</f>
        <v>24</v>
      </c>
    </row>
    <row r="433" spans="1:4">
      <c r="A433" t="s">
        <v>193</v>
      </c>
      <c r="B433" t="s">
        <v>194</v>
      </c>
      <c r="C433" t="s">
        <v>193</v>
      </c>
      <c r="D433" t="s">
        <v>194</v>
      </c>
    </row>
    <row r="434" spans="1:4">
      <c r="A434">
        <f>A$431-A$432*B434</f>
        <v>22</v>
      </c>
      <c r="B434">
        <v>0</v>
      </c>
      <c r="C434">
        <f>C$431-C$432*D434</f>
        <v>2640</v>
      </c>
      <c r="D434">
        <f>B434</f>
        <v>0</v>
      </c>
    </row>
    <row r="435" spans="1:4">
      <c r="A435">
        <f t="shared" ref="A435:C437" si="46">A$431-A$432*B435</f>
        <v>14</v>
      </c>
      <c r="B435">
        <v>40</v>
      </c>
      <c r="C435">
        <f t="shared" si="46"/>
        <v>1680</v>
      </c>
      <c r="D435">
        <f t="shared" ref="D435:D437" si="47">B435</f>
        <v>40</v>
      </c>
    </row>
    <row r="436" spans="1:4">
      <c r="A436">
        <f t="shared" si="46"/>
        <v>6</v>
      </c>
      <c r="B436">
        <v>80</v>
      </c>
      <c r="C436">
        <f t="shared" si="46"/>
        <v>720</v>
      </c>
      <c r="D436">
        <f t="shared" si="47"/>
        <v>80</v>
      </c>
    </row>
    <row r="437" spans="1:4">
      <c r="A437">
        <f t="shared" si="46"/>
        <v>0</v>
      </c>
      <c r="B437">
        <v>110</v>
      </c>
      <c r="C437">
        <f t="shared" si="46"/>
        <v>0</v>
      </c>
      <c r="D437">
        <f t="shared" si="47"/>
        <v>110</v>
      </c>
    </row>
    <row r="445" spans="1:4">
      <c r="A445" s="59" t="s">
        <v>252</v>
      </c>
      <c r="B445" s="59"/>
    </row>
    <row r="446" spans="1:4">
      <c r="A446" t="s">
        <v>253</v>
      </c>
      <c r="C446" t="s">
        <v>254</v>
      </c>
    </row>
    <row r="447" spans="1:4">
      <c r="A447">
        <v>14</v>
      </c>
      <c r="C447">
        <f>85*A447</f>
        <v>1190</v>
      </c>
    </row>
    <row r="448" spans="1:4">
      <c r="A448">
        <f>1/4</f>
        <v>0.25</v>
      </c>
      <c r="C448">
        <f>85*A448</f>
        <v>21.25</v>
      </c>
    </row>
    <row r="449" spans="1:4">
      <c r="A449" t="s">
        <v>193</v>
      </c>
      <c r="B449" t="s">
        <v>194</v>
      </c>
      <c r="C449" t="s">
        <v>193</v>
      </c>
      <c r="D449" t="s">
        <v>194</v>
      </c>
    </row>
    <row r="450" spans="1:4">
      <c r="A450">
        <f>A$447-A$448*B450</f>
        <v>14</v>
      </c>
      <c r="B450">
        <v>0</v>
      </c>
      <c r="C450">
        <f>C$447-C$448*D450</f>
        <v>1190</v>
      </c>
      <c r="D450">
        <f>B450</f>
        <v>0</v>
      </c>
    </row>
    <row r="451" spans="1:4">
      <c r="A451">
        <f t="shared" ref="A451:C453" si="48">A$447-A$448*B451</f>
        <v>10</v>
      </c>
      <c r="B451">
        <v>16</v>
      </c>
      <c r="C451">
        <f t="shared" si="48"/>
        <v>850</v>
      </c>
      <c r="D451">
        <f t="shared" ref="D451:D453" si="49">B451</f>
        <v>16</v>
      </c>
    </row>
    <row r="452" spans="1:4">
      <c r="A452">
        <f t="shared" si="48"/>
        <v>4.5</v>
      </c>
      <c r="B452">
        <v>38</v>
      </c>
      <c r="C452">
        <f t="shared" si="48"/>
        <v>382.5</v>
      </c>
      <c r="D452">
        <f t="shared" si="49"/>
        <v>38</v>
      </c>
    </row>
    <row r="453" spans="1:4">
      <c r="A453">
        <f t="shared" si="48"/>
        <v>0</v>
      </c>
      <c r="B453">
        <v>56</v>
      </c>
      <c r="C453">
        <f t="shared" si="48"/>
        <v>0</v>
      </c>
      <c r="D453">
        <f t="shared" si="49"/>
        <v>56</v>
      </c>
    </row>
    <row r="460" spans="1:4">
      <c r="A460" s="59" t="s">
        <v>255</v>
      </c>
      <c r="B460" s="59"/>
    </row>
    <row r="461" spans="1:4">
      <c r="A461" t="s">
        <v>256</v>
      </c>
      <c r="C461" t="s">
        <v>257</v>
      </c>
    </row>
    <row r="462" spans="1:4">
      <c r="A462">
        <v>30</v>
      </c>
      <c r="C462">
        <f>210*A462</f>
        <v>6300</v>
      </c>
    </row>
    <row r="463" spans="1:4">
      <c r="A463">
        <v>3</v>
      </c>
      <c r="C463">
        <f>210*A463</f>
        <v>630</v>
      </c>
    </row>
    <row r="464" spans="1:4">
      <c r="A464" t="s">
        <v>193</v>
      </c>
      <c r="B464" t="s">
        <v>194</v>
      </c>
      <c r="C464" t="s">
        <v>193</v>
      </c>
      <c r="D464" t="s">
        <v>194</v>
      </c>
    </row>
    <row r="465" spans="1:4">
      <c r="A465">
        <f>A$462-A$463*B465</f>
        <v>30</v>
      </c>
      <c r="B465">
        <v>0</v>
      </c>
      <c r="C465">
        <f>C$462-C$463*D465</f>
        <v>6300</v>
      </c>
      <c r="D465">
        <f>B465</f>
        <v>0</v>
      </c>
    </row>
    <row r="466" spans="1:4">
      <c r="A466">
        <f t="shared" ref="A466:C468" si="50">A$462-A$463*B466</f>
        <v>21</v>
      </c>
      <c r="B466">
        <v>3</v>
      </c>
      <c r="C466">
        <f t="shared" si="50"/>
        <v>4410</v>
      </c>
      <c r="D466">
        <f t="shared" ref="D466:D468" si="51">B466</f>
        <v>3</v>
      </c>
    </row>
    <row r="467" spans="1:4">
      <c r="A467">
        <f t="shared" si="50"/>
        <v>9</v>
      </c>
      <c r="B467">
        <v>7</v>
      </c>
      <c r="C467">
        <f t="shared" si="50"/>
        <v>1890</v>
      </c>
      <c r="D467">
        <f t="shared" si="51"/>
        <v>7</v>
      </c>
    </row>
    <row r="468" spans="1:4">
      <c r="A468">
        <f t="shared" si="50"/>
        <v>0</v>
      </c>
      <c r="B468">
        <v>10</v>
      </c>
      <c r="C468">
        <f t="shared" si="50"/>
        <v>0</v>
      </c>
      <c r="D468">
        <f t="shared" si="51"/>
        <v>10</v>
      </c>
    </row>
    <row r="475" spans="1:4">
      <c r="A475" s="59" t="s">
        <v>258</v>
      </c>
      <c r="B475" s="59"/>
    </row>
    <row r="476" spans="1:4">
      <c r="A476" t="s">
        <v>259</v>
      </c>
      <c r="C476" t="s">
        <v>260</v>
      </c>
    </row>
    <row r="477" spans="1:4">
      <c r="A477">
        <v>10</v>
      </c>
      <c r="C477">
        <f>A477*52</f>
        <v>520</v>
      </c>
    </row>
    <row r="478" spans="1:4">
      <c r="A478">
        <f>4/5</f>
        <v>0.8</v>
      </c>
      <c r="C478">
        <f>A478*52</f>
        <v>41.6</v>
      </c>
    </row>
    <row r="479" spans="1:4">
      <c r="A479" t="s">
        <v>193</v>
      </c>
      <c r="B479" t="s">
        <v>194</v>
      </c>
      <c r="C479" t="s">
        <v>193</v>
      </c>
      <c r="D479" t="s">
        <v>194</v>
      </c>
    </row>
    <row r="480" spans="1:4">
      <c r="A480">
        <f>A$477-A$478*B480</f>
        <v>10</v>
      </c>
      <c r="B480">
        <v>0</v>
      </c>
      <c r="C480">
        <f>C$477-C$478*D480</f>
        <v>520</v>
      </c>
      <c r="D480">
        <f>B480</f>
        <v>0</v>
      </c>
    </row>
    <row r="481" spans="1:4">
      <c r="A481">
        <f t="shared" ref="A481:C483" si="52">A$477-A$478*B481</f>
        <v>7</v>
      </c>
      <c r="B481">
        <f>(7-$A$477)/-$A$478</f>
        <v>3.75</v>
      </c>
      <c r="C481">
        <f t="shared" si="52"/>
        <v>364</v>
      </c>
      <c r="D481">
        <f t="shared" ref="D481:D483" si="53">B481</f>
        <v>3.75</v>
      </c>
    </row>
    <row r="482" spans="1:4">
      <c r="A482">
        <f t="shared" si="52"/>
        <v>4</v>
      </c>
      <c r="B482">
        <f>(4-$A$477)/-$A$478</f>
        <v>7.5</v>
      </c>
      <c r="C482">
        <f t="shared" si="52"/>
        <v>208</v>
      </c>
      <c r="D482">
        <f t="shared" si="53"/>
        <v>7.5</v>
      </c>
    </row>
    <row r="483" spans="1:4">
      <c r="A483">
        <f t="shared" si="52"/>
        <v>0</v>
      </c>
      <c r="B483">
        <f>A477/A478</f>
        <v>12.5</v>
      </c>
      <c r="C483">
        <f t="shared" si="52"/>
        <v>0</v>
      </c>
      <c r="D483">
        <f t="shared" si="53"/>
        <v>12.5</v>
      </c>
    </row>
    <row r="490" spans="1:4">
      <c r="A490" s="59" t="s">
        <v>261</v>
      </c>
      <c r="B490" s="59"/>
    </row>
    <row r="491" spans="1:4">
      <c r="A491" t="s">
        <v>238</v>
      </c>
      <c r="C491" t="s">
        <v>262</v>
      </c>
    </row>
    <row r="492" spans="1:4">
      <c r="A492">
        <v>20</v>
      </c>
      <c r="C492">
        <f>A492*200</f>
        <v>4000</v>
      </c>
    </row>
    <row r="493" spans="1:4">
      <c r="A493">
        <v>4</v>
      </c>
      <c r="C493">
        <f>A493*200</f>
        <v>800</v>
      </c>
    </row>
    <row r="494" spans="1:4">
      <c r="A494" t="s">
        <v>193</v>
      </c>
      <c r="B494" t="s">
        <v>194</v>
      </c>
      <c r="C494" t="s">
        <v>193</v>
      </c>
      <c r="D494" t="s">
        <v>194</v>
      </c>
    </row>
    <row r="495" spans="1:4">
      <c r="A495">
        <f>A$492-A$493*B495</f>
        <v>20</v>
      </c>
      <c r="B495">
        <v>0</v>
      </c>
      <c r="C495">
        <f>C$492-C$493*D495</f>
        <v>4000</v>
      </c>
      <c r="D495">
        <f>B495</f>
        <v>0</v>
      </c>
    </row>
    <row r="496" spans="1:4">
      <c r="A496">
        <f t="shared" ref="A496:C498" si="54">A$492-A$493*B496</f>
        <v>16</v>
      </c>
      <c r="B496">
        <v>1</v>
      </c>
      <c r="C496">
        <f t="shared" si="54"/>
        <v>3200</v>
      </c>
      <c r="D496">
        <f t="shared" ref="D496:D498" si="55">B496</f>
        <v>1</v>
      </c>
    </row>
    <row r="497" spans="1:4">
      <c r="A497">
        <f t="shared" si="54"/>
        <v>8</v>
      </c>
      <c r="B497">
        <v>3</v>
      </c>
      <c r="C497">
        <f t="shared" si="54"/>
        <v>1600</v>
      </c>
      <c r="D497">
        <f t="shared" si="55"/>
        <v>3</v>
      </c>
    </row>
    <row r="498" spans="1:4">
      <c r="A498">
        <f t="shared" si="54"/>
        <v>0</v>
      </c>
      <c r="B498">
        <v>5</v>
      </c>
      <c r="C498">
        <f t="shared" si="54"/>
        <v>0</v>
      </c>
      <c r="D498">
        <f t="shared" si="55"/>
        <v>5</v>
      </c>
    </row>
    <row r="505" spans="1:4">
      <c r="A505" s="59" t="s">
        <v>263</v>
      </c>
      <c r="B505" s="59"/>
    </row>
    <row r="506" spans="1:4">
      <c r="A506" t="s">
        <v>264</v>
      </c>
    </row>
    <row r="507" spans="1:4">
      <c r="A507">
        <v>265</v>
      </c>
    </row>
    <row r="508" spans="1:4">
      <c r="A508">
        <f>3/2</f>
        <v>1.5</v>
      </c>
    </row>
    <row r="509" spans="1:4">
      <c r="A509" t="s">
        <v>193</v>
      </c>
      <c r="B509" t="s">
        <v>194</v>
      </c>
    </row>
    <row r="510" spans="1:4">
      <c r="A510">
        <f>A$507-A$508*B510</f>
        <v>265</v>
      </c>
      <c r="B510">
        <v>0</v>
      </c>
    </row>
    <row r="511" spans="1:4">
      <c r="A511">
        <f t="shared" ref="A511:A514" si="56">A$507-A$508*B511</f>
        <v>262</v>
      </c>
      <c r="B511">
        <v>2</v>
      </c>
    </row>
    <row r="512" spans="1:4">
      <c r="A512">
        <f t="shared" si="56"/>
        <v>259</v>
      </c>
      <c r="B512">
        <v>4</v>
      </c>
    </row>
    <row r="513" spans="1:2">
      <c r="A513">
        <f t="shared" si="56"/>
        <v>91</v>
      </c>
      <c r="B513">
        <v>116</v>
      </c>
    </row>
    <row r="514" spans="1:2">
      <c r="A514">
        <f t="shared" si="56"/>
        <v>0</v>
      </c>
      <c r="B514" s="50">
        <f>A507/A508</f>
        <v>176.66666666666666</v>
      </c>
    </row>
    <row r="521" spans="1:2">
      <c r="A521" s="59" t="s">
        <v>265</v>
      </c>
      <c r="B521" s="59"/>
    </row>
    <row r="522" spans="1:2">
      <c r="A522" t="s">
        <v>266</v>
      </c>
    </row>
    <row r="523" spans="1:2">
      <c r="A523">
        <v>397.5</v>
      </c>
    </row>
    <row r="524" spans="1:2">
      <c r="A524">
        <f>3/2</f>
        <v>1.5</v>
      </c>
    </row>
    <row r="525" spans="1:2">
      <c r="A525" t="s">
        <v>193</v>
      </c>
      <c r="B525" t="s">
        <v>194</v>
      </c>
    </row>
    <row r="526" spans="1:2">
      <c r="A526">
        <f>A$523-A$524*B526</f>
        <v>397.5</v>
      </c>
      <c r="B526">
        <v>0</v>
      </c>
    </row>
    <row r="527" spans="1:2">
      <c r="A527">
        <f t="shared" ref="A527:A530" si="57">A$523-A$524*B527</f>
        <v>394.5</v>
      </c>
      <c r="B527">
        <v>2</v>
      </c>
    </row>
    <row r="528" spans="1:2">
      <c r="A528">
        <f t="shared" si="57"/>
        <v>391.5</v>
      </c>
      <c r="B528">
        <v>4</v>
      </c>
    </row>
    <row r="529" spans="1:2">
      <c r="A529">
        <f t="shared" si="57"/>
        <v>223.5</v>
      </c>
      <c r="B529">
        <v>116</v>
      </c>
    </row>
    <row r="530" spans="1:2">
      <c r="A530">
        <f t="shared" si="57"/>
        <v>0</v>
      </c>
      <c r="B530" s="50">
        <f>A523/A524</f>
        <v>265</v>
      </c>
    </row>
    <row r="537" spans="1:2">
      <c r="A537" s="59" t="s">
        <v>267</v>
      </c>
      <c r="B537" s="59"/>
    </row>
    <row r="538" spans="1:2">
      <c r="A538" t="s">
        <v>268</v>
      </c>
    </row>
    <row r="539" spans="1:2">
      <c r="A539">
        <v>-4</v>
      </c>
    </row>
    <row r="540" spans="1:2">
      <c r="A540">
        <v>2</v>
      </c>
    </row>
    <row r="541" spans="1:2">
      <c r="A541" t="s">
        <v>269</v>
      </c>
      <c r="B541" t="s">
        <v>194</v>
      </c>
    </row>
    <row r="542" spans="1:2">
      <c r="A542">
        <f>A$539+A$540*B542</f>
        <v>-4</v>
      </c>
      <c r="B542">
        <v>0</v>
      </c>
    </row>
    <row r="543" spans="1:2">
      <c r="A543">
        <f t="shared" ref="A543:A546" si="58">A$539+A$540*B543</f>
        <v>0</v>
      </c>
      <c r="B543">
        <v>2</v>
      </c>
    </row>
    <row r="544" spans="1:2">
      <c r="A544">
        <f t="shared" si="58"/>
        <v>2</v>
      </c>
      <c r="B544">
        <v>3</v>
      </c>
    </row>
    <row r="545" spans="1:2">
      <c r="A545">
        <f t="shared" si="58"/>
        <v>4</v>
      </c>
      <c r="B545">
        <v>4</v>
      </c>
    </row>
    <row r="546" spans="1:2">
      <c r="A546">
        <f t="shared" si="58"/>
        <v>6</v>
      </c>
      <c r="B546">
        <v>5</v>
      </c>
    </row>
    <row r="553" spans="1:2">
      <c r="A553" s="59" t="s">
        <v>270</v>
      </c>
      <c r="B553" s="59"/>
    </row>
    <row r="554" spans="1:2">
      <c r="A554" t="s">
        <v>271</v>
      </c>
    </row>
    <row r="555" spans="1:2">
      <c r="A555">
        <v>-4</v>
      </c>
    </row>
    <row r="556" spans="1:2">
      <c r="A556">
        <v>0.5</v>
      </c>
    </row>
    <row r="557" spans="1:2">
      <c r="A557" t="s">
        <v>269</v>
      </c>
      <c r="B557" t="s">
        <v>194</v>
      </c>
    </row>
    <row r="558" spans="1:2">
      <c r="A558">
        <f>A$555+A$556*B558</f>
        <v>0</v>
      </c>
      <c r="B558">
        <f>-A555/A556</f>
        <v>8</v>
      </c>
    </row>
    <row r="559" spans="1:2">
      <c r="A559">
        <f t="shared" ref="A559:A561" si="59">A$555+A$556*B559</f>
        <v>1</v>
      </c>
      <c r="B559">
        <v>10</v>
      </c>
    </row>
    <row r="560" spans="1:2">
      <c r="A560">
        <f t="shared" si="59"/>
        <v>2</v>
      </c>
      <c r="B560">
        <v>12</v>
      </c>
    </row>
    <row r="561" spans="1:4">
      <c r="A561">
        <f t="shared" si="59"/>
        <v>3</v>
      </c>
      <c r="B561">
        <v>14</v>
      </c>
    </row>
    <row r="569" spans="1:4">
      <c r="A569" s="59" t="s">
        <v>272</v>
      </c>
      <c r="B569" s="59"/>
      <c r="C569" s="54"/>
      <c r="D569" s="54"/>
    </row>
    <row r="570" spans="1:4">
      <c r="A570" t="s">
        <v>268</v>
      </c>
      <c r="C570" t="s">
        <v>271</v>
      </c>
    </row>
    <row r="571" spans="1:4">
      <c r="A571">
        <v>-4</v>
      </c>
      <c r="C571">
        <v>-4</v>
      </c>
    </row>
    <row r="572" spans="1:4">
      <c r="A572">
        <v>2</v>
      </c>
      <c r="C572">
        <v>0.5</v>
      </c>
    </row>
    <row r="573" spans="1:4">
      <c r="A573" t="s">
        <v>269</v>
      </c>
      <c r="B573" t="s">
        <v>194</v>
      </c>
      <c r="C573" t="s">
        <v>269</v>
      </c>
      <c r="D573" t="s">
        <v>194</v>
      </c>
    </row>
    <row r="574" spans="1:4">
      <c r="A574">
        <f>A$571+A$572*B574</f>
        <v>-4</v>
      </c>
      <c r="B574">
        <v>0</v>
      </c>
      <c r="C574">
        <f>C$571+C$572*D574</f>
        <v>-4</v>
      </c>
      <c r="D574">
        <v>0</v>
      </c>
    </row>
    <row r="575" spans="1:4">
      <c r="A575">
        <f>A$571+A$572*B575</f>
        <v>0</v>
      </c>
      <c r="B575">
        <v>2</v>
      </c>
      <c r="C575">
        <f>C$571+C$572*D575</f>
        <v>0</v>
      </c>
      <c r="D575">
        <f>-C571/C572</f>
        <v>8</v>
      </c>
    </row>
    <row r="576" spans="1:4">
      <c r="A576">
        <f>A$571+A$572*B576</f>
        <v>2</v>
      </c>
      <c r="B576">
        <v>3</v>
      </c>
      <c r="C576">
        <f t="shared" ref="C576:C578" si="60">C$571+C$572*D576</f>
        <v>1</v>
      </c>
      <c r="D576">
        <v>10</v>
      </c>
    </row>
    <row r="577" spans="1:4">
      <c r="A577">
        <f>A$571+A$572*B577</f>
        <v>4</v>
      </c>
      <c r="B577">
        <v>4</v>
      </c>
      <c r="C577">
        <f t="shared" si="60"/>
        <v>2</v>
      </c>
      <c r="D577">
        <v>12</v>
      </c>
    </row>
    <row r="578" spans="1:4">
      <c r="A578">
        <f>A$571+A$572*B578</f>
        <v>6</v>
      </c>
      <c r="B578">
        <v>5</v>
      </c>
      <c r="C578">
        <f t="shared" si="60"/>
        <v>3</v>
      </c>
      <c r="D578">
        <v>14</v>
      </c>
    </row>
    <row r="588" spans="1:4">
      <c r="A588" s="59" t="s">
        <v>273</v>
      </c>
      <c r="B588" s="59"/>
    </row>
    <row r="589" spans="1:4">
      <c r="A589" t="s">
        <v>274</v>
      </c>
    </row>
    <row r="590" spans="1:4">
      <c r="A590">
        <v>-16</v>
      </c>
    </row>
    <row r="591" spans="1:4">
      <c r="A591">
        <v>8</v>
      </c>
    </row>
    <row r="592" spans="1:4">
      <c r="A592" t="s">
        <v>269</v>
      </c>
      <c r="B592" t="s">
        <v>194</v>
      </c>
    </row>
    <row r="593" spans="1:2">
      <c r="A593">
        <f>A$590+A$591*B593</f>
        <v>0</v>
      </c>
      <c r="B593">
        <f>-A590/A591</f>
        <v>2</v>
      </c>
    </row>
    <row r="594" spans="1:2">
      <c r="A594">
        <f t="shared" ref="A594:A596" si="61">A$590+A$591*B594</f>
        <v>8</v>
      </c>
      <c r="B594">
        <v>3</v>
      </c>
    </row>
    <row r="595" spans="1:2">
      <c r="A595">
        <f t="shared" si="61"/>
        <v>16</v>
      </c>
      <c r="B595">
        <v>4</v>
      </c>
    </row>
    <row r="596" spans="1:2">
      <c r="A596">
        <f t="shared" si="61"/>
        <v>24</v>
      </c>
      <c r="B596">
        <v>5</v>
      </c>
    </row>
    <row r="605" spans="1:2">
      <c r="A605" s="59" t="s">
        <v>275</v>
      </c>
      <c r="B605" s="59"/>
    </row>
    <row r="606" spans="1:2">
      <c r="A606" t="s">
        <v>276</v>
      </c>
    </row>
    <row r="607" spans="1:2">
      <c r="A607">
        <v>-16</v>
      </c>
    </row>
    <row r="608" spans="1:2">
      <c r="A608">
        <f>17/2</f>
        <v>8.5</v>
      </c>
    </row>
    <row r="609" spans="1:4">
      <c r="A609" t="s">
        <v>269</v>
      </c>
      <c r="B609" t="s">
        <v>194</v>
      </c>
    </row>
    <row r="610" spans="1:4">
      <c r="A610">
        <f>A$607+A$608*B610</f>
        <v>0</v>
      </c>
      <c r="B610" s="50">
        <f>-A607/A608</f>
        <v>1.8823529411764706</v>
      </c>
    </row>
    <row r="611" spans="1:4">
      <c r="A611">
        <f t="shared" ref="A611:A613" si="62">A$607+A$608*B611</f>
        <v>1</v>
      </c>
      <c r="B611">
        <v>2</v>
      </c>
    </row>
    <row r="612" spans="1:4">
      <c r="A612">
        <f t="shared" si="62"/>
        <v>9.5</v>
      </c>
      <c r="B612">
        <v>3</v>
      </c>
    </row>
    <row r="613" spans="1:4">
      <c r="A613">
        <f t="shared" si="62"/>
        <v>18</v>
      </c>
      <c r="B613">
        <v>4</v>
      </c>
    </row>
    <row r="621" spans="1:4">
      <c r="A621" s="59" t="s">
        <v>277</v>
      </c>
      <c r="B621" s="59"/>
      <c r="C621" s="54"/>
      <c r="D621" s="54"/>
    </row>
    <row r="622" spans="1:4">
      <c r="A622" t="s">
        <v>274</v>
      </c>
      <c r="C622" t="s">
        <v>276</v>
      </c>
    </row>
    <row r="623" spans="1:4">
      <c r="A623">
        <v>-16</v>
      </c>
      <c r="C623">
        <v>-16</v>
      </c>
    </row>
    <row r="624" spans="1:4">
      <c r="A624">
        <v>8</v>
      </c>
      <c r="C624">
        <f>17/2</f>
        <v>8.5</v>
      </c>
    </row>
    <row r="625" spans="1:4">
      <c r="A625" t="s">
        <v>269</v>
      </c>
      <c r="B625" t="s">
        <v>194</v>
      </c>
      <c r="C625" t="s">
        <v>269</v>
      </c>
      <c r="D625" t="s">
        <v>194</v>
      </c>
    </row>
    <row r="626" spans="1:4">
      <c r="A626">
        <f t="shared" ref="A626:C630" si="63">A$623+A$624*B626</f>
        <v>-16</v>
      </c>
      <c r="B626">
        <v>0</v>
      </c>
      <c r="C626">
        <f t="shared" si="63"/>
        <v>-16</v>
      </c>
      <c r="D626" s="50">
        <v>0</v>
      </c>
    </row>
    <row r="627" spans="1:4">
      <c r="A627">
        <f t="shared" si="63"/>
        <v>0</v>
      </c>
      <c r="B627">
        <f>-A623/A624</f>
        <v>2</v>
      </c>
      <c r="C627">
        <f t="shared" si="63"/>
        <v>0</v>
      </c>
      <c r="D627" s="50">
        <f>-C623/C624</f>
        <v>1.8823529411764706</v>
      </c>
    </row>
    <row r="628" spans="1:4">
      <c r="A628">
        <f>A$623+A$624*B628</f>
        <v>8</v>
      </c>
      <c r="B628">
        <v>3</v>
      </c>
      <c r="C628">
        <f>C$623+C$624*D628</f>
        <v>1</v>
      </c>
      <c r="D628">
        <v>2</v>
      </c>
    </row>
    <row r="629" spans="1:4">
      <c r="A629">
        <f t="shared" si="63"/>
        <v>16</v>
      </c>
      <c r="B629">
        <v>4</v>
      </c>
      <c r="C629">
        <f t="shared" si="63"/>
        <v>9.5</v>
      </c>
      <c r="D629">
        <v>3</v>
      </c>
    </row>
    <row r="630" spans="1:4">
      <c r="A630">
        <f t="shared" si="63"/>
        <v>24</v>
      </c>
      <c r="B630">
        <v>5</v>
      </c>
      <c r="C630">
        <f t="shared" si="63"/>
        <v>18</v>
      </c>
      <c r="D630">
        <v>4</v>
      </c>
    </row>
    <row r="637" spans="1:4">
      <c r="A637" s="59" t="s">
        <v>278</v>
      </c>
      <c r="B637" s="59"/>
    </row>
    <row r="638" spans="1:4">
      <c r="A638" t="s">
        <v>279</v>
      </c>
    </row>
    <row r="639" spans="1:4">
      <c r="A639">
        <v>-65</v>
      </c>
    </row>
    <row r="640" spans="1:4">
      <c r="A640">
        <v>6.5</v>
      </c>
    </row>
    <row r="641" spans="1:2">
      <c r="A641" t="s">
        <v>269</v>
      </c>
      <c r="B641" t="s">
        <v>194</v>
      </c>
    </row>
    <row r="642" spans="1:2">
      <c r="A642">
        <f>A$639+A$640*B642</f>
        <v>0</v>
      </c>
      <c r="B642" s="50">
        <f>-A639/A640</f>
        <v>10</v>
      </c>
    </row>
    <row r="643" spans="1:2">
      <c r="A643">
        <f t="shared" ref="A643:A645" si="64">A$639+A$640*B643</f>
        <v>6.5</v>
      </c>
      <c r="B643">
        <v>11</v>
      </c>
    </row>
    <row r="644" spans="1:2">
      <c r="A644">
        <f t="shared" si="64"/>
        <v>13</v>
      </c>
      <c r="B644">
        <v>12</v>
      </c>
    </row>
    <row r="645" spans="1:2">
      <c r="A645">
        <f t="shared" si="64"/>
        <v>19.5</v>
      </c>
      <c r="B645">
        <v>13</v>
      </c>
    </row>
    <row r="655" spans="1:2">
      <c r="A655" s="59" t="s">
        <v>280</v>
      </c>
      <c r="B655" s="59"/>
    </row>
    <row r="656" spans="1:2">
      <c r="A656" t="s">
        <v>281</v>
      </c>
    </row>
    <row r="657" spans="1:2">
      <c r="A657">
        <v>-125</v>
      </c>
    </row>
    <row r="658" spans="1:2">
      <c r="A658">
        <v>40</v>
      </c>
    </row>
    <row r="659" spans="1:2">
      <c r="A659" t="s">
        <v>269</v>
      </c>
      <c r="B659" t="s">
        <v>194</v>
      </c>
    </row>
    <row r="660" spans="1:2">
      <c r="A660">
        <f>A$657+A$658*B660</f>
        <v>-125</v>
      </c>
      <c r="B660" s="50">
        <v>0</v>
      </c>
    </row>
    <row r="661" spans="1:2">
      <c r="A661">
        <f t="shared" ref="A661:A663" si="65">A$657+A$658*B661</f>
        <v>0</v>
      </c>
      <c r="B661">
        <f>-A657/A658</f>
        <v>3.125</v>
      </c>
    </row>
    <row r="662" spans="1:2">
      <c r="A662">
        <f t="shared" si="65"/>
        <v>75</v>
      </c>
      <c r="B662">
        <v>5</v>
      </c>
    </row>
    <row r="663" spans="1:2">
      <c r="A663">
        <f t="shared" si="65"/>
        <v>115</v>
      </c>
      <c r="B663">
        <v>6</v>
      </c>
    </row>
    <row r="673" spans="1:2">
      <c r="A673" s="59" t="s">
        <v>282</v>
      </c>
      <c r="B673" s="59"/>
    </row>
    <row r="674" spans="1:2">
      <c r="A674" t="s">
        <v>283</v>
      </c>
    </row>
    <row r="675" spans="1:2">
      <c r="A675">
        <v>-125</v>
      </c>
    </row>
    <row r="676" spans="1:2">
      <c r="A676">
        <v>20</v>
      </c>
    </row>
    <row r="677" spans="1:2">
      <c r="A677" t="s">
        <v>269</v>
      </c>
      <c r="B677" t="s">
        <v>194</v>
      </c>
    </row>
    <row r="678" spans="1:2">
      <c r="A678">
        <f>A$675+A$676*B678</f>
        <v>-125</v>
      </c>
      <c r="B678" s="50">
        <v>0</v>
      </c>
    </row>
    <row r="679" spans="1:2">
      <c r="A679">
        <f t="shared" ref="A679:A681" si="66">A$675+A$676*B679</f>
        <v>0</v>
      </c>
      <c r="B679">
        <f>-A675/A676</f>
        <v>6.25</v>
      </c>
    </row>
    <row r="680" spans="1:2">
      <c r="A680">
        <f t="shared" si="66"/>
        <v>15</v>
      </c>
      <c r="B680">
        <v>7</v>
      </c>
    </row>
    <row r="681" spans="1:2">
      <c r="A681">
        <f t="shared" si="66"/>
        <v>35</v>
      </c>
      <c r="B681">
        <v>8</v>
      </c>
    </row>
    <row r="690" spans="1:4">
      <c r="A690" s="59" t="s">
        <v>284</v>
      </c>
      <c r="B690" s="59"/>
      <c r="C690" s="54"/>
      <c r="D690" s="54"/>
    </row>
    <row r="691" spans="1:4">
      <c r="A691" t="s">
        <v>281</v>
      </c>
      <c r="C691" t="s">
        <v>283</v>
      </c>
    </row>
    <row r="692" spans="1:4">
      <c r="A692">
        <v>-125</v>
      </c>
      <c r="C692">
        <v>-125</v>
      </c>
    </row>
    <row r="693" spans="1:4">
      <c r="A693">
        <v>40</v>
      </c>
      <c r="C693">
        <v>20</v>
      </c>
    </row>
    <row r="694" spans="1:4">
      <c r="A694" t="s">
        <v>269</v>
      </c>
      <c r="B694" t="s">
        <v>194</v>
      </c>
      <c r="C694" t="s">
        <v>269</v>
      </c>
      <c r="D694" t="s">
        <v>194</v>
      </c>
    </row>
    <row r="695" spans="1:4">
      <c r="A695">
        <f>A$692+A$693*B695</f>
        <v>-125</v>
      </c>
      <c r="B695" s="50">
        <v>0</v>
      </c>
      <c r="C695">
        <f>C$692+C$693*D695</f>
        <v>-125</v>
      </c>
      <c r="D695" s="50">
        <v>0</v>
      </c>
    </row>
    <row r="696" spans="1:4">
      <c r="A696">
        <f t="shared" ref="A696:C698" si="67">A$692+A$693*B696</f>
        <v>0</v>
      </c>
      <c r="B696">
        <f>-A692/A693</f>
        <v>3.125</v>
      </c>
      <c r="C696">
        <f t="shared" si="67"/>
        <v>0</v>
      </c>
      <c r="D696">
        <f>-C692/C693</f>
        <v>6.25</v>
      </c>
    </row>
    <row r="697" spans="1:4">
      <c r="A697">
        <f t="shared" si="67"/>
        <v>75</v>
      </c>
      <c r="B697">
        <v>5</v>
      </c>
      <c r="C697">
        <f t="shared" si="67"/>
        <v>15</v>
      </c>
      <c r="D697">
        <v>7</v>
      </c>
    </row>
    <row r="698" spans="1:4">
      <c r="A698">
        <f t="shared" si="67"/>
        <v>115</v>
      </c>
      <c r="B698">
        <v>6</v>
      </c>
      <c r="C698">
        <f t="shared" si="67"/>
        <v>35</v>
      </c>
      <c r="D698">
        <v>8</v>
      </c>
    </row>
    <row r="707" spans="1:2">
      <c r="A707" s="59" t="s">
        <v>285</v>
      </c>
      <c r="B707" s="59"/>
    </row>
    <row r="708" spans="1:2">
      <c r="A708" t="s">
        <v>286</v>
      </c>
    </row>
    <row r="709" spans="1:2">
      <c r="A709">
        <v>-7</v>
      </c>
    </row>
    <row r="710" spans="1:2">
      <c r="A710">
        <v>0.5</v>
      </c>
    </row>
    <row r="711" spans="1:2">
      <c r="A711" t="s">
        <v>269</v>
      </c>
      <c r="B711" t="s">
        <v>194</v>
      </c>
    </row>
    <row r="712" spans="1:2">
      <c r="A712">
        <f>A$709+A$710*B712</f>
        <v>-7</v>
      </c>
      <c r="B712" s="50">
        <v>0</v>
      </c>
    </row>
    <row r="713" spans="1:2">
      <c r="A713">
        <f t="shared" ref="A713:A715" si="68">A$709+A$710*B713</f>
        <v>0</v>
      </c>
      <c r="B713">
        <f>-A709/A710</f>
        <v>14</v>
      </c>
    </row>
    <row r="714" spans="1:2">
      <c r="A714">
        <f t="shared" si="68"/>
        <v>1</v>
      </c>
      <c r="B714">
        <v>16</v>
      </c>
    </row>
    <row r="715" spans="1:2">
      <c r="A715">
        <f t="shared" si="68"/>
        <v>2</v>
      </c>
      <c r="B715">
        <v>18</v>
      </c>
    </row>
    <row r="724" spans="1:2">
      <c r="A724" s="59" t="s">
        <v>287</v>
      </c>
      <c r="B724" s="59"/>
    </row>
    <row r="725" spans="1:2">
      <c r="A725" t="s">
        <v>288</v>
      </c>
    </row>
    <row r="726" spans="1:2">
      <c r="A726">
        <v>-12</v>
      </c>
    </row>
    <row r="727" spans="1:2">
      <c r="A727">
        <v>0.5</v>
      </c>
    </row>
    <row r="728" spans="1:2">
      <c r="A728" t="s">
        <v>269</v>
      </c>
      <c r="B728" t="s">
        <v>194</v>
      </c>
    </row>
    <row r="729" spans="1:2">
      <c r="A729">
        <f>A$726+A$727*B729</f>
        <v>-12</v>
      </c>
      <c r="B729" s="50">
        <v>0</v>
      </c>
    </row>
    <row r="730" spans="1:2">
      <c r="A730">
        <f t="shared" ref="A730:A732" si="69">A$726+A$727*B730</f>
        <v>0</v>
      </c>
      <c r="B730">
        <f>-A726/A727</f>
        <v>24</v>
      </c>
    </row>
    <row r="731" spans="1:2">
      <c r="A731">
        <f t="shared" si="69"/>
        <v>1</v>
      </c>
      <c r="B731">
        <v>26</v>
      </c>
    </row>
    <row r="732" spans="1:2">
      <c r="A732">
        <f t="shared" si="69"/>
        <v>2</v>
      </c>
      <c r="B732">
        <v>28</v>
      </c>
    </row>
    <row r="743" spans="1:4">
      <c r="A743" s="59" t="s">
        <v>289</v>
      </c>
      <c r="B743" s="59"/>
      <c r="C743" s="54"/>
      <c r="D743" s="54"/>
    </row>
    <row r="744" spans="1:4">
      <c r="A744" t="s">
        <v>286</v>
      </c>
      <c r="C744" t="s">
        <v>288</v>
      </c>
    </row>
    <row r="745" spans="1:4">
      <c r="A745">
        <v>-7</v>
      </c>
      <c r="C745">
        <v>-12</v>
      </c>
    </row>
    <row r="746" spans="1:4">
      <c r="A746">
        <v>0.5</v>
      </c>
      <c r="C746">
        <v>0.5</v>
      </c>
    </row>
    <row r="747" spans="1:4">
      <c r="A747" t="s">
        <v>269</v>
      </c>
      <c r="B747" t="s">
        <v>194</v>
      </c>
      <c r="C747" t="s">
        <v>269</v>
      </c>
      <c r="D747" t="s">
        <v>194</v>
      </c>
    </row>
    <row r="748" spans="1:4">
      <c r="A748">
        <f>A$745+A$746*B748</f>
        <v>-7</v>
      </c>
      <c r="B748" s="50">
        <v>0</v>
      </c>
      <c r="C748">
        <f>C$745+C$746*D748</f>
        <v>-12</v>
      </c>
      <c r="D748" s="50">
        <v>0</v>
      </c>
    </row>
    <row r="749" spans="1:4">
      <c r="A749">
        <f t="shared" ref="A749:C751" si="70">A$745+A$746*B749</f>
        <v>0</v>
      </c>
      <c r="B749">
        <f>-A745/A746</f>
        <v>14</v>
      </c>
      <c r="C749">
        <f t="shared" si="70"/>
        <v>0</v>
      </c>
      <c r="D749">
        <f>-C745/C746</f>
        <v>24</v>
      </c>
    </row>
    <row r="750" spans="1:4">
      <c r="A750">
        <f t="shared" si="70"/>
        <v>1</v>
      </c>
      <c r="B750">
        <v>16</v>
      </c>
      <c r="C750">
        <f t="shared" si="70"/>
        <v>1</v>
      </c>
      <c r="D750">
        <v>26</v>
      </c>
    </row>
    <row r="751" spans="1:4">
      <c r="A751">
        <f t="shared" si="70"/>
        <v>2</v>
      </c>
      <c r="B751">
        <v>18</v>
      </c>
      <c r="C751">
        <f t="shared" si="70"/>
        <v>2</v>
      </c>
      <c r="D751">
        <v>28</v>
      </c>
    </row>
    <row r="760" spans="1:2">
      <c r="A760" s="59" t="s">
        <v>290</v>
      </c>
      <c r="B760" s="59"/>
    </row>
    <row r="761" spans="1:2">
      <c r="A761" t="s">
        <v>291</v>
      </c>
    </row>
    <row r="762" spans="1:2">
      <c r="A762">
        <v>-9</v>
      </c>
    </row>
    <row r="763" spans="1:2">
      <c r="A763">
        <f>3/2</f>
        <v>1.5</v>
      </c>
    </row>
    <row r="764" spans="1:2">
      <c r="A764" t="s">
        <v>269</v>
      </c>
      <c r="B764" t="s">
        <v>194</v>
      </c>
    </row>
    <row r="765" spans="1:2">
      <c r="A765">
        <f>A$762+A$763*B765</f>
        <v>-9</v>
      </c>
      <c r="B765" s="50">
        <v>0</v>
      </c>
    </row>
    <row r="766" spans="1:2">
      <c r="A766">
        <f t="shared" ref="A766:A768" si="71">A$762+A$763*B766</f>
        <v>0</v>
      </c>
      <c r="B766">
        <f>-A762/A763</f>
        <v>6</v>
      </c>
    </row>
    <row r="767" spans="1:2">
      <c r="A767">
        <f t="shared" si="71"/>
        <v>1.5</v>
      </c>
      <c r="B767">
        <v>7</v>
      </c>
    </row>
    <row r="768" spans="1:2">
      <c r="A768">
        <f t="shared" si="71"/>
        <v>3</v>
      </c>
      <c r="B768">
        <v>8</v>
      </c>
    </row>
    <row r="777" spans="1:2">
      <c r="A777" s="59" t="s">
        <v>292</v>
      </c>
      <c r="B777" s="59"/>
    </row>
    <row r="778" spans="1:2">
      <c r="A778" t="s">
        <v>293</v>
      </c>
    </row>
    <row r="779" spans="1:2">
      <c r="A779">
        <v>-9</v>
      </c>
    </row>
    <row r="780" spans="1:2">
      <c r="A780">
        <f>3/8</f>
        <v>0.375</v>
      </c>
    </row>
    <row r="781" spans="1:2">
      <c r="A781" t="s">
        <v>269</v>
      </c>
      <c r="B781" t="s">
        <v>194</v>
      </c>
    </row>
    <row r="782" spans="1:2">
      <c r="A782">
        <f>A$779+A$780*B782</f>
        <v>-9</v>
      </c>
      <c r="B782" s="50">
        <v>0</v>
      </c>
    </row>
    <row r="783" spans="1:2">
      <c r="A783">
        <f t="shared" ref="A783:A785" si="72">A$779+A$780*B783</f>
        <v>0</v>
      </c>
      <c r="B783">
        <f>-A779/A780</f>
        <v>24</v>
      </c>
    </row>
    <row r="784" spans="1:2">
      <c r="A784">
        <f t="shared" si="72"/>
        <v>3</v>
      </c>
      <c r="B784">
        <v>32</v>
      </c>
    </row>
    <row r="785" spans="1:4">
      <c r="A785">
        <f t="shared" si="72"/>
        <v>6</v>
      </c>
      <c r="B785">
        <v>40</v>
      </c>
    </row>
    <row r="795" spans="1:4">
      <c r="A795" s="59" t="s">
        <v>294</v>
      </c>
      <c r="B795" s="59"/>
      <c r="C795" s="54"/>
      <c r="D795" s="54"/>
    </row>
    <row r="796" spans="1:4">
      <c r="A796" t="s">
        <v>291</v>
      </c>
      <c r="C796" t="s">
        <v>293</v>
      </c>
    </row>
    <row r="797" spans="1:4">
      <c r="A797">
        <v>-9</v>
      </c>
      <c r="C797">
        <v>-9</v>
      </c>
    </row>
    <row r="798" spans="1:4">
      <c r="A798">
        <f>3/2</f>
        <v>1.5</v>
      </c>
      <c r="C798">
        <f>3/8</f>
        <v>0.375</v>
      </c>
    </row>
    <row r="799" spans="1:4">
      <c r="A799" t="s">
        <v>269</v>
      </c>
      <c r="B799" t="s">
        <v>194</v>
      </c>
      <c r="C799" t="s">
        <v>269</v>
      </c>
      <c r="D799" t="s">
        <v>194</v>
      </c>
    </row>
    <row r="800" spans="1:4">
      <c r="A800">
        <f>A$797+A$798*B800</f>
        <v>-9</v>
      </c>
      <c r="B800" s="50">
        <v>0</v>
      </c>
      <c r="C800">
        <f>C$797+C$798*D800</f>
        <v>-9</v>
      </c>
      <c r="D800" s="50">
        <v>0</v>
      </c>
    </row>
    <row r="801" spans="1:4">
      <c r="A801">
        <f t="shared" ref="A801:C803" si="73">A$797+A$798*B801</f>
        <v>0</v>
      </c>
      <c r="B801">
        <f>-A797/A798</f>
        <v>6</v>
      </c>
      <c r="C801">
        <f t="shared" si="73"/>
        <v>0</v>
      </c>
      <c r="D801">
        <f>-C797/C798</f>
        <v>24</v>
      </c>
    </row>
    <row r="802" spans="1:4">
      <c r="A802">
        <f t="shared" si="73"/>
        <v>1.5</v>
      </c>
      <c r="B802">
        <v>7</v>
      </c>
      <c r="C802">
        <f t="shared" si="73"/>
        <v>3</v>
      </c>
      <c r="D802">
        <v>32</v>
      </c>
    </row>
    <row r="803" spans="1:4">
      <c r="A803">
        <f t="shared" si="73"/>
        <v>3</v>
      </c>
      <c r="B803">
        <v>8</v>
      </c>
      <c r="C803">
        <f t="shared" si="73"/>
        <v>6</v>
      </c>
      <c r="D803">
        <v>40</v>
      </c>
    </row>
    <row r="811" spans="1:4">
      <c r="A811" s="59" t="s">
        <v>295</v>
      </c>
      <c r="B811" s="59"/>
    </row>
    <row r="812" spans="1:4">
      <c r="A812" t="s">
        <v>296</v>
      </c>
    </row>
    <row r="813" spans="1:4">
      <c r="A813">
        <v>-20</v>
      </c>
    </row>
    <row r="814" spans="1:4">
      <c r="A814">
        <v>4</v>
      </c>
    </row>
    <row r="815" spans="1:4">
      <c r="A815" t="s">
        <v>269</v>
      </c>
      <c r="B815" t="s">
        <v>194</v>
      </c>
    </row>
    <row r="816" spans="1:4">
      <c r="A816">
        <f>A$813+A$814*B816</f>
        <v>-20</v>
      </c>
      <c r="B816" s="50">
        <v>0</v>
      </c>
    </row>
    <row r="817" spans="1:2">
      <c r="A817">
        <f t="shared" ref="A817:A819" si="74">A$813+A$814*B817</f>
        <v>0</v>
      </c>
      <c r="B817">
        <f>-A813/A814</f>
        <v>5</v>
      </c>
    </row>
    <row r="818" spans="1:2">
      <c r="A818">
        <f t="shared" si="74"/>
        <v>8</v>
      </c>
      <c r="B818">
        <v>7</v>
      </c>
    </row>
    <row r="819" spans="1:2">
      <c r="A819">
        <f t="shared" si="74"/>
        <v>16</v>
      </c>
      <c r="B819">
        <v>9</v>
      </c>
    </row>
    <row r="828" spans="1:2">
      <c r="A828" s="59" t="s">
        <v>297</v>
      </c>
      <c r="B828" s="59"/>
    </row>
    <row r="829" spans="1:2">
      <c r="A829" t="s">
        <v>298</v>
      </c>
    </row>
    <row r="830" spans="1:2">
      <c r="A830">
        <v>-30</v>
      </c>
    </row>
    <row r="831" spans="1:2">
      <c r="A831">
        <f>7/8</f>
        <v>0.875</v>
      </c>
    </row>
    <row r="832" spans="1:2">
      <c r="A832" t="s">
        <v>269</v>
      </c>
      <c r="B832" t="s">
        <v>194</v>
      </c>
    </row>
    <row r="833" spans="1:4">
      <c r="A833">
        <f>A$830+A$831*B833</f>
        <v>-30</v>
      </c>
      <c r="B833" s="50">
        <v>0</v>
      </c>
    </row>
    <row r="834" spans="1:4">
      <c r="A834">
        <f t="shared" ref="A834:A836" si="75">A$830+A$831*B834</f>
        <v>0</v>
      </c>
      <c r="B834" s="50">
        <f>-A830/A831</f>
        <v>34.285714285714285</v>
      </c>
    </row>
    <row r="835" spans="1:4">
      <c r="A835">
        <f t="shared" si="75"/>
        <v>0.625</v>
      </c>
      <c r="B835">
        <v>35</v>
      </c>
    </row>
    <row r="836" spans="1:4">
      <c r="A836">
        <f t="shared" si="75"/>
        <v>5</v>
      </c>
      <c r="B836">
        <v>40</v>
      </c>
    </row>
    <row r="845" spans="1:4">
      <c r="A845" s="59" t="s">
        <v>299</v>
      </c>
      <c r="B845" s="59"/>
      <c r="C845" s="54"/>
      <c r="D845" s="54"/>
    </row>
    <row r="846" spans="1:4">
      <c r="A846" t="s">
        <v>296</v>
      </c>
      <c r="C846" t="s">
        <v>298</v>
      </c>
    </row>
    <row r="847" spans="1:4">
      <c r="A847">
        <v>-20</v>
      </c>
      <c r="C847">
        <v>-30</v>
      </c>
    </row>
    <row r="848" spans="1:4">
      <c r="A848">
        <v>4</v>
      </c>
      <c r="C848">
        <f>7/8</f>
        <v>0.875</v>
      </c>
    </row>
    <row r="849" spans="1:4">
      <c r="A849" t="s">
        <v>269</v>
      </c>
      <c r="B849" t="s">
        <v>194</v>
      </c>
      <c r="C849" t="s">
        <v>269</v>
      </c>
      <c r="D849" t="s">
        <v>194</v>
      </c>
    </row>
    <row r="850" spans="1:4">
      <c r="A850">
        <f>A$847+A$848*B850</f>
        <v>-20</v>
      </c>
      <c r="B850" s="50">
        <v>0</v>
      </c>
      <c r="C850">
        <f>C$847+C$848*D850</f>
        <v>-30</v>
      </c>
      <c r="D850" s="50">
        <v>0</v>
      </c>
    </row>
    <row r="851" spans="1:4">
      <c r="A851">
        <f t="shared" ref="A851:C853" si="76">A$847+A$848*B851</f>
        <v>0</v>
      </c>
      <c r="B851">
        <f>-A847/A848</f>
        <v>5</v>
      </c>
      <c r="C851">
        <f t="shared" si="76"/>
        <v>0</v>
      </c>
      <c r="D851" s="50">
        <f>-C847/C848</f>
        <v>34.285714285714285</v>
      </c>
    </row>
    <row r="852" spans="1:4">
      <c r="A852">
        <f t="shared" si="76"/>
        <v>8</v>
      </c>
      <c r="B852">
        <v>7</v>
      </c>
      <c r="C852">
        <f t="shared" si="76"/>
        <v>0.625</v>
      </c>
      <c r="D852">
        <v>35</v>
      </c>
    </row>
    <row r="853" spans="1:4">
      <c r="A853">
        <f t="shared" si="76"/>
        <v>16</v>
      </c>
      <c r="B853">
        <v>9</v>
      </c>
      <c r="C853">
        <f t="shared" si="76"/>
        <v>5</v>
      </c>
      <c r="D853">
        <v>40</v>
      </c>
    </row>
    <row r="862" spans="1:4">
      <c r="A862" s="59" t="s">
        <v>300</v>
      </c>
      <c r="B862" s="59"/>
    </row>
    <row r="863" spans="1:4">
      <c r="A863" t="s">
        <v>301</v>
      </c>
    </row>
    <row r="864" spans="1:4">
      <c r="A864" s="50">
        <f>-(30/25)</f>
        <v>-1.2</v>
      </c>
    </row>
    <row r="865" spans="1:2">
      <c r="A865">
        <v>12</v>
      </c>
    </row>
    <row r="866" spans="1:2">
      <c r="A866" t="s">
        <v>269</v>
      </c>
      <c r="B866" t="s">
        <v>194</v>
      </c>
    </row>
    <row r="867" spans="1:2">
      <c r="A867">
        <f>A$864+A$865*B867</f>
        <v>-1.2</v>
      </c>
      <c r="B867" s="50">
        <v>0</v>
      </c>
    </row>
    <row r="868" spans="1:2">
      <c r="A868">
        <f t="shared" ref="A868:A870" si="77">A$864+A$865*B868</f>
        <v>0</v>
      </c>
      <c r="B868">
        <f>-A864/A865</f>
        <v>9.9999999999999992E-2</v>
      </c>
    </row>
    <row r="869" spans="1:2">
      <c r="A869">
        <f t="shared" si="77"/>
        <v>12.000000000000002</v>
      </c>
      <c r="B869">
        <v>1.1000000000000001</v>
      </c>
    </row>
    <row r="870" spans="1:2">
      <c r="A870">
        <f t="shared" si="77"/>
        <v>24.000000000000004</v>
      </c>
      <c r="B870">
        <v>2.1</v>
      </c>
    </row>
    <row r="879" spans="1:2">
      <c r="A879" s="59" t="s">
        <v>302</v>
      </c>
      <c r="B879" s="59"/>
    </row>
    <row r="880" spans="1:2">
      <c r="A880" t="s">
        <v>303</v>
      </c>
    </row>
    <row r="881" spans="1:2">
      <c r="A881" s="50">
        <v>-30</v>
      </c>
    </row>
    <row r="882" spans="1:2">
      <c r="A882">
        <v>12</v>
      </c>
    </row>
    <row r="883" spans="1:2">
      <c r="A883" t="s">
        <v>269</v>
      </c>
      <c r="B883" t="s">
        <v>194</v>
      </c>
    </row>
    <row r="884" spans="1:2">
      <c r="A884">
        <f>A$881+A$882*B884</f>
        <v>-30</v>
      </c>
      <c r="B884" s="50">
        <v>0</v>
      </c>
    </row>
    <row r="885" spans="1:2">
      <c r="A885">
        <f t="shared" ref="A885:A887" si="78">A$881+A$882*B885</f>
        <v>0</v>
      </c>
      <c r="B885">
        <f>-A881/A882</f>
        <v>2.5</v>
      </c>
    </row>
    <row r="886" spans="1:2">
      <c r="A886">
        <f t="shared" si="78"/>
        <v>30</v>
      </c>
      <c r="B886">
        <v>5</v>
      </c>
    </row>
    <row r="887" spans="1:2">
      <c r="A887">
        <f t="shared" si="78"/>
        <v>60</v>
      </c>
      <c r="B887">
        <v>7.5</v>
      </c>
    </row>
    <row r="897" spans="1:4">
      <c r="A897" s="59" t="s">
        <v>304</v>
      </c>
      <c r="B897" s="59"/>
      <c r="C897" s="54"/>
      <c r="D897" s="54"/>
    </row>
    <row r="898" spans="1:4">
      <c r="A898" t="s">
        <v>301</v>
      </c>
      <c r="C898" t="s">
        <v>303</v>
      </c>
    </row>
    <row r="899" spans="1:4">
      <c r="A899" s="50">
        <f>-(30/25)</f>
        <v>-1.2</v>
      </c>
      <c r="C899" s="50">
        <v>-30</v>
      </c>
    </row>
    <row r="900" spans="1:4">
      <c r="A900">
        <v>12</v>
      </c>
      <c r="C900">
        <v>12</v>
      </c>
    </row>
    <row r="901" spans="1:4">
      <c r="A901" t="s">
        <v>269</v>
      </c>
      <c r="B901" t="s">
        <v>194</v>
      </c>
      <c r="C901" t="s">
        <v>269</v>
      </c>
      <c r="D901" t="s">
        <v>194</v>
      </c>
    </row>
    <row r="902" spans="1:4">
      <c r="A902">
        <f>A$899+A$900*B902</f>
        <v>-1.2</v>
      </c>
      <c r="B902" s="50">
        <v>0</v>
      </c>
      <c r="C902">
        <f>C$899+C$900*D902</f>
        <v>-30</v>
      </c>
      <c r="D902" s="50">
        <v>0</v>
      </c>
    </row>
    <row r="903" spans="1:4">
      <c r="A903">
        <f t="shared" ref="A903:C905" si="79">A$899+A$900*B903</f>
        <v>0</v>
      </c>
      <c r="B903">
        <f>-A899/A900</f>
        <v>9.9999999999999992E-2</v>
      </c>
      <c r="C903">
        <f t="shared" si="79"/>
        <v>0</v>
      </c>
      <c r="D903">
        <f>-C899/C900</f>
        <v>2.5</v>
      </c>
    </row>
    <row r="904" spans="1:4">
      <c r="A904">
        <f t="shared" si="79"/>
        <v>12.000000000000002</v>
      </c>
      <c r="B904">
        <v>1.1000000000000001</v>
      </c>
      <c r="C904">
        <f t="shared" si="79"/>
        <v>30</v>
      </c>
      <c r="D904">
        <v>5</v>
      </c>
    </row>
    <row r="905" spans="1:4">
      <c r="A905">
        <f t="shared" si="79"/>
        <v>24.000000000000004</v>
      </c>
      <c r="B905">
        <v>2.1</v>
      </c>
      <c r="C905">
        <f t="shared" si="79"/>
        <v>60</v>
      </c>
      <c r="D905">
        <v>7.5</v>
      </c>
    </row>
    <row r="913" spans="1:4">
      <c r="A913" s="59" t="s">
        <v>308</v>
      </c>
      <c r="B913" s="59"/>
    </row>
    <row r="914" spans="1:4">
      <c r="A914" t="s">
        <v>305</v>
      </c>
    </row>
    <row r="915" spans="1:4">
      <c r="A915" t="s">
        <v>307</v>
      </c>
      <c r="C915" t="s">
        <v>306</v>
      </c>
    </row>
    <row r="916" spans="1:4">
      <c r="A916">
        <v>-8</v>
      </c>
      <c r="C916">
        <f>A916*25</f>
        <v>-200</v>
      </c>
    </row>
    <row r="917" spans="1:4">
      <c r="A917">
        <f>3/2</f>
        <v>1.5</v>
      </c>
      <c r="C917">
        <f>A917*25</f>
        <v>37.5</v>
      </c>
    </row>
    <row r="918" spans="1:4">
      <c r="A918" t="s">
        <v>269</v>
      </c>
      <c r="B918" t="s">
        <v>194</v>
      </c>
      <c r="C918" t="s">
        <v>269</v>
      </c>
      <c r="D918" t="s">
        <v>194</v>
      </c>
    </row>
    <row r="919" spans="1:4">
      <c r="A919">
        <f>A$916+A$917*B919</f>
        <v>-8</v>
      </c>
      <c r="B919" s="50">
        <v>0</v>
      </c>
      <c r="C919">
        <f>C$916+C$917*D919</f>
        <v>-200</v>
      </c>
      <c r="D919" s="50">
        <f>B919</f>
        <v>0</v>
      </c>
    </row>
    <row r="920" spans="1:4">
      <c r="A920">
        <f t="shared" ref="A920:C922" si="80">A$916+A$917*B920</f>
        <v>0</v>
      </c>
      <c r="B920" s="50">
        <f>-A916/A917</f>
        <v>5.333333333333333</v>
      </c>
      <c r="C920">
        <f t="shared" si="80"/>
        <v>0</v>
      </c>
      <c r="D920" s="50">
        <f>-C916/C917</f>
        <v>5.333333333333333</v>
      </c>
    </row>
    <row r="921" spans="1:4">
      <c r="A921">
        <f t="shared" si="80"/>
        <v>4</v>
      </c>
      <c r="B921">
        <v>8</v>
      </c>
      <c r="C921">
        <f t="shared" si="80"/>
        <v>100</v>
      </c>
      <c r="D921" s="50">
        <f t="shared" ref="D921:D922" si="81">B921</f>
        <v>8</v>
      </c>
    </row>
    <row r="922" spans="1:4">
      <c r="A922">
        <f t="shared" si="80"/>
        <v>16</v>
      </c>
      <c r="B922">
        <v>16</v>
      </c>
      <c r="C922">
        <f t="shared" si="80"/>
        <v>400</v>
      </c>
      <c r="D922" s="50">
        <f t="shared" si="81"/>
        <v>16</v>
      </c>
    </row>
    <row r="931" spans="1:4">
      <c r="A931" s="59" t="s">
        <v>309</v>
      </c>
      <c r="B931" s="59"/>
    </row>
    <row r="932" spans="1:4">
      <c r="A932" t="s">
        <v>311</v>
      </c>
    </row>
    <row r="933" spans="1:4">
      <c r="A933" t="s">
        <v>310</v>
      </c>
      <c r="C933" t="s">
        <v>312</v>
      </c>
    </row>
    <row r="934" spans="1:4">
      <c r="A934">
        <v>-6</v>
      </c>
      <c r="C934">
        <f>A934*15</f>
        <v>-90</v>
      </c>
    </row>
    <row r="935" spans="1:4">
      <c r="A935">
        <v>0.5</v>
      </c>
      <c r="C935">
        <f>A935*15</f>
        <v>7.5</v>
      </c>
    </row>
    <row r="936" spans="1:4">
      <c r="A936" t="s">
        <v>269</v>
      </c>
      <c r="B936" t="s">
        <v>194</v>
      </c>
      <c r="C936" t="s">
        <v>269</v>
      </c>
      <c r="D936" t="s">
        <v>194</v>
      </c>
    </row>
    <row r="937" spans="1:4">
      <c r="A937">
        <f>A$934+A$935*B937</f>
        <v>-6</v>
      </c>
      <c r="B937" s="50">
        <v>0</v>
      </c>
      <c r="C937">
        <f>C$934+C$935*D937</f>
        <v>-90</v>
      </c>
      <c r="D937" s="50">
        <f>B937</f>
        <v>0</v>
      </c>
    </row>
    <row r="938" spans="1:4">
      <c r="A938">
        <f t="shared" ref="A938:C940" si="82">A$934+A$935*B938</f>
        <v>0</v>
      </c>
      <c r="B938" s="50">
        <f>-A934/A935</f>
        <v>12</v>
      </c>
      <c r="C938">
        <f t="shared" si="82"/>
        <v>0</v>
      </c>
      <c r="D938" s="50">
        <f>-C934/C935</f>
        <v>12</v>
      </c>
    </row>
    <row r="939" spans="1:4">
      <c r="A939">
        <f t="shared" si="82"/>
        <v>6</v>
      </c>
      <c r="B939">
        <v>24</v>
      </c>
      <c r="C939">
        <f t="shared" si="82"/>
        <v>90</v>
      </c>
      <c r="D939" s="50">
        <f t="shared" ref="D939:D940" si="83">B939</f>
        <v>24</v>
      </c>
    </row>
    <row r="940" spans="1:4">
      <c r="A940">
        <f t="shared" si="82"/>
        <v>12</v>
      </c>
      <c r="B940">
        <v>36</v>
      </c>
      <c r="C940">
        <f t="shared" si="82"/>
        <v>180</v>
      </c>
      <c r="D940" s="50">
        <f t="shared" si="83"/>
        <v>36</v>
      </c>
    </row>
    <row r="947" spans="1:4">
      <c r="A947" s="59" t="s">
        <v>313</v>
      </c>
      <c r="B947" s="59"/>
    </row>
    <row r="948" spans="1:4">
      <c r="A948" t="s">
        <v>314</v>
      </c>
    </row>
    <row r="949" spans="1:4">
      <c r="A949" t="s">
        <v>315</v>
      </c>
      <c r="C949" t="s">
        <v>316</v>
      </c>
    </row>
    <row r="950" spans="1:4">
      <c r="A950">
        <v>-2</v>
      </c>
      <c r="C950">
        <f>A950*60</f>
        <v>-120</v>
      </c>
    </row>
    <row r="951" spans="1:4">
      <c r="A951">
        <v>1</v>
      </c>
      <c r="C951">
        <f>A951*60</f>
        <v>60</v>
      </c>
    </row>
    <row r="952" spans="1:4">
      <c r="A952" t="s">
        <v>269</v>
      </c>
      <c r="B952" t="s">
        <v>194</v>
      </c>
      <c r="C952" t="s">
        <v>269</v>
      </c>
      <c r="D952" t="s">
        <v>194</v>
      </c>
    </row>
    <row r="953" spans="1:4">
      <c r="A953">
        <f>A$950+A$951*B953</f>
        <v>-2</v>
      </c>
      <c r="B953" s="50">
        <v>0</v>
      </c>
      <c r="C953">
        <f>C$950+C$951*D953</f>
        <v>-120</v>
      </c>
      <c r="D953" s="50">
        <f>B953</f>
        <v>0</v>
      </c>
    </row>
    <row r="954" spans="1:4">
      <c r="A954">
        <f t="shared" ref="A954:C956" si="84">A$950+A$951*B954</f>
        <v>0</v>
      </c>
      <c r="B954" s="50">
        <f>-A950/A951</f>
        <v>2</v>
      </c>
      <c r="C954">
        <f t="shared" si="84"/>
        <v>0</v>
      </c>
      <c r="D954" s="50">
        <f>-C950/C951</f>
        <v>2</v>
      </c>
    </row>
    <row r="955" spans="1:4">
      <c r="A955">
        <f t="shared" si="84"/>
        <v>6</v>
      </c>
      <c r="B955">
        <v>8</v>
      </c>
      <c r="C955">
        <f t="shared" si="84"/>
        <v>360</v>
      </c>
      <c r="D955" s="50">
        <f t="shared" ref="D955:D956" si="85">B955</f>
        <v>8</v>
      </c>
    </row>
    <row r="956" spans="1:4">
      <c r="A956">
        <f t="shared" si="84"/>
        <v>10</v>
      </c>
      <c r="B956">
        <v>12</v>
      </c>
      <c r="C956">
        <f t="shared" si="84"/>
        <v>600</v>
      </c>
      <c r="D956" s="50">
        <f t="shared" si="85"/>
        <v>12</v>
      </c>
    </row>
    <row r="965" spans="1:4">
      <c r="A965" s="59" t="s">
        <v>317</v>
      </c>
      <c r="B965" s="59"/>
    </row>
    <row r="966" spans="1:4">
      <c r="A966" t="s">
        <v>318</v>
      </c>
    </row>
    <row r="967" spans="1:4">
      <c r="A967" t="s">
        <v>319</v>
      </c>
      <c r="C967" t="s">
        <v>320</v>
      </c>
    </row>
    <row r="968" spans="1:4">
      <c r="A968">
        <v>-32</v>
      </c>
      <c r="C968">
        <f>A968*10</f>
        <v>-320</v>
      </c>
    </row>
    <row r="969" spans="1:4">
      <c r="A969">
        <f>8/10</f>
        <v>0.8</v>
      </c>
      <c r="C969">
        <f>A969*10</f>
        <v>8</v>
      </c>
    </row>
    <row r="970" spans="1:4">
      <c r="A970" t="s">
        <v>269</v>
      </c>
      <c r="B970" t="s">
        <v>194</v>
      </c>
      <c r="C970" t="s">
        <v>269</v>
      </c>
      <c r="D970" t="s">
        <v>194</v>
      </c>
    </row>
    <row r="971" spans="1:4">
      <c r="A971">
        <f>A$968+A$969*B971</f>
        <v>-32</v>
      </c>
      <c r="B971" s="50">
        <v>0</v>
      </c>
      <c r="C971">
        <f>C$968+C$969*D971</f>
        <v>-320</v>
      </c>
      <c r="D971" s="50">
        <f>B971</f>
        <v>0</v>
      </c>
    </row>
    <row r="972" spans="1:4">
      <c r="A972">
        <f t="shared" ref="A972:C974" si="86">A$968+A$969*B972</f>
        <v>0</v>
      </c>
      <c r="B972" s="50">
        <f>-A968/A969</f>
        <v>40</v>
      </c>
      <c r="C972">
        <f t="shared" si="86"/>
        <v>0</v>
      </c>
      <c r="D972" s="50">
        <f>-C968/C969</f>
        <v>40</v>
      </c>
    </row>
    <row r="973" spans="1:4">
      <c r="A973">
        <f t="shared" si="86"/>
        <v>32</v>
      </c>
      <c r="B973">
        <v>80</v>
      </c>
      <c r="C973">
        <f t="shared" si="86"/>
        <v>320</v>
      </c>
      <c r="D973" s="50">
        <f t="shared" ref="D973:D974" si="87">B973</f>
        <v>80</v>
      </c>
    </row>
    <row r="974" spans="1:4">
      <c r="A974">
        <f t="shared" si="86"/>
        <v>96</v>
      </c>
      <c r="B974">
        <v>160</v>
      </c>
      <c r="C974">
        <f t="shared" si="86"/>
        <v>960</v>
      </c>
      <c r="D974" s="50">
        <f t="shared" si="87"/>
        <v>160</v>
      </c>
    </row>
    <row r="983" spans="1:4">
      <c r="A983" s="59" t="s">
        <v>321</v>
      </c>
      <c r="B983" s="59"/>
    </row>
    <row r="984" spans="1:4">
      <c r="A984" t="s">
        <v>322</v>
      </c>
    </row>
    <row r="985" spans="1:4">
      <c r="A985" t="s">
        <v>323</v>
      </c>
      <c r="C985" t="s">
        <v>324</v>
      </c>
    </row>
    <row r="986" spans="1:4">
      <c r="A986">
        <v>-5</v>
      </c>
      <c r="C986">
        <f>A986*45</f>
        <v>-225</v>
      </c>
    </row>
    <row r="987" spans="1:4">
      <c r="A987">
        <v>1.5</v>
      </c>
      <c r="C987">
        <f>A987*45</f>
        <v>67.5</v>
      </c>
    </row>
    <row r="988" spans="1:4">
      <c r="A988" t="s">
        <v>269</v>
      </c>
      <c r="B988" t="s">
        <v>194</v>
      </c>
      <c r="C988" t="s">
        <v>269</v>
      </c>
      <c r="D988" t="s">
        <v>194</v>
      </c>
    </row>
    <row r="989" spans="1:4">
      <c r="A989">
        <f>A$986+A$987*B989</f>
        <v>-5</v>
      </c>
      <c r="B989" s="50">
        <v>0</v>
      </c>
      <c r="C989">
        <f>C$986+C$987*D989</f>
        <v>-225</v>
      </c>
      <c r="D989" s="50">
        <f>B989</f>
        <v>0</v>
      </c>
    </row>
    <row r="990" spans="1:4">
      <c r="A990">
        <f t="shared" ref="A990:C992" si="88">A$986+A$987*B990</f>
        <v>0</v>
      </c>
      <c r="B990" s="50">
        <f>-A986/A987</f>
        <v>3.3333333333333335</v>
      </c>
      <c r="C990">
        <f t="shared" si="88"/>
        <v>0</v>
      </c>
      <c r="D990" s="50">
        <f>-C986/C987</f>
        <v>3.3333333333333335</v>
      </c>
    </row>
    <row r="991" spans="1:4">
      <c r="A991">
        <f t="shared" si="88"/>
        <v>2.5</v>
      </c>
      <c r="B991">
        <v>5</v>
      </c>
      <c r="C991">
        <f t="shared" si="88"/>
        <v>112.5</v>
      </c>
      <c r="D991" s="50">
        <f t="shared" ref="D991:D992" si="89">B991</f>
        <v>5</v>
      </c>
    </row>
    <row r="992" spans="1:4">
      <c r="A992">
        <f t="shared" si="88"/>
        <v>10</v>
      </c>
      <c r="B992">
        <v>10</v>
      </c>
      <c r="C992">
        <f t="shared" si="88"/>
        <v>450</v>
      </c>
      <c r="D992" s="50">
        <f t="shared" si="89"/>
        <v>10</v>
      </c>
    </row>
    <row r="999" spans="1:3">
      <c r="A999" s="59" t="s">
        <v>325</v>
      </c>
      <c r="B999" s="59"/>
    </row>
    <row r="1000" spans="1:3">
      <c r="A1000" t="s">
        <v>328</v>
      </c>
      <c r="C1000" t="s">
        <v>329</v>
      </c>
    </row>
    <row r="1001" spans="1:3">
      <c r="A1001">
        <v>-1</v>
      </c>
      <c r="C1001">
        <v>6</v>
      </c>
    </row>
    <row r="1002" spans="1:3">
      <c r="A1002">
        <v>1</v>
      </c>
      <c r="C1002">
        <v>1</v>
      </c>
    </row>
    <row r="1003" spans="1:3">
      <c r="A1003" t="s">
        <v>327</v>
      </c>
      <c r="B1003" t="s">
        <v>194</v>
      </c>
      <c r="C1003" t="s">
        <v>326</v>
      </c>
    </row>
    <row r="1004" spans="1:3">
      <c r="A1004">
        <f>A$1001+A$1002*B1004</f>
        <v>-1</v>
      </c>
      <c r="B1004">
        <v>0</v>
      </c>
      <c r="C1004">
        <f>C$1001-C$1002*B1004</f>
        <v>6</v>
      </c>
    </row>
    <row r="1005" spans="1:3">
      <c r="A1005">
        <f t="shared" ref="A1005:A1006" si="90">A$1001+A$1002*B1005</f>
        <v>2.5</v>
      </c>
      <c r="B1005">
        <v>3.5</v>
      </c>
      <c r="C1005">
        <f t="shared" ref="C1005:C1006" si="91">C$1001-C$1002*B1005</f>
        <v>2.5</v>
      </c>
    </row>
    <row r="1006" spans="1:3">
      <c r="A1006">
        <f t="shared" si="90"/>
        <v>5</v>
      </c>
      <c r="B1006">
        <f>C1001/C1002</f>
        <v>6</v>
      </c>
      <c r="C1006">
        <f t="shared" si="91"/>
        <v>0</v>
      </c>
    </row>
    <row r="1017" spans="1:4">
      <c r="A1017" s="59" t="s">
        <v>330</v>
      </c>
      <c r="B1017" s="59"/>
    </row>
    <row r="1018" spans="1:4">
      <c r="A1018" t="s">
        <v>331</v>
      </c>
      <c r="C1018" t="s">
        <v>332</v>
      </c>
    </row>
    <row r="1019" spans="1:4">
      <c r="A1019">
        <v>-5</v>
      </c>
      <c r="C1019">
        <v>15</v>
      </c>
    </row>
    <row r="1020" spans="1:4">
      <c r="A1020">
        <v>5</v>
      </c>
      <c r="C1020">
        <v>4</v>
      </c>
    </row>
    <row r="1021" spans="1:4">
      <c r="A1021" t="s">
        <v>327</v>
      </c>
      <c r="B1021" t="s">
        <v>194</v>
      </c>
      <c r="C1021" t="s">
        <v>326</v>
      </c>
      <c r="D1021" t="s">
        <v>194</v>
      </c>
    </row>
    <row r="1022" spans="1:4">
      <c r="A1022">
        <f>A$1019+A$1020*B1022</f>
        <v>-5</v>
      </c>
      <c r="B1022">
        <v>0</v>
      </c>
      <c r="C1022">
        <f>C$1019-C$1020*D1022</f>
        <v>15</v>
      </c>
      <c r="D1022">
        <f>B1022</f>
        <v>0</v>
      </c>
    </row>
    <row r="1023" spans="1:4">
      <c r="A1023">
        <f t="shared" ref="A1023:A1024" si="92">A$1019+A$1020*B1023</f>
        <v>6.1111111111111107</v>
      </c>
      <c r="B1023" s="49">
        <f>(C1019-A1019)/(A1020+C1020)</f>
        <v>2.2222222222222223</v>
      </c>
      <c r="C1023">
        <f t="shared" ref="C1023:C1024" si="93">C$1019-C$1020*D1023</f>
        <v>6.1111111111111107</v>
      </c>
      <c r="D1023" s="49">
        <f t="shared" ref="D1023:D1024" si="94">B1023</f>
        <v>2.2222222222222223</v>
      </c>
    </row>
    <row r="1024" spans="1:4">
      <c r="A1024">
        <f t="shared" si="92"/>
        <v>13.75</v>
      </c>
      <c r="B1024">
        <f>C1019/C1020</f>
        <v>3.75</v>
      </c>
      <c r="C1024">
        <f t="shared" si="93"/>
        <v>0</v>
      </c>
      <c r="D1024">
        <f t="shared" si="94"/>
        <v>3.75</v>
      </c>
    </row>
    <row r="1034" spans="1:4">
      <c r="A1034" s="59" t="s">
        <v>333</v>
      </c>
      <c r="B1034" s="59"/>
    </row>
    <row r="1035" spans="1:4">
      <c r="A1035" t="s">
        <v>334</v>
      </c>
      <c r="C1035" t="s">
        <v>335</v>
      </c>
    </row>
    <row r="1036" spans="1:4">
      <c r="A1036">
        <v>-5</v>
      </c>
      <c r="C1036">
        <v>20</v>
      </c>
    </row>
    <row r="1037" spans="1:4">
      <c r="A1037">
        <v>0.3</v>
      </c>
      <c r="C1037">
        <f>1/2</f>
        <v>0.5</v>
      </c>
    </row>
    <row r="1038" spans="1:4">
      <c r="A1038" t="s">
        <v>327</v>
      </c>
      <c r="B1038" t="s">
        <v>194</v>
      </c>
      <c r="C1038" t="s">
        <v>326</v>
      </c>
      <c r="D1038" t="s">
        <v>194</v>
      </c>
    </row>
    <row r="1039" spans="1:4">
      <c r="A1039">
        <f>A$1036+A$1037*B1039</f>
        <v>-5</v>
      </c>
      <c r="B1039">
        <v>0</v>
      </c>
      <c r="C1039">
        <f>C$1036-C$1037*D1039</f>
        <v>20</v>
      </c>
      <c r="D1039">
        <f>B1039</f>
        <v>0</v>
      </c>
    </row>
    <row r="1040" spans="1:4">
      <c r="A1040">
        <f t="shared" ref="A1040:A1041" si="95">A$1036+A$1037*B1040</f>
        <v>4.375</v>
      </c>
      <c r="B1040" s="49">
        <f>(C1036-A1036)/(A1037+C1037)</f>
        <v>31.25</v>
      </c>
      <c r="C1040">
        <f t="shared" ref="C1040:C1041" si="96">C$1036-C$1037*D1040</f>
        <v>4.375</v>
      </c>
      <c r="D1040" s="49">
        <f t="shared" ref="D1040:D1041" si="97">B1040</f>
        <v>31.25</v>
      </c>
    </row>
    <row r="1041" spans="1:4">
      <c r="A1041">
        <f t="shared" si="95"/>
        <v>7</v>
      </c>
      <c r="B1041">
        <f>C1036/C1037</f>
        <v>40</v>
      </c>
      <c r="C1041">
        <f t="shared" si="96"/>
        <v>0</v>
      </c>
      <c r="D1041">
        <f t="shared" si="97"/>
        <v>40</v>
      </c>
    </row>
    <row r="1051" spans="1:4">
      <c r="A1051" s="59" t="s">
        <v>336</v>
      </c>
      <c r="B1051" s="59"/>
    </row>
    <row r="1052" spans="1:4">
      <c r="A1052" t="s">
        <v>337</v>
      </c>
      <c r="C1052" t="s">
        <v>338</v>
      </c>
    </row>
    <row r="1053" spans="1:4">
      <c r="A1053">
        <v>-15</v>
      </c>
      <c r="C1053">
        <v>135</v>
      </c>
    </row>
    <row r="1054" spans="1:4">
      <c r="A1054">
        <v>1</v>
      </c>
      <c r="C1054">
        <v>1.5</v>
      </c>
    </row>
    <row r="1055" spans="1:4">
      <c r="A1055" t="s">
        <v>327</v>
      </c>
      <c r="B1055" t="s">
        <v>194</v>
      </c>
      <c r="C1055" t="s">
        <v>326</v>
      </c>
      <c r="D1055" t="s">
        <v>194</v>
      </c>
    </row>
    <row r="1056" spans="1:4">
      <c r="A1056">
        <f>A$1053+A$1054*B1056</f>
        <v>-15</v>
      </c>
      <c r="B1056">
        <v>0</v>
      </c>
      <c r="C1056">
        <f>C$1053-C$1054*D1056</f>
        <v>135</v>
      </c>
      <c r="D1056">
        <f>B1056</f>
        <v>0</v>
      </c>
    </row>
    <row r="1057" spans="1:4">
      <c r="A1057">
        <f t="shared" ref="A1057:A1058" si="98">A$1053+A$1054*B1057</f>
        <v>45</v>
      </c>
      <c r="B1057" s="49">
        <f>(C1053-A1053)/(A1054+C1054)</f>
        <v>60</v>
      </c>
      <c r="C1057">
        <f t="shared" ref="C1057:C1058" si="99">C$1053-C$1054*D1057</f>
        <v>45</v>
      </c>
      <c r="D1057" s="49">
        <f t="shared" ref="D1057:D1058" si="100">B1057</f>
        <v>60</v>
      </c>
    </row>
    <row r="1058" spans="1:4">
      <c r="A1058">
        <f t="shared" si="98"/>
        <v>75</v>
      </c>
      <c r="B1058">
        <f>C1053/C1054</f>
        <v>90</v>
      </c>
      <c r="C1058">
        <f t="shared" si="99"/>
        <v>0</v>
      </c>
      <c r="D1058">
        <f t="shared" si="100"/>
        <v>90</v>
      </c>
    </row>
    <row r="1069" spans="1:4">
      <c r="A1069" s="59" t="s">
        <v>339</v>
      </c>
      <c r="B1069" s="59"/>
    </row>
    <row r="1070" spans="1:4">
      <c r="A1070" t="s">
        <v>340</v>
      </c>
      <c r="C1070" t="s">
        <v>341</v>
      </c>
    </row>
    <row r="1071" spans="1:4">
      <c r="A1071">
        <v>-10</v>
      </c>
      <c r="C1071">
        <v>100</v>
      </c>
    </row>
    <row r="1072" spans="1:4">
      <c r="A1072">
        <v>5</v>
      </c>
      <c r="C1072">
        <v>8</v>
      </c>
    </row>
    <row r="1073" spans="1:4">
      <c r="A1073" t="s">
        <v>327</v>
      </c>
      <c r="B1073" t="s">
        <v>194</v>
      </c>
      <c r="C1073" t="s">
        <v>326</v>
      </c>
      <c r="D1073" t="s">
        <v>194</v>
      </c>
    </row>
    <row r="1074" spans="1:4">
      <c r="A1074">
        <f>A$1071+A$1072*B1074</f>
        <v>-10</v>
      </c>
      <c r="B1074">
        <v>0</v>
      </c>
      <c r="C1074">
        <f>C$1071-C$1072*D1074</f>
        <v>100</v>
      </c>
      <c r="D1074">
        <f>B1074</f>
        <v>0</v>
      </c>
    </row>
    <row r="1075" spans="1:4">
      <c r="A1075">
        <f t="shared" ref="A1075:A1076" si="101">A$1071+A$1072*B1075</f>
        <v>32.307692307692307</v>
      </c>
      <c r="B1075" s="49">
        <f>(C1071-A1071)/(A1072+C1072)</f>
        <v>8.4615384615384617</v>
      </c>
      <c r="C1075">
        <f t="shared" ref="C1075:C1076" si="102">C$1071-C$1072*D1075</f>
        <v>32.307692307692307</v>
      </c>
      <c r="D1075" s="49">
        <f t="shared" ref="D1075:D1076" si="103">B1075</f>
        <v>8.4615384615384617</v>
      </c>
    </row>
    <row r="1076" spans="1:4">
      <c r="A1076">
        <f t="shared" si="101"/>
        <v>52.5</v>
      </c>
      <c r="B1076">
        <f>C1071/C1072</f>
        <v>12.5</v>
      </c>
      <c r="C1076">
        <f t="shared" si="102"/>
        <v>0</v>
      </c>
      <c r="D1076">
        <f t="shared" si="103"/>
        <v>12.5</v>
      </c>
    </row>
    <row r="1086" spans="1:4">
      <c r="A1086" s="59" t="s">
        <v>342</v>
      </c>
      <c r="B1086" s="59"/>
    </row>
    <row r="1087" spans="1:4">
      <c r="A1087" t="s">
        <v>343</v>
      </c>
      <c r="C1087" t="s">
        <v>344</v>
      </c>
    </row>
    <row r="1088" spans="1:4">
      <c r="A1088">
        <v>-8</v>
      </c>
      <c r="C1088">
        <v>68</v>
      </c>
    </row>
    <row r="1089" spans="1:4">
      <c r="A1089">
        <v>14</v>
      </c>
      <c r="C1089">
        <v>15</v>
      </c>
    </row>
    <row r="1090" spans="1:4">
      <c r="A1090" t="s">
        <v>327</v>
      </c>
      <c r="B1090" t="s">
        <v>194</v>
      </c>
      <c r="C1090" t="s">
        <v>326</v>
      </c>
      <c r="D1090" t="s">
        <v>194</v>
      </c>
    </row>
    <row r="1091" spans="1:4">
      <c r="A1091">
        <f>A$1088+A$1089*B1091</f>
        <v>-8</v>
      </c>
      <c r="B1091">
        <v>0</v>
      </c>
      <c r="C1091">
        <f>C$1088-C$1089*D1091</f>
        <v>68</v>
      </c>
      <c r="D1091">
        <f>B1091</f>
        <v>0</v>
      </c>
    </row>
    <row r="1092" spans="1:4">
      <c r="A1092">
        <f t="shared" ref="A1092:A1093" si="104">A$1088+A$1089*B1092</f>
        <v>28.689655172413794</v>
      </c>
      <c r="B1092" s="49">
        <f>(C1088-A1088)/(A1089+C1089)</f>
        <v>2.6206896551724137</v>
      </c>
      <c r="C1092">
        <f t="shared" ref="C1092:C1093" si="105">C$1088-C$1089*D1092</f>
        <v>28.689655172413794</v>
      </c>
      <c r="D1092" s="49">
        <f t="shared" ref="D1092:D1093" si="106">B1092</f>
        <v>2.6206896551724137</v>
      </c>
    </row>
    <row r="1093" spans="1:4">
      <c r="A1093">
        <f t="shared" si="104"/>
        <v>55.466666666666669</v>
      </c>
      <c r="B1093">
        <f>C1088/C1089</f>
        <v>4.5333333333333332</v>
      </c>
      <c r="C1093">
        <f t="shared" si="105"/>
        <v>0</v>
      </c>
      <c r="D1093">
        <f t="shared" si="106"/>
        <v>4.5333333333333332</v>
      </c>
    </row>
    <row r="1102" spans="1:4">
      <c r="A1102" s="59" t="s">
        <v>345</v>
      </c>
      <c r="B1102" s="59"/>
    </row>
    <row r="1103" spans="1:4">
      <c r="A1103" t="s">
        <v>346</v>
      </c>
      <c r="C1103" t="s">
        <v>347</v>
      </c>
    </row>
    <row r="1104" spans="1:4">
      <c r="A1104">
        <v>-15</v>
      </c>
      <c r="C1104">
        <v>200</v>
      </c>
    </row>
    <row r="1105" spans="1:4">
      <c r="A1105">
        <v>30</v>
      </c>
      <c r="C1105">
        <v>12.5</v>
      </c>
    </row>
    <row r="1106" spans="1:4">
      <c r="A1106" t="s">
        <v>327</v>
      </c>
      <c r="B1106" t="s">
        <v>194</v>
      </c>
      <c r="C1106" t="s">
        <v>326</v>
      </c>
      <c r="D1106" t="s">
        <v>194</v>
      </c>
    </row>
    <row r="1107" spans="1:4">
      <c r="A1107">
        <f>A$1104+A$1105*B1107</f>
        <v>-15</v>
      </c>
      <c r="B1107">
        <v>0</v>
      </c>
      <c r="C1107">
        <f>C$1104-C$1105*D1107</f>
        <v>200</v>
      </c>
      <c r="D1107">
        <f>B1107</f>
        <v>0</v>
      </c>
    </row>
    <row r="1108" spans="1:4">
      <c r="A1108">
        <f t="shared" ref="A1108:A1109" si="107">A$1104+A$1105*B1108</f>
        <v>136.76470588235293</v>
      </c>
      <c r="B1108" s="49">
        <f>(C1104-A1104)/(A1105+C1105)</f>
        <v>5.0588235294117645</v>
      </c>
      <c r="C1108">
        <f t="shared" ref="C1108:C1109" si="108">C$1104-C$1105*D1108</f>
        <v>136.76470588235293</v>
      </c>
      <c r="D1108" s="49">
        <f t="shared" ref="D1108:D1109" si="109">B1108</f>
        <v>5.0588235294117645</v>
      </c>
    </row>
    <row r="1109" spans="1:4">
      <c r="A1109">
        <f t="shared" si="107"/>
        <v>465</v>
      </c>
      <c r="B1109">
        <f>C1104/C1105</f>
        <v>16</v>
      </c>
      <c r="C1109">
        <f t="shared" si="108"/>
        <v>0</v>
      </c>
      <c r="D1109">
        <f t="shared" si="109"/>
        <v>16</v>
      </c>
    </row>
    <row r="1120" spans="1:4">
      <c r="A1120" s="59" t="s">
        <v>348</v>
      </c>
      <c r="B1120" s="59"/>
    </row>
    <row r="1121" spans="1:4">
      <c r="A1121" t="s">
        <v>349</v>
      </c>
      <c r="C1121" t="s">
        <v>350</v>
      </c>
    </row>
    <row r="1122" spans="1:4">
      <c r="A1122">
        <v>-80</v>
      </c>
      <c r="C1122">
        <v>340</v>
      </c>
    </row>
    <row r="1123" spans="1:4">
      <c r="A1123">
        <v>20</v>
      </c>
      <c r="C1123">
        <v>25</v>
      </c>
    </row>
    <row r="1124" spans="1:4">
      <c r="A1124" t="s">
        <v>327</v>
      </c>
      <c r="B1124" t="s">
        <v>194</v>
      </c>
      <c r="C1124" t="s">
        <v>326</v>
      </c>
      <c r="D1124" t="s">
        <v>194</v>
      </c>
    </row>
    <row r="1125" spans="1:4">
      <c r="A1125">
        <f>A$1122+A$1123*B1125</f>
        <v>-80</v>
      </c>
      <c r="B1125">
        <v>0</v>
      </c>
      <c r="C1125">
        <f>C$1122-C$1123*D1125</f>
        <v>340</v>
      </c>
      <c r="D1125">
        <f>B1125</f>
        <v>0</v>
      </c>
    </row>
    <row r="1126" spans="1:4">
      <c r="A1126">
        <f t="shared" ref="A1126:A1127" si="110">A$1122+A$1123*B1126</f>
        <v>106.66666666666669</v>
      </c>
      <c r="B1126" s="49">
        <f>(C1122-A1122)/(A1123+C1123)</f>
        <v>9.3333333333333339</v>
      </c>
      <c r="C1126">
        <f t="shared" ref="C1126:C1127" si="111">C$1122-C$1123*D1126</f>
        <v>106.66666666666666</v>
      </c>
      <c r="D1126" s="49">
        <f t="shared" ref="D1126:D1127" si="112">B1126</f>
        <v>9.3333333333333339</v>
      </c>
    </row>
    <row r="1127" spans="1:4">
      <c r="A1127">
        <f t="shared" si="110"/>
        <v>192</v>
      </c>
      <c r="B1127">
        <f>C1122/C1123</f>
        <v>13.6</v>
      </c>
      <c r="C1127">
        <f t="shared" si="111"/>
        <v>0</v>
      </c>
      <c r="D1127">
        <f t="shared" si="112"/>
        <v>13.6</v>
      </c>
    </row>
    <row r="1136" spans="1:4">
      <c r="A1136" s="59" t="s">
        <v>351</v>
      </c>
      <c r="B1136" s="59"/>
    </row>
    <row r="1137" spans="1:4">
      <c r="A1137" t="s">
        <v>353</v>
      </c>
      <c r="C1137" t="s">
        <v>352</v>
      </c>
    </row>
    <row r="1138" spans="1:4">
      <c r="A1138">
        <v>-40</v>
      </c>
      <c r="C1138">
        <v>215</v>
      </c>
    </row>
    <row r="1139" spans="1:4">
      <c r="A1139">
        <v>4</v>
      </c>
      <c r="C1139">
        <v>12</v>
      </c>
    </row>
    <row r="1140" spans="1:4">
      <c r="A1140" t="s">
        <v>327</v>
      </c>
      <c r="B1140" t="s">
        <v>194</v>
      </c>
      <c r="C1140" t="s">
        <v>326</v>
      </c>
      <c r="D1140" t="s">
        <v>194</v>
      </c>
    </row>
    <row r="1141" spans="1:4">
      <c r="A1141">
        <f>A$1138+A$1139*B1141</f>
        <v>-40</v>
      </c>
      <c r="B1141">
        <v>0</v>
      </c>
      <c r="C1141">
        <f>C$1138-C$1139*D1141</f>
        <v>215</v>
      </c>
      <c r="D1141">
        <f>B1141</f>
        <v>0</v>
      </c>
    </row>
    <row r="1142" spans="1:4">
      <c r="A1142">
        <f t="shared" ref="A1142:A1143" si="113">A$1138+A$1139*B1142</f>
        <v>23.75</v>
      </c>
      <c r="B1142" s="49">
        <f>(C1138-A1138)/(A1139+C1139)</f>
        <v>15.9375</v>
      </c>
      <c r="C1142">
        <f t="shared" ref="C1142:C1143" si="114">C$1138-C$1139*D1142</f>
        <v>23.75</v>
      </c>
      <c r="D1142" s="49">
        <f t="shared" ref="D1142:D1143" si="115">B1142</f>
        <v>15.9375</v>
      </c>
    </row>
    <row r="1143" spans="1:4">
      <c r="A1143">
        <f t="shared" si="113"/>
        <v>31.666666666666671</v>
      </c>
      <c r="B1143">
        <f>C1138/C1139</f>
        <v>17.916666666666668</v>
      </c>
      <c r="C1143">
        <f t="shared" si="114"/>
        <v>0</v>
      </c>
      <c r="D1143">
        <f t="shared" si="115"/>
        <v>17.916666666666668</v>
      </c>
    </row>
    <row r="1153" spans="1:4">
      <c r="A1153" s="59" t="s">
        <v>354</v>
      </c>
      <c r="B1153" s="59"/>
    </row>
    <row r="1154" spans="1:4">
      <c r="A1154" t="s">
        <v>356</v>
      </c>
      <c r="C1154" t="s">
        <v>355</v>
      </c>
    </row>
    <row r="1155" spans="1:4">
      <c r="A1155">
        <v>-16</v>
      </c>
      <c r="C1155">
        <v>85</v>
      </c>
    </row>
    <row r="1156" spans="1:4">
      <c r="A1156">
        <v>8</v>
      </c>
      <c r="C1156">
        <f>15/4</f>
        <v>3.75</v>
      </c>
    </row>
    <row r="1157" spans="1:4">
      <c r="A1157" t="s">
        <v>327</v>
      </c>
      <c r="B1157" t="s">
        <v>194</v>
      </c>
      <c r="C1157" t="s">
        <v>326</v>
      </c>
      <c r="D1157" t="s">
        <v>194</v>
      </c>
    </row>
    <row r="1158" spans="1:4">
      <c r="A1158">
        <f>A$1155+A$1156*B1158</f>
        <v>-16</v>
      </c>
      <c r="B1158">
        <v>0</v>
      </c>
      <c r="C1158">
        <f>C$1155-C$1156*D1158</f>
        <v>85</v>
      </c>
      <c r="D1158">
        <f>B1158</f>
        <v>0</v>
      </c>
    </row>
    <row r="1159" spans="1:4">
      <c r="A1159">
        <f t="shared" ref="A1159:A1160" si="116">A$1155+A$1156*B1159</f>
        <v>52.765957446808514</v>
      </c>
      <c r="B1159" s="49">
        <f>(C1155-A1155)/(A1156+C1156)</f>
        <v>8.5957446808510642</v>
      </c>
      <c r="C1159">
        <f t="shared" ref="C1159:C1160" si="117">C$1155-C$1156*D1159</f>
        <v>52.765957446808507</v>
      </c>
      <c r="D1159" s="49">
        <f t="shared" ref="D1159:D1160" si="118">B1159</f>
        <v>8.5957446808510642</v>
      </c>
    </row>
    <row r="1160" spans="1:4">
      <c r="A1160">
        <f t="shared" si="116"/>
        <v>165.33333333333334</v>
      </c>
      <c r="B1160">
        <f>C1155/C1156</f>
        <v>22.666666666666668</v>
      </c>
      <c r="C1160">
        <f t="shared" si="117"/>
        <v>0</v>
      </c>
      <c r="D1160">
        <f t="shared" si="118"/>
        <v>22.666666666666668</v>
      </c>
    </row>
    <row r="1169" spans="1:4">
      <c r="A1169" s="59" t="s">
        <v>357</v>
      </c>
      <c r="B1169" s="59"/>
    </row>
    <row r="1170" spans="1:4">
      <c r="A1170" t="s">
        <v>359</v>
      </c>
      <c r="C1170" t="s">
        <v>358</v>
      </c>
    </row>
    <row r="1171" spans="1:4">
      <c r="A1171">
        <v>-8</v>
      </c>
      <c r="C1171">
        <v>12</v>
      </c>
    </row>
    <row r="1172" spans="1:4">
      <c r="A1172">
        <v>0.25</v>
      </c>
      <c r="C1172">
        <v>0.1</v>
      </c>
    </row>
    <row r="1173" spans="1:4">
      <c r="A1173" t="s">
        <v>327</v>
      </c>
      <c r="B1173" t="s">
        <v>194</v>
      </c>
      <c r="C1173" t="s">
        <v>326</v>
      </c>
      <c r="D1173" t="s">
        <v>194</v>
      </c>
    </row>
    <row r="1174" spans="1:4">
      <c r="A1174">
        <f>A$1171+A$1172*B1174</f>
        <v>-8</v>
      </c>
      <c r="B1174">
        <v>0</v>
      </c>
      <c r="C1174">
        <f>C$1171-C$1172*D1174</f>
        <v>12</v>
      </c>
      <c r="D1174">
        <f>B1174</f>
        <v>0</v>
      </c>
    </row>
    <row r="1175" spans="1:4">
      <c r="A1175">
        <f t="shared" ref="A1175:A1176" si="119">A$1171+A$1172*B1175</f>
        <v>6.2857142857142865</v>
      </c>
      <c r="B1175" s="49">
        <f>(C1171-A1171)/(A1172+C1172)</f>
        <v>57.142857142857146</v>
      </c>
      <c r="C1175">
        <f t="shared" ref="C1175:C1176" si="120">C$1171-C$1172*D1175</f>
        <v>6.2857142857142847</v>
      </c>
      <c r="D1175" s="49">
        <f t="shared" ref="D1175:D1176" si="121">B1175</f>
        <v>57.142857142857146</v>
      </c>
    </row>
    <row r="1176" spans="1:4">
      <c r="A1176">
        <f t="shared" si="119"/>
        <v>22</v>
      </c>
      <c r="B1176">
        <f>C1171/C1172</f>
        <v>120</v>
      </c>
      <c r="C1176">
        <f t="shared" si="120"/>
        <v>0</v>
      </c>
      <c r="D1176">
        <f t="shared" si="121"/>
        <v>120</v>
      </c>
    </row>
    <row r="1187" spans="1:4">
      <c r="A1187" s="59" t="s">
        <v>360</v>
      </c>
      <c r="B1187" s="59"/>
    </row>
    <row r="1188" spans="1:4">
      <c r="A1188" t="s">
        <v>362</v>
      </c>
      <c r="C1188" t="s">
        <v>361</v>
      </c>
    </row>
    <row r="1189" spans="1:4">
      <c r="A1189">
        <v>-10</v>
      </c>
      <c r="C1189">
        <v>35</v>
      </c>
    </row>
    <row r="1190" spans="1:4">
      <c r="A1190">
        <v>0.5</v>
      </c>
      <c r="C1190">
        <v>2</v>
      </c>
    </row>
    <row r="1191" spans="1:4">
      <c r="A1191" t="s">
        <v>327</v>
      </c>
      <c r="B1191" t="s">
        <v>194</v>
      </c>
      <c r="C1191" t="s">
        <v>326</v>
      </c>
      <c r="D1191" t="s">
        <v>194</v>
      </c>
    </row>
    <row r="1192" spans="1:4">
      <c r="A1192">
        <f>A$1189+A$1190*B1192</f>
        <v>-10</v>
      </c>
      <c r="B1192">
        <v>0</v>
      </c>
      <c r="C1192">
        <f>C$1189-C$1190*D1192</f>
        <v>35</v>
      </c>
      <c r="D1192">
        <f>B1192</f>
        <v>0</v>
      </c>
    </row>
    <row r="1193" spans="1:4">
      <c r="A1193">
        <f t="shared" ref="A1193:A1194" si="122">A$1189+A$1190*B1193</f>
        <v>-1</v>
      </c>
      <c r="B1193" s="49">
        <f>(C1189-A1189)/(A1190+C1190)</f>
        <v>18</v>
      </c>
      <c r="C1193">
        <f t="shared" ref="C1193:C1194" si="123">C$1189-C$1190*D1193</f>
        <v>-1</v>
      </c>
      <c r="D1193" s="49">
        <f t="shared" ref="D1193:D1194" si="124">B1193</f>
        <v>18</v>
      </c>
    </row>
    <row r="1194" spans="1:4">
      <c r="A1194">
        <f t="shared" si="122"/>
        <v>-1.25</v>
      </c>
      <c r="B1194">
        <f>C1189/C1190</f>
        <v>17.5</v>
      </c>
      <c r="C1194">
        <f t="shared" si="123"/>
        <v>0</v>
      </c>
      <c r="D1194">
        <f t="shared" si="124"/>
        <v>17.5</v>
      </c>
    </row>
    <row r="1204" spans="1:8">
      <c r="A1204" s="59" t="s">
        <v>370</v>
      </c>
      <c r="B1204" s="59"/>
    </row>
    <row r="1205" spans="1:8">
      <c r="A1205" t="s">
        <v>371</v>
      </c>
      <c r="C1205" t="s">
        <v>371</v>
      </c>
      <c r="E1205" t="s">
        <v>371</v>
      </c>
      <c r="G1205" t="s">
        <v>372</v>
      </c>
    </row>
    <row r="1206" spans="1:8">
      <c r="A1206">
        <v>12</v>
      </c>
      <c r="C1206">
        <v>12</v>
      </c>
      <c r="E1206">
        <v>12</v>
      </c>
    </row>
    <row r="1207" spans="1:8">
      <c r="A1207">
        <v>2</v>
      </c>
      <c r="C1207">
        <v>1</v>
      </c>
      <c r="E1207">
        <v>0.5</v>
      </c>
    </row>
    <row r="1208" spans="1:8">
      <c r="A1208" t="s">
        <v>327</v>
      </c>
      <c r="B1208" t="s">
        <v>194</v>
      </c>
      <c r="C1208" t="s">
        <v>327</v>
      </c>
      <c r="D1208" t="s">
        <v>194</v>
      </c>
      <c r="E1208" t="s">
        <v>327</v>
      </c>
      <c r="F1208" t="s">
        <v>194</v>
      </c>
    </row>
    <row r="1209" spans="1:8">
      <c r="A1209">
        <f>A$1206-A$1207*B1209</f>
        <v>12</v>
      </c>
      <c r="B1209">
        <v>0</v>
      </c>
      <c r="C1209">
        <f>C$1206-C$1207*D1209</f>
        <v>12</v>
      </c>
      <c r="D1209">
        <v>0</v>
      </c>
      <c r="E1209">
        <f>E$1206-E$1207*F1209</f>
        <v>12</v>
      </c>
      <c r="F1209">
        <v>0</v>
      </c>
      <c r="G1209">
        <v>0</v>
      </c>
      <c r="H1209">
        <v>3</v>
      </c>
    </row>
    <row r="1210" spans="1:8">
      <c r="A1210">
        <f t="shared" ref="A1210" si="125">A$1206-A$1207*B1210</f>
        <v>4</v>
      </c>
      <c r="B1210" s="49">
        <v>4</v>
      </c>
      <c r="C1210">
        <f t="shared" ref="C1210:E1211" si="126">C$1206-C$1207*D1210</f>
        <v>6.5</v>
      </c>
      <c r="D1210">
        <v>5.5</v>
      </c>
      <c r="E1210">
        <f t="shared" si="126"/>
        <v>7.875</v>
      </c>
      <c r="F1210">
        <v>8.25</v>
      </c>
      <c r="G1210">
        <v>12</v>
      </c>
      <c r="H1210">
        <v>3</v>
      </c>
    </row>
    <row r="1211" spans="1:8">
      <c r="A1211">
        <f t="shared" ref="A1211" si="127">A$1206-A$1207*B1211</f>
        <v>2</v>
      </c>
      <c r="B1211">
        <v>5</v>
      </c>
      <c r="C1211">
        <f t="shared" si="126"/>
        <v>5.5</v>
      </c>
      <c r="D1211">
        <v>6.5</v>
      </c>
      <c r="E1211">
        <f t="shared" si="126"/>
        <v>7.625</v>
      </c>
      <c r="F1211">
        <v>8.75</v>
      </c>
    </row>
    <row r="1224" spans="1:5">
      <c r="A1224" s="59" t="s">
        <v>363</v>
      </c>
      <c r="B1224" s="59"/>
      <c r="D1224" t="s">
        <v>365</v>
      </c>
      <c r="E1224" t="s">
        <v>364</v>
      </c>
    </row>
    <row r="1225" spans="1:5">
      <c r="B1225" t="s">
        <v>194</v>
      </c>
      <c r="C1225" t="s">
        <v>33</v>
      </c>
      <c r="D1225" s="56">
        <v>12</v>
      </c>
      <c r="E1225" s="56">
        <v>0.5</v>
      </c>
    </row>
    <row r="1226" spans="1:5">
      <c r="B1226" s="56">
        <v>8.25</v>
      </c>
      <c r="C1226" s="57">
        <f>D$1225-E$1225*B1226</f>
        <v>7.875</v>
      </c>
    </row>
    <row r="1227" spans="1:5">
      <c r="B1227" s="56">
        <v>8.75</v>
      </c>
      <c r="C1227" s="57">
        <f>D$1225-E$1225*B1227</f>
        <v>7.625</v>
      </c>
    </row>
    <row r="1228" spans="1:5">
      <c r="A1228" t="s">
        <v>366</v>
      </c>
      <c r="B1228">
        <f>B1227-B1226</f>
        <v>0.5</v>
      </c>
      <c r="C1228">
        <f>C1227-C1226</f>
        <v>-0.25</v>
      </c>
    </row>
    <row r="1229" spans="1:5">
      <c r="A1229" s="55" t="s">
        <v>368</v>
      </c>
      <c r="B1229" s="58">
        <f>C1228/B1228</f>
        <v>-0.5</v>
      </c>
    </row>
    <row r="1230" spans="1:5">
      <c r="A1230" t="s">
        <v>367</v>
      </c>
      <c r="B1230">
        <f>B1226/C1226</f>
        <v>1.0476190476190477</v>
      </c>
    </row>
    <row r="1231" spans="1:5">
      <c r="A1231" t="s">
        <v>369</v>
      </c>
      <c r="B1231">
        <f>B1229*B1230</f>
        <v>-0.52380952380952384</v>
      </c>
      <c r="D1231" s="49"/>
    </row>
  </sheetData>
  <mergeCells count="76">
    <mergeCell ref="A1224:B1224"/>
    <mergeCell ref="A1120:B1120"/>
    <mergeCell ref="A1136:B1136"/>
    <mergeCell ref="A1153:B1153"/>
    <mergeCell ref="A1169:B1169"/>
    <mergeCell ref="A1187:B1187"/>
    <mergeCell ref="A1204:B1204"/>
    <mergeCell ref="A1034:B1034"/>
    <mergeCell ref="A1051:B1051"/>
    <mergeCell ref="A1069:B1069"/>
    <mergeCell ref="A1086:B1086"/>
    <mergeCell ref="A1102:B1102"/>
    <mergeCell ref="A278:B278"/>
    <mergeCell ref="A200:B200"/>
    <mergeCell ref="A215:B215"/>
    <mergeCell ref="A231:B231"/>
    <mergeCell ref="A1017:B1017"/>
    <mergeCell ref="A353:B353"/>
    <mergeCell ref="A369:B369"/>
    <mergeCell ref="A383:B383"/>
    <mergeCell ref="A398:B398"/>
    <mergeCell ref="A293:B293"/>
    <mergeCell ref="A308:B308"/>
    <mergeCell ref="A323:B323"/>
    <mergeCell ref="A338:B338"/>
    <mergeCell ref="A414:B414"/>
    <mergeCell ref="A429:B429"/>
    <mergeCell ref="A445:B445"/>
    <mergeCell ref="A155:B155"/>
    <mergeCell ref="A170:B170"/>
    <mergeCell ref="A185:B185"/>
    <mergeCell ref="A247:B247"/>
    <mergeCell ref="A262:B262"/>
    <mergeCell ref="A77:B77"/>
    <mergeCell ref="A92:B92"/>
    <mergeCell ref="A108:B108"/>
    <mergeCell ref="A124:B124"/>
    <mergeCell ref="A140:B140"/>
    <mergeCell ref="A1:B1"/>
    <mergeCell ref="A16:B16"/>
    <mergeCell ref="A31:B31"/>
    <mergeCell ref="A46:B46"/>
    <mergeCell ref="A61:B61"/>
    <mergeCell ref="A460:B460"/>
    <mergeCell ref="A475:B475"/>
    <mergeCell ref="A553:B553"/>
    <mergeCell ref="A569:B569"/>
    <mergeCell ref="A588:B588"/>
    <mergeCell ref="A605:B605"/>
    <mergeCell ref="A490:B490"/>
    <mergeCell ref="A505:B505"/>
    <mergeCell ref="A521:B521"/>
    <mergeCell ref="A537:B537"/>
    <mergeCell ref="A690:B690"/>
    <mergeCell ref="A707:B707"/>
    <mergeCell ref="A724:B724"/>
    <mergeCell ref="A743:B743"/>
    <mergeCell ref="A621:B621"/>
    <mergeCell ref="A637:B637"/>
    <mergeCell ref="A655:B655"/>
    <mergeCell ref="A673:B673"/>
    <mergeCell ref="A828:B828"/>
    <mergeCell ref="A845:B845"/>
    <mergeCell ref="A862:B862"/>
    <mergeCell ref="A879:B879"/>
    <mergeCell ref="A760:B760"/>
    <mergeCell ref="A777:B777"/>
    <mergeCell ref="A795:B795"/>
    <mergeCell ref="A811:B811"/>
    <mergeCell ref="A965:B965"/>
    <mergeCell ref="A983:B983"/>
    <mergeCell ref="A999:B999"/>
    <mergeCell ref="A897:B897"/>
    <mergeCell ref="A913:B913"/>
    <mergeCell ref="A931:B931"/>
    <mergeCell ref="A947:B947"/>
  </mergeCells>
  <pageMargins left="0.7" right="0.7" top="0.75" bottom="0.75" header="0.3" footer="0.3"/>
  <pageSetup orientation="portrait" r:id="rId1"/>
  <ignoredErrors>
    <ignoredError sqref="B482:B483 B481"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Hoja2</vt:lpstr>
      <vt:lpstr>Ejercicio 2.83</vt:lpstr>
      <vt:lpstr>Ejercicios 3.1-3.11</vt:lpstr>
      <vt:lpstr>Ejercicios 3.12-3.47</vt:lpstr>
      <vt:lpstr>Ejercicios 4.19-4.52</vt:lpstr>
      <vt:lpstr>Ejercicios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ANGEL</cp:lastModifiedBy>
  <dcterms:created xsi:type="dcterms:W3CDTF">2019-10-08T16:58:31Z</dcterms:created>
  <dcterms:modified xsi:type="dcterms:W3CDTF">2019-11-22T17:38:10Z</dcterms:modified>
</cp:coreProperties>
</file>