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iaatroiano/Desktop/"/>
    </mc:Choice>
  </mc:AlternateContent>
  <xr:revisionPtr revIDLastSave="0" documentId="13_ncr:1_{F63574EB-59E3-6D44-8A22-C8F065E8749B}" xr6:coauthVersionLast="47" xr6:coauthVersionMax="47" xr10:uidLastSave="{00000000-0000-0000-0000-000000000000}"/>
  <bookViews>
    <workbookView xWindow="0" yWindow="1800" windowWidth="28800" windowHeight="12300" xr2:uid="{00000000-000D-0000-FFFF-FFFF00000000}"/>
  </bookViews>
  <sheets>
    <sheet name="Full Team Profile" sheetId="7" r:id="rId1"/>
    <sheet name="Athlete Profile" sheetId="5" r:id="rId2"/>
    <sheet name="Athlete Profile Comparison" sheetId="9" r:id="rId3"/>
    <sheet name="Raw Data" sheetId="1" state="hidden" r:id="rId4"/>
    <sheet name="Cleaned Data" sheetId="2" state="hidden" r:id="rId5"/>
    <sheet name="TSA_Chart" sheetId="3" state="hidden" r:id="rId6"/>
    <sheet name="Athlete Dashboard Data" sheetId="6" state="hidden" r:id="rId7"/>
    <sheet name="Athlete Comparison Data" sheetId="10" state="hidden" r:id="rId8"/>
    <sheet name="Coach Dashboard Data" sheetId="8" state="hidden" r:id="rId9"/>
  </sheets>
  <definedNames>
    <definedName name="_xlchart.v1.0" hidden="1">'Cleaned Data'!$E$2:$E$69</definedName>
    <definedName name="_xlchart.v1.1" hidden="1">'Cleaned Data'!$B$1</definedName>
    <definedName name="_xlchart.v1.2" hidden="1">'Cleaned Data'!$B$2:$B$69</definedName>
    <definedName name="_xlchart.v1.3" hidden="1">'Cleaned Data'!$F$2:$F$69</definedName>
    <definedName name="_xlchart.v1.4" hidden="1">'Cleaned Data'!$C$1</definedName>
    <definedName name="_xlchart.v1.5" hidden="1">'Cleaned Data'!$C$2:$C$69</definedName>
    <definedName name="_xlchart.v1.6" hidden="1">'Cleaned Data'!$G$2:$G$69</definedName>
    <definedName name="_xlchart.v1.7" hidden="1">'Cleaned Data'!$D$1</definedName>
    <definedName name="_xlchart.v1.8" hidden="1">'Cleaned Data'!$D$2:$D$69</definedName>
    <definedName name="Agility">'Cleaned Data'!$E$1</definedName>
    <definedName name="ID">'Cleaned Data'!$A:$A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3" l="1"/>
  <c r="B31" i="3" s="1"/>
  <c r="A18" i="3"/>
  <c r="B18" i="3" s="1"/>
  <c r="A36" i="3"/>
  <c r="B36" i="3" s="1"/>
  <c r="A33" i="3"/>
  <c r="B33" i="3" s="1"/>
  <c r="A45" i="3"/>
  <c r="B45" i="3" s="1"/>
  <c r="A26" i="3"/>
  <c r="B26" i="3" s="1"/>
  <c r="A10" i="3"/>
  <c r="B10" i="3" s="1"/>
  <c r="A27" i="3"/>
  <c r="B27" i="3" s="1"/>
  <c r="A62" i="3"/>
  <c r="B62" i="3" s="1"/>
  <c r="A52" i="3"/>
  <c r="B52" i="3" s="1"/>
  <c r="A35" i="3"/>
  <c r="B35" i="3" s="1"/>
  <c r="A15" i="3"/>
  <c r="B15" i="3" s="1"/>
  <c r="A44" i="3"/>
  <c r="B44" i="3" s="1"/>
  <c r="A49" i="3"/>
  <c r="B49" i="3" s="1"/>
  <c r="A67" i="3"/>
  <c r="B67" i="3" s="1"/>
  <c r="A69" i="3"/>
  <c r="B69" i="3" s="1"/>
  <c r="A30" i="3"/>
  <c r="B30" i="3" s="1"/>
  <c r="A40" i="3"/>
  <c r="B40" i="3" s="1"/>
  <c r="A48" i="3"/>
  <c r="B48" i="3" s="1"/>
  <c r="A68" i="3"/>
  <c r="B68" i="3" s="1"/>
  <c r="A61" i="3"/>
  <c r="B61" i="3" s="1"/>
  <c r="A60" i="3"/>
  <c r="B60" i="3" s="1"/>
  <c r="A66" i="3"/>
  <c r="B66" i="3" s="1"/>
  <c r="A34" i="3"/>
  <c r="B34" i="3" s="1"/>
  <c r="A24" i="3"/>
  <c r="B24" i="3" s="1"/>
  <c r="A65" i="3"/>
  <c r="B65" i="3" s="1"/>
  <c r="A7" i="3"/>
  <c r="B7" i="3" s="1"/>
  <c r="A58" i="3"/>
  <c r="B58" i="3" s="1"/>
  <c r="A25" i="3"/>
  <c r="B25" i="3" s="1"/>
  <c r="A53" i="3"/>
  <c r="B53" i="3" s="1"/>
  <c r="A64" i="3"/>
  <c r="B64" i="3" s="1"/>
  <c r="A38" i="3"/>
  <c r="B38" i="3" s="1"/>
  <c r="A43" i="3"/>
  <c r="B43" i="3" s="1"/>
  <c r="A4" i="3"/>
  <c r="B4" i="3" s="1"/>
  <c r="A16" i="3"/>
  <c r="B16" i="3" s="1"/>
  <c r="A3" i="3"/>
  <c r="B3" i="3" s="1"/>
  <c r="A13" i="3"/>
  <c r="B13" i="3" s="1"/>
  <c r="A20" i="3"/>
  <c r="B20" i="3" s="1"/>
  <c r="A17" i="3"/>
  <c r="B17" i="3" s="1"/>
  <c r="A12" i="3"/>
  <c r="B12" i="3" s="1"/>
  <c r="A2" i="3"/>
  <c r="B2" i="3" s="1"/>
  <c r="A14" i="3"/>
  <c r="B14" i="3" s="1"/>
  <c r="A41" i="3"/>
  <c r="B41" i="3" s="1"/>
  <c r="A19" i="3"/>
  <c r="B19" i="3" s="1"/>
  <c r="A9" i="3"/>
  <c r="B9" i="3" s="1"/>
  <c r="A6" i="3"/>
  <c r="B6" i="3" s="1"/>
  <c r="A23" i="3"/>
  <c r="B23" i="3" s="1"/>
  <c r="A42" i="3"/>
  <c r="B42" i="3" s="1"/>
  <c r="A56" i="3"/>
  <c r="B56" i="3" s="1"/>
  <c r="A50" i="3"/>
  <c r="B50" i="3" s="1"/>
  <c r="A8" i="3"/>
  <c r="B8" i="3" s="1"/>
  <c r="A37" i="3"/>
  <c r="B37" i="3" s="1"/>
  <c r="A57" i="3"/>
  <c r="B57" i="3" s="1"/>
  <c r="A63" i="3"/>
  <c r="B63" i="3" s="1"/>
  <c r="A47" i="3"/>
  <c r="B47" i="3" s="1"/>
  <c r="A54" i="3"/>
  <c r="B54" i="3" s="1"/>
  <c r="A39" i="3"/>
  <c r="B39" i="3" s="1"/>
  <c r="A21" i="3"/>
  <c r="B21" i="3" s="1"/>
  <c r="A29" i="3"/>
  <c r="B29" i="3" s="1"/>
  <c r="A51" i="3"/>
  <c r="B51" i="3" s="1"/>
  <c r="A5" i="3"/>
  <c r="B5" i="3" s="1"/>
  <c r="A55" i="3"/>
  <c r="B55" i="3" s="1"/>
  <c r="A32" i="3"/>
  <c r="B32" i="3" s="1"/>
  <c r="A46" i="3"/>
  <c r="B46" i="3" s="1"/>
  <c r="A59" i="3"/>
  <c r="B59" i="3" s="1"/>
  <c r="A28" i="3"/>
  <c r="B28" i="3" s="1"/>
  <c r="A22" i="3"/>
  <c r="B22" i="3" s="1"/>
  <c r="A11" i="3"/>
  <c r="B11" i="3" s="1"/>
  <c r="H6" i="9"/>
  <c r="G6" i="9"/>
  <c r="F6" i="9"/>
  <c r="E6" i="9"/>
  <c r="D6" i="9"/>
  <c r="C6" i="9"/>
  <c r="B6" i="9"/>
  <c r="A3" i="10"/>
  <c r="E6" i="10" s="1"/>
  <c r="A5" i="10"/>
  <c r="G5" i="10" s="1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2" i="2"/>
  <c r="E4" i="5" s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2" i="2"/>
  <c r="Z3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2" i="2"/>
  <c r="B4" i="5" s="1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C5" i="8"/>
  <c r="D5" i="8"/>
  <c r="E5" i="8"/>
  <c r="F5" i="8"/>
  <c r="G5" i="8"/>
  <c r="B5" i="8"/>
  <c r="C4" i="8"/>
  <c r="D4" i="8"/>
  <c r="E4" i="8"/>
  <c r="F4" i="8"/>
  <c r="G4" i="8"/>
  <c r="B4" i="8"/>
  <c r="C73" i="2"/>
  <c r="D73" i="2"/>
  <c r="E73" i="2"/>
  <c r="F73" i="2"/>
  <c r="G73" i="2"/>
  <c r="C72" i="2"/>
  <c r="D72" i="2"/>
  <c r="E72" i="2"/>
  <c r="F72" i="2"/>
  <c r="G72" i="2"/>
  <c r="B72" i="2"/>
  <c r="B73" i="2"/>
  <c r="G3" i="8"/>
  <c r="F3" i="8"/>
  <c r="E3" i="8"/>
  <c r="D3" i="8"/>
  <c r="C3" i="8"/>
  <c r="B3" i="8"/>
  <c r="A3" i="6"/>
  <c r="H4" i="6" s="1"/>
  <c r="H4" i="5"/>
  <c r="G4" i="5"/>
  <c r="F4" i="5"/>
  <c r="D4" i="5"/>
  <c r="C4" i="5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E2" i="2"/>
  <c r="AD2" i="2"/>
  <c r="R2" i="2"/>
  <c r="H3" i="5"/>
  <c r="G3" i="5"/>
  <c r="F3" i="5"/>
  <c r="E3" i="5"/>
  <c r="D3" i="5"/>
  <c r="C3" i="5"/>
  <c r="B3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" i="2"/>
  <c r="G71" i="2"/>
  <c r="F71" i="2"/>
  <c r="N18" i="2" s="1"/>
  <c r="W18" i="2" s="1"/>
  <c r="E71" i="2"/>
  <c r="L46" i="2" s="1"/>
  <c r="V46" i="2" s="1"/>
  <c r="D71" i="2"/>
  <c r="C71" i="2"/>
  <c r="G70" i="2"/>
  <c r="O21" i="2" s="1"/>
  <c r="X21" i="2" s="1"/>
  <c r="F70" i="2"/>
  <c r="N38" i="2" s="1"/>
  <c r="W38" i="2" s="1"/>
  <c r="E70" i="2"/>
  <c r="D70" i="2"/>
  <c r="K45" i="2" s="1"/>
  <c r="U45" i="2" s="1"/>
  <c r="C70" i="2"/>
  <c r="B71" i="2"/>
  <c r="B70" i="2"/>
  <c r="E3" i="6" l="1"/>
  <c r="E4" i="6"/>
  <c r="H3" i="6"/>
  <c r="T3" i="6"/>
  <c r="C31" i="3"/>
  <c r="C10" i="3"/>
  <c r="C26" i="3"/>
  <c r="C45" i="3"/>
  <c r="C47" i="3"/>
  <c r="C66" i="3"/>
  <c r="C55" i="3"/>
  <c r="C53" i="3"/>
  <c r="C13" i="3"/>
  <c r="C11" i="3"/>
  <c r="C19" i="3"/>
  <c r="C15" i="3"/>
  <c r="C41" i="3"/>
  <c r="I3" i="3"/>
  <c r="F10" i="3" s="1"/>
  <c r="C46" i="3"/>
  <c r="C54" i="3"/>
  <c r="C42" i="3"/>
  <c r="C12" i="3"/>
  <c r="C38" i="3"/>
  <c r="C34" i="3"/>
  <c r="C69" i="3"/>
  <c r="C27" i="3"/>
  <c r="C17" i="3"/>
  <c r="C20" i="3"/>
  <c r="C61" i="3"/>
  <c r="C58" i="3"/>
  <c r="C32" i="3"/>
  <c r="C64" i="3"/>
  <c r="C63" i="3"/>
  <c r="C60" i="3"/>
  <c r="C57" i="3"/>
  <c r="C44" i="3"/>
  <c r="C37" i="3"/>
  <c r="C68" i="3"/>
  <c r="C29" i="3"/>
  <c r="C16" i="3"/>
  <c r="C48" i="3"/>
  <c r="C36" i="3"/>
  <c r="C28" i="3"/>
  <c r="C21" i="3"/>
  <c r="C50" i="3"/>
  <c r="C14" i="3"/>
  <c r="C4" i="3"/>
  <c r="C65" i="3"/>
  <c r="C40" i="3"/>
  <c r="C52" i="3"/>
  <c r="C18" i="3"/>
  <c r="C23" i="3"/>
  <c r="C67" i="3"/>
  <c r="C6" i="3"/>
  <c r="C49" i="3"/>
  <c r="C5" i="3"/>
  <c r="C9" i="3"/>
  <c r="C25" i="3"/>
  <c r="C51" i="3"/>
  <c r="C3" i="3"/>
  <c r="C33" i="3"/>
  <c r="C22" i="3"/>
  <c r="C8" i="3"/>
  <c r="C7" i="3"/>
  <c r="C35" i="3"/>
  <c r="I2" i="3"/>
  <c r="D14" i="3" s="1"/>
  <c r="C59" i="3"/>
  <c r="C39" i="3"/>
  <c r="C56" i="3"/>
  <c r="C2" i="3"/>
  <c r="C43" i="3"/>
  <c r="C24" i="3"/>
  <c r="C30" i="3"/>
  <c r="C62" i="3"/>
  <c r="H5" i="10"/>
  <c r="Q4" i="10"/>
  <c r="B3" i="6"/>
  <c r="N4" i="10"/>
  <c r="O4" i="10"/>
  <c r="P4" i="10"/>
  <c r="B6" i="10"/>
  <c r="R4" i="10"/>
  <c r="K4" i="10"/>
  <c r="S4" i="10"/>
  <c r="L4" i="10"/>
  <c r="T4" i="10"/>
  <c r="M4" i="10"/>
  <c r="U4" i="10"/>
  <c r="F6" i="10"/>
  <c r="G6" i="10"/>
  <c r="H4" i="10"/>
  <c r="H6" i="10"/>
  <c r="C6" i="10"/>
  <c r="D6" i="10"/>
  <c r="C5" i="10"/>
  <c r="D5" i="10"/>
  <c r="B5" i="10"/>
  <c r="E5" i="10"/>
  <c r="F5" i="10"/>
  <c r="G3" i="10"/>
  <c r="H3" i="10"/>
  <c r="P3" i="10"/>
  <c r="Q3" i="10"/>
  <c r="R3" i="10"/>
  <c r="D4" i="10"/>
  <c r="E4" i="10"/>
  <c r="F3" i="10"/>
  <c r="F4" i="10"/>
  <c r="C3" i="10"/>
  <c r="M3" i="10"/>
  <c r="U3" i="10"/>
  <c r="D3" i="10"/>
  <c r="N3" i="10"/>
  <c r="B4" i="10"/>
  <c r="E3" i="10"/>
  <c r="O3" i="10"/>
  <c r="C4" i="10"/>
  <c r="G4" i="10"/>
  <c r="K3" i="10"/>
  <c r="S3" i="10"/>
  <c r="B3" i="10"/>
  <c r="L3" i="10"/>
  <c r="T3" i="10"/>
  <c r="Y70" i="2"/>
  <c r="G3" i="6"/>
  <c r="R3" i="6"/>
  <c r="L3" i="6"/>
  <c r="U3" i="6"/>
  <c r="M3" i="6"/>
  <c r="B4" i="6"/>
  <c r="C3" i="6"/>
  <c r="N3" i="6"/>
  <c r="C4" i="6"/>
  <c r="D3" i="6"/>
  <c r="O3" i="6"/>
  <c r="D4" i="6"/>
  <c r="P3" i="6"/>
  <c r="F3" i="6"/>
  <c r="Q3" i="6"/>
  <c r="F4" i="6"/>
  <c r="K3" i="6"/>
  <c r="S3" i="6"/>
  <c r="G4" i="6"/>
  <c r="O37" i="2"/>
  <c r="X37" i="2" s="1"/>
  <c r="O54" i="2"/>
  <c r="X54" i="2" s="1"/>
  <c r="O14" i="2"/>
  <c r="X14" i="2" s="1"/>
  <c r="H55" i="2"/>
  <c r="S55" i="2" s="1"/>
  <c r="I21" i="2"/>
  <c r="K7" i="2"/>
  <c r="U7" i="2" s="1"/>
  <c r="O58" i="2"/>
  <c r="X58" i="2" s="1"/>
  <c r="N14" i="2"/>
  <c r="W14" i="2" s="1"/>
  <c r="I67" i="2"/>
  <c r="T67" i="2" s="1"/>
  <c r="I19" i="2"/>
  <c r="T19" i="2" s="1"/>
  <c r="N62" i="2"/>
  <c r="W62" i="2" s="1"/>
  <c r="N66" i="2"/>
  <c r="W66" i="2" s="1"/>
  <c r="O46" i="2"/>
  <c r="X46" i="2" s="1"/>
  <c r="O29" i="2"/>
  <c r="X29" i="2" s="1"/>
  <c r="N6" i="2"/>
  <c r="W6" i="2" s="1"/>
  <c r="I44" i="2"/>
  <c r="T44" i="2" s="1"/>
  <c r="K63" i="2"/>
  <c r="U63" i="2" s="1"/>
  <c r="K16" i="2"/>
  <c r="N54" i="2"/>
  <c r="W54" i="2" s="1"/>
  <c r="O13" i="2"/>
  <c r="X13" i="2" s="1"/>
  <c r="K19" i="2"/>
  <c r="U19" i="2" s="1"/>
  <c r="O66" i="2"/>
  <c r="X66" i="2" s="1"/>
  <c r="N30" i="2"/>
  <c r="W30" i="2" s="1"/>
  <c r="K64" i="2"/>
  <c r="U64" i="2" s="1"/>
  <c r="O65" i="2"/>
  <c r="X65" i="2" s="1"/>
  <c r="N46" i="2"/>
  <c r="W46" i="2" s="1"/>
  <c r="O22" i="2"/>
  <c r="X22" i="2" s="1"/>
  <c r="O5" i="2"/>
  <c r="X5" i="2" s="1"/>
  <c r="I43" i="2"/>
  <c r="T43" i="2" s="1"/>
  <c r="K62" i="2"/>
  <c r="U62" i="2" s="1"/>
  <c r="K10" i="2"/>
  <c r="U10" i="2" s="1"/>
  <c r="H15" i="2"/>
  <c r="I20" i="2"/>
  <c r="T20" i="2" s="1"/>
  <c r="O53" i="2"/>
  <c r="X53" i="2" s="1"/>
  <c r="O30" i="2"/>
  <c r="X30" i="2" s="1"/>
  <c r="I61" i="2"/>
  <c r="T61" i="2" s="1"/>
  <c r="I3" i="2"/>
  <c r="T3" i="2" s="1"/>
  <c r="N53" i="2"/>
  <c r="W53" i="2" s="1"/>
  <c r="O6" i="2"/>
  <c r="X6" i="2" s="1"/>
  <c r="I60" i="2"/>
  <c r="T60" i="2" s="1"/>
  <c r="K18" i="2"/>
  <c r="U18" i="2" s="1"/>
  <c r="N61" i="2"/>
  <c r="W61" i="2" s="1"/>
  <c r="O45" i="2"/>
  <c r="X45" i="2" s="1"/>
  <c r="N22" i="2"/>
  <c r="W22" i="2" s="1"/>
  <c r="I37" i="2"/>
  <c r="T37" i="2" s="1"/>
  <c r="H37" i="2"/>
  <c r="S37" i="2" s="1"/>
  <c r="N59" i="2"/>
  <c r="W59" i="2" s="1"/>
  <c r="O38" i="2"/>
  <c r="X38" i="2" s="1"/>
  <c r="H38" i="2"/>
  <c r="S38" i="2" s="1"/>
  <c r="K44" i="2"/>
  <c r="U44" i="2" s="1"/>
  <c r="K37" i="2"/>
  <c r="U37" i="2" s="1"/>
  <c r="K36" i="2"/>
  <c r="U36" i="2" s="1"/>
  <c r="T21" i="2"/>
  <c r="H9" i="2"/>
  <c r="S9" i="2" s="1"/>
  <c r="H17" i="2"/>
  <c r="S17" i="2" s="1"/>
  <c r="H25" i="2"/>
  <c r="H33" i="2"/>
  <c r="H41" i="2"/>
  <c r="H49" i="2"/>
  <c r="S49" i="2" s="1"/>
  <c r="H57" i="2"/>
  <c r="S57" i="2" s="1"/>
  <c r="H65" i="2"/>
  <c r="H10" i="2"/>
  <c r="S10" i="2" s="1"/>
  <c r="H18" i="2"/>
  <c r="S18" i="2" s="1"/>
  <c r="H26" i="2"/>
  <c r="S26" i="2" s="1"/>
  <c r="H34" i="2"/>
  <c r="S34" i="2" s="1"/>
  <c r="H42" i="2"/>
  <c r="H50" i="2"/>
  <c r="S50" i="2" s="1"/>
  <c r="H58" i="2"/>
  <c r="S58" i="2" s="1"/>
  <c r="H66" i="2"/>
  <c r="H3" i="2"/>
  <c r="H11" i="2"/>
  <c r="H19" i="2"/>
  <c r="H27" i="2"/>
  <c r="H35" i="2"/>
  <c r="H43" i="2"/>
  <c r="H51" i="2"/>
  <c r="H59" i="2"/>
  <c r="H67" i="2"/>
  <c r="H4" i="2"/>
  <c r="S4" i="2" s="1"/>
  <c r="H12" i="2"/>
  <c r="S12" i="2" s="1"/>
  <c r="H20" i="2"/>
  <c r="S20" i="2" s="1"/>
  <c r="H28" i="2"/>
  <c r="H36" i="2"/>
  <c r="H44" i="2"/>
  <c r="H8" i="2"/>
  <c r="H16" i="2"/>
  <c r="S16" i="2" s="1"/>
  <c r="H24" i="2"/>
  <c r="S24" i="2" s="1"/>
  <c r="H32" i="2"/>
  <c r="H40" i="2"/>
  <c r="H48" i="2"/>
  <c r="H56" i="2"/>
  <c r="S56" i="2" s="1"/>
  <c r="H64" i="2"/>
  <c r="S64" i="2" s="1"/>
  <c r="I7" i="2"/>
  <c r="T7" i="2" s="1"/>
  <c r="I15" i="2"/>
  <c r="T15" i="2" s="1"/>
  <c r="I23" i="2"/>
  <c r="T23" i="2" s="1"/>
  <c r="I31" i="2"/>
  <c r="T31" i="2" s="1"/>
  <c r="I39" i="2"/>
  <c r="T39" i="2" s="1"/>
  <c r="I47" i="2"/>
  <c r="T47" i="2" s="1"/>
  <c r="I55" i="2"/>
  <c r="T55" i="2" s="1"/>
  <c r="I63" i="2"/>
  <c r="T63" i="2" s="1"/>
  <c r="I8" i="2"/>
  <c r="T8" i="2" s="1"/>
  <c r="I16" i="2"/>
  <c r="T16" i="2" s="1"/>
  <c r="I24" i="2"/>
  <c r="T24" i="2" s="1"/>
  <c r="I32" i="2"/>
  <c r="T32" i="2" s="1"/>
  <c r="I40" i="2"/>
  <c r="T40" i="2" s="1"/>
  <c r="I48" i="2"/>
  <c r="T48" i="2" s="1"/>
  <c r="I56" i="2"/>
  <c r="T56" i="2" s="1"/>
  <c r="I64" i="2"/>
  <c r="T64" i="2" s="1"/>
  <c r="I2" i="2"/>
  <c r="T2" i="2" s="1"/>
  <c r="I9" i="2"/>
  <c r="T9" i="2" s="1"/>
  <c r="I17" i="2"/>
  <c r="T17" i="2" s="1"/>
  <c r="I25" i="2"/>
  <c r="T25" i="2" s="1"/>
  <c r="I33" i="2"/>
  <c r="T33" i="2" s="1"/>
  <c r="I41" i="2"/>
  <c r="T41" i="2" s="1"/>
  <c r="I49" i="2"/>
  <c r="T49" i="2" s="1"/>
  <c r="I57" i="2"/>
  <c r="T57" i="2" s="1"/>
  <c r="I65" i="2"/>
  <c r="T65" i="2" s="1"/>
  <c r="I10" i="2"/>
  <c r="T10" i="2" s="1"/>
  <c r="I18" i="2"/>
  <c r="T18" i="2" s="1"/>
  <c r="I26" i="2"/>
  <c r="T26" i="2" s="1"/>
  <c r="I34" i="2"/>
  <c r="T34" i="2" s="1"/>
  <c r="I42" i="2"/>
  <c r="T42" i="2" s="1"/>
  <c r="I50" i="2"/>
  <c r="T50" i="2" s="1"/>
  <c r="I58" i="2"/>
  <c r="T58" i="2" s="1"/>
  <c r="I66" i="2"/>
  <c r="T66" i="2" s="1"/>
  <c r="I6" i="2"/>
  <c r="T6" i="2" s="1"/>
  <c r="I14" i="2"/>
  <c r="T14" i="2" s="1"/>
  <c r="I22" i="2"/>
  <c r="T22" i="2" s="1"/>
  <c r="I30" i="2"/>
  <c r="T30" i="2" s="1"/>
  <c r="I38" i="2"/>
  <c r="T38" i="2" s="1"/>
  <c r="I46" i="2"/>
  <c r="T46" i="2" s="1"/>
  <c r="I54" i="2"/>
  <c r="T54" i="2" s="1"/>
  <c r="I62" i="2"/>
  <c r="T62" i="2" s="1"/>
  <c r="N65" i="2"/>
  <c r="W65" i="2" s="1"/>
  <c r="N51" i="2"/>
  <c r="W51" i="2" s="1"/>
  <c r="N37" i="2"/>
  <c r="W37" i="2" s="1"/>
  <c r="N21" i="2"/>
  <c r="W21" i="2" s="1"/>
  <c r="N13" i="2"/>
  <c r="W13" i="2" s="1"/>
  <c r="N5" i="2"/>
  <c r="W5" i="2" s="1"/>
  <c r="U16" i="2"/>
  <c r="N58" i="2"/>
  <c r="W58" i="2" s="1"/>
  <c r="N45" i="2"/>
  <c r="W45" i="2" s="1"/>
  <c r="N29" i="2"/>
  <c r="W29" i="2" s="1"/>
  <c r="H68" i="2"/>
  <c r="H52" i="2"/>
  <c r="H30" i="2"/>
  <c r="S30" i="2" s="1"/>
  <c r="H7" i="2"/>
  <c r="S7" i="2" s="1"/>
  <c r="I59" i="2"/>
  <c r="T59" i="2" s="1"/>
  <c r="I36" i="2"/>
  <c r="T36" i="2" s="1"/>
  <c r="I13" i="2"/>
  <c r="H2" i="2"/>
  <c r="S2" i="2" s="1"/>
  <c r="H54" i="2"/>
  <c r="S54" i="2" s="1"/>
  <c r="H14" i="2"/>
  <c r="S14" i="2" s="1"/>
  <c r="H69" i="2"/>
  <c r="H13" i="2"/>
  <c r="S13" i="2" s="1"/>
  <c r="N63" i="2"/>
  <c r="W63" i="2" s="1"/>
  <c r="O34" i="2"/>
  <c r="X34" i="2" s="1"/>
  <c r="O2" i="2"/>
  <c r="X2" i="2" s="1"/>
  <c r="H63" i="2"/>
  <c r="S63" i="2" s="1"/>
  <c r="H6" i="2"/>
  <c r="S6" i="2" s="1"/>
  <c r="I35" i="2"/>
  <c r="T35" i="2" s="1"/>
  <c r="K55" i="2"/>
  <c r="U55" i="2" s="1"/>
  <c r="K8" i="2"/>
  <c r="U8" i="2" s="1"/>
  <c r="N50" i="2"/>
  <c r="W50" i="2" s="1"/>
  <c r="N10" i="2"/>
  <c r="W10" i="2" s="1"/>
  <c r="H62" i="2"/>
  <c r="S62" i="2" s="1"/>
  <c r="H46" i="2"/>
  <c r="S46" i="2" s="1"/>
  <c r="H23" i="2"/>
  <c r="S23" i="2" s="1"/>
  <c r="H5" i="2"/>
  <c r="S5" i="2" s="1"/>
  <c r="I52" i="2"/>
  <c r="T52" i="2" s="1"/>
  <c r="I29" i="2"/>
  <c r="T29" i="2" s="1"/>
  <c r="I11" i="2"/>
  <c r="T11" i="2" s="1"/>
  <c r="K54" i="2"/>
  <c r="U54" i="2" s="1"/>
  <c r="K28" i="2"/>
  <c r="U28" i="2" s="1"/>
  <c r="S15" i="2"/>
  <c r="K9" i="2"/>
  <c r="U9" i="2" s="1"/>
  <c r="K17" i="2"/>
  <c r="U17" i="2" s="1"/>
  <c r="K25" i="2"/>
  <c r="U25" i="2" s="1"/>
  <c r="K33" i="2"/>
  <c r="U33" i="2" s="1"/>
  <c r="K41" i="2"/>
  <c r="U41" i="2" s="1"/>
  <c r="K49" i="2"/>
  <c r="U49" i="2" s="1"/>
  <c r="K57" i="2"/>
  <c r="U57" i="2" s="1"/>
  <c r="K3" i="2"/>
  <c r="U3" i="2" s="1"/>
  <c r="K12" i="2"/>
  <c r="U12" i="2" s="1"/>
  <c r="K21" i="2"/>
  <c r="U21" i="2" s="1"/>
  <c r="K30" i="2"/>
  <c r="U30" i="2" s="1"/>
  <c r="K39" i="2"/>
  <c r="U39" i="2" s="1"/>
  <c r="K48" i="2"/>
  <c r="U48" i="2" s="1"/>
  <c r="K58" i="2"/>
  <c r="U58" i="2" s="1"/>
  <c r="K66" i="2"/>
  <c r="U66" i="2" s="1"/>
  <c r="K4" i="2"/>
  <c r="U4" i="2" s="1"/>
  <c r="K13" i="2"/>
  <c r="U13" i="2" s="1"/>
  <c r="K22" i="2"/>
  <c r="U22" i="2" s="1"/>
  <c r="K31" i="2"/>
  <c r="U31" i="2" s="1"/>
  <c r="K40" i="2"/>
  <c r="U40" i="2" s="1"/>
  <c r="K50" i="2"/>
  <c r="U50" i="2" s="1"/>
  <c r="K59" i="2"/>
  <c r="U59" i="2" s="1"/>
  <c r="K67" i="2"/>
  <c r="U67" i="2" s="1"/>
  <c r="K5" i="2"/>
  <c r="U5" i="2" s="1"/>
  <c r="K14" i="2"/>
  <c r="U14" i="2" s="1"/>
  <c r="K23" i="2"/>
  <c r="U23" i="2" s="1"/>
  <c r="K32" i="2"/>
  <c r="U32" i="2" s="1"/>
  <c r="K42" i="2"/>
  <c r="U42" i="2" s="1"/>
  <c r="K51" i="2"/>
  <c r="U51" i="2" s="1"/>
  <c r="K60" i="2"/>
  <c r="U60" i="2" s="1"/>
  <c r="K68" i="2"/>
  <c r="U68" i="2" s="1"/>
  <c r="K6" i="2"/>
  <c r="U6" i="2" s="1"/>
  <c r="K15" i="2"/>
  <c r="U15" i="2" s="1"/>
  <c r="K24" i="2"/>
  <c r="K34" i="2"/>
  <c r="U34" i="2" s="1"/>
  <c r="K43" i="2"/>
  <c r="U43" i="2" s="1"/>
  <c r="K52" i="2"/>
  <c r="U52" i="2" s="1"/>
  <c r="K61" i="2"/>
  <c r="U61" i="2" s="1"/>
  <c r="K69" i="2"/>
  <c r="U69" i="2" s="1"/>
  <c r="K11" i="2"/>
  <c r="U11" i="2" s="1"/>
  <c r="K20" i="2"/>
  <c r="U20" i="2" s="1"/>
  <c r="K29" i="2"/>
  <c r="U29" i="2" s="1"/>
  <c r="K38" i="2"/>
  <c r="U38" i="2" s="1"/>
  <c r="K47" i="2"/>
  <c r="U47" i="2" s="1"/>
  <c r="K56" i="2"/>
  <c r="K65" i="2"/>
  <c r="U65" i="2" s="1"/>
  <c r="K2" i="2"/>
  <c r="U2" i="2" s="1"/>
  <c r="O57" i="2"/>
  <c r="X57" i="2" s="1"/>
  <c r="O42" i="2"/>
  <c r="X42" i="2" s="1"/>
  <c r="O18" i="2"/>
  <c r="X18" i="2" s="1"/>
  <c r="H47" i="2"/>
  <c r="L7" i="2"/>
  <c r="V7" i="2" s="1"/>
  <c r="L15" i="2"/>
  <c r="V15" i="2" s="1"/>
  <c r="L23" i="2"/>
  <c r="L31" i="2"/>
  <c r="V31" i="2" s="1"/>
  <c r="L39" i="2"/>
  <c r="L47" i="2"/>
  <c r="V47" i="2" s="1"/>
  <c r="L55" i="2"/>
  <c r="V55" i="2" s="1"/>
  <c r="L63" i="2"/>
  <c r="L8" i="2"/>
  <c r="V8" i="2" s="1"/>
  <c r="L16" i="2"/>
  <c r="V16" i="2" s="1"/>
  <c r="L24" i="2"/>
  <c r="V24" i="2" s="1"/>
  <c r="L32" i="2"/>
  <c r="V32" i="2" s="1"/>
  <c r="L40" i="2"/>
  <c r="V40" i="2" s="1"/>
  <c r="L48" i="2"/>
  <c r="V48" i="2" s="1"/>
  <c r="L56" i="2"/>
  <c r="V56" i="2" s="1"/>
  <c r="L64" i="2"/>
  <c r="V64" i="2" s="1"/>
  <c r="L9" i="2"/>
  <c r="V9" i="2" s="1"/>
  <c r="L17" i="2"/>
  <c r="L25" i="2"/>
  <c r="V25" i="2" s="1"/>
  <c r="L33" i="2"/>
  <c r="V33" i="2" s="1"/>
  <c r="L41" i="2"/>
  <c r="V41" i="2" s="1"/>
  <c r="L49" i="2"/>
  <c r="L57" i="2"/>
  <c r="L65" i="2"/>
  <c r="V65" i="2" s="1"/>
  <c r="L10" i="2"/>
  <c r="V10" i="2" s="1"/>
  <c r="L18" i="2"/>
  <c r="L26" i="2"/>
  <c r="V26" i="2" s="1"/>
  <c r="L34" i="2"/>
  <c r="L42" i="2"/>
  <c r="V42" i="2" s="1"/>
  <c r="L50" i="2"/>
  <c r="L58" i="2"/>
  <c r="L66" i="2"/>
  <c r="V66" i="2" s="1"/>
  <c r="L3" i="2"/>
  <c r="V3" i="2" s="1"/>
  <c r="L11" i="2"/>
  <c r="V11" i="2" s="1"/>
  <c r="L19" i="2"/>
  <c r="V19" i="2" s="1"/>
  <c r="L27" i="2"/>
  <c r="V27" i="2" s="1"/>
  <c r="L35" i="2"/>
  <c r="V35" i="2" s="1"/>
  <c r="L43" i="2"/>
  <c r="V43" i="2" s="1"/>
  <c r="L51" i="2"/>
  <c r="V51" i="2" s="1"/>
  <c r="L59" i="2"/>
  <c r="V59" i="2" s="1"/>
  <c r="L67" i="2"/>
  <c r="V67" i="2" s="1"/>
  <c r="L4" i="2"/>
  <c r="V4" i="2" s="1"/>
  <c r="L12" i="2"/>
  <c r="V12" i="2" s="1"/>
  <c r="L20" i="2"/>
  <c r="L28" i="2"/>
  <c r="V28" i="2" s="1"/>
  <c r="L36" i="2"/>
  <c r="V36" i="2" s="1"/>
  <c r="L44" i="2"/>
  <c r="V44" i="2" s="1"/>
  <c r="L52" i="2"/>
  <c r="V52" i="2" s="1"/>
  <c r="L60" i="2"/>
  <c r="V60" i="2" s="1"/>
  <c r="L68" i="2"/>
  <c r="V68" i="2" s="1"/>
  <c r="L5" i="2"/>
  <c r="V5" i="2" s="1"/>
  <c r="L13" i="2"/>
  <c r="V13" i="2" s="1"/>
  <c r="L21" i="2"/>
  <c r="V21" i="2" s="1"/>
  <c r="L29" i="2"/>
  <c r="V29" i="2" s="1"/>
  <c r="L37" i="2"/>
  <c r="V37" i="2" s="1"/>
  <c r="L45" i="2"/>
  <c r="V45" i="2" s="1"/>
  <c r="L53" i="2"/>
  <c r="V53" i="2" s="1"/>
  <c r="L61" i="2"/>
  <c r="V61" i="2" s="1"/>
  <c r="L69" i="2"/>
  <c r="V69" i="2" s="1"/>
  <c r="L14" i="2"/>
  <c r="V14" i="2" s="1"/>
  <c r="L2" i="2"/>
  <c r="V2" i="2" s="1"/>
  <c r="L22" i="2"/>
  <c r="V22" i="2" s="1"/>
  <c r="L30" i="2"/>
  <c r="V30" i="2" s="1"/>
  <c r="L38" i="2"/>
  <c r="V38" i="2" s="1"/>
  <c r="L6" i="2"/>
  <c r="O62" i="2"/>
  <c r="X62" i="2" s="1"/>
  <c r="N42" i="2"/>
  <c r="W42" i="2" s="1"/>
  <c r="N26" i="2"/>
  <c r="W26" i="2" s="1"/>
  <c r="N2" i="2"/>
  <c r="W2" i="2" s="1"/>
  <c r="O33" i="2"/>
  <c r="X33" i="2" s="1"/>
  <c r="O9" i="2"/>
  <c r="X9" i="2" s="1"/>
  <c r="H61" i="2"/>
  <c r="S61" i="2" s="1"/>
  <c r="H45" i="2"/>
  <c r="S45" i="2" s="1"/>
  <c r="H22" i="2"/>
  <c r="S22" i="2" s="1"/>
  <c r="I69" i="2"/>
  <c r="T69" i="2" s="1"/>
  <c r="I51" i="2"/>
  <c r="T51" i="2" s="1"/>
  <c r="I28" i="2"/>
  <c r="T28" i="2" s="1"/>
  <c r="I5" i="2"/>
  <c r="T5" i="2" s="1"/>
  <c r="K53" i="2"/>
  <c r="U53" i="2" s="1"/>
  <c r="K27" i="2"/>
  <c r="U27" i="2" s="1"/>
  <c r="L62" i="2"/>
  <c r="V62" i="2" s="1"/>
  <c r="H53" i="2"/>
  <c r="H31" i="2"/>
  <c r="S31" i="2" s="1"/>
  <c r="O50" i="2"/>
  <c r="X50" i="2" s="1"/>
  <c r="O26" i="2"/>
  <c r="X26" i="2" s="1"/>
  <c r="O10" i="2"/>
  <c r="X10" i="2" s="1"/>
  <c r="H29" i="2"/>
  <c r="I53" i="2"/>
  <c r="T53" i="2" s="1"/>
  <c r="I12" i="2"/>
  <c r="T12" i="2" s="1"/>
  <c r="K35" i="2"/>
  <c r="U35" i="2" s="1"/>
  <c r="O69" i="2"/>
  <c r="X69" i="2" s="1"/>
  <c r="N57" i="2"/>
  <c r="W57" i="2" s="1"/>
  <c r="N34" i="2"/>
  <c r="W34" i="2" s="1"/>
  <c r="N4" i="2"/>
  <c r="W4" i="2" s="1"/>
  <c r="N8" i="2"/>
  <c r="W8" i="2" s="1"/>
  <c r="N12" i="2"/>
  <c r="W12" i="2" s="1"/>
  <c r="N16" i="2"/>
  <c r="W16" i="2" s="1"/>
  <c r="N20" i="2"/>
  <c r="W20" i="2" s="1"/>
  <c r="N24" i="2"/>
  <c r="W24" i="2" s="1"/>
  <c r="N28" i="2"/>
  <c r="W28" i="2" s="1"/>
  <c r="N32" i="2"/>
  <c r="W32" i="2" s="1"/>
  <c r="N36" i="2"/>
  <c r="W36" i="2" s="1"/>
  <c r="N40" i="2"/>
  <c r="W40" i="2" s="1"/>
  <c r="N44" i="2"/>
  <c r="W44" i="2" s="1"/>
  <c r="N48" i="2"/>
  <c r="W48" i="2" s="1"/>
  <c r="N52" i="2"/>
  <c r="W52" i="2" s="1"/>
  <c r="N56" i="2"/>
  <c r="W56" i="2" s="1"/>
  <c r="N60" i="2"/>
  <c r="W60" i="2" s="1"/>
  <c r="N64" i="2"/>
  <c r="W64" i="2" s="1"/>
  <c r="N68" i="2"/>
  <c r="W68" i="2" s="1"/>
  <c r="N3" i="2"/>
  <c r="W3" i="2" s="1"/>
  <c r="N7" i="2"/>
  <c r="W7" i="2" s="1"/>
  <c r="N11" i="2"/>
  <c r="W11" i="2" s="1"/>
  <c r="N15" i="2"/>
  <c r="W15" i="2" s="1"/>
  <c r="N19" i="2"/>
  <c r="W19" i="2" s="1"/>
  <c r="N23" i="2"/>
  <c r="W23" i="2" s="1"/>
  <c r="N27" i="2"/>
  <c r="W27" i="2" s="1"/>
  <c r="N31" i="2"/>
  <c r="W31" i="2" s="1"/>
  <c r="N35" i="2"/>
  <c r="W35" i="2" s="1"/>
  <c r="N39" i="2"/>
  <c r="W39" i="2" s="1"/>
  <c r="N43" i="2"/>
  <c r="W43" i="2" s="1"/>
  <c r="N47" i="2"/>
  <c r="W47" i="2" s="1"/>
  <c r="N69" i="2"/>
  <c r="W69" i="2" s="1"/>
  <c r="N55" i="2"/>
  <c r="W55" i="2" s="1"/>
  <c r="O49" i="2"/>
  <c r="X49" i="2" s="1"/>
  <c r="O41" i="2"/>
  <c r="X41" i="2" s="1"/>
  <c r="O25" i="2"/>
  <c r="X25" i="2" s="1"/>
  <c r="O17" i="2"/>
  <c r="X17" i="2" s="1"/>
  <c r="O3" i="2"/>
  <c r="X3" i="2" s="1"/>
  <c r="N67" i="2"/>
  <c r="W67" i="2" s="1"/>
  <c r="O61" i="2"/>
  <c r="X61" i="2" s="1"/>
  <c r="N49" i="2"/>
  <c r="W49" i="2" s="1"/>
  <c r="N41" i="2"/>
  <c r="W41" i="2" s="1"/>
  <c r="N33" i="2"/>
  <c r="W33" i="2" s="1"/>
  <c r="N25" i="2"/>
  <c r="W25" i="2" s="1"/>
  <c r="N17" i="2"/>
  <c r="W17" i="2" s="1"/>
  <c r="N9" i="2"/>
  <c r="W9" i="2" s="1"/>
  <c r="H60" i="2"/>
  <c r="H39" i="2"/>
  <c r="S39" i="2" s="1"/>
  <c r="H21" i="2"/>
  <c r="S21" i="2" s="1"/>
  <c r="I68" i="2"/>
  <c r="T68" i="2" s="1"/>
  <c r="I45" i="2"/>
  <c r="T45" i="2" s="1"/>
  <c r="I27" i="2"/>
  <c r="T27" i="2" s="1"/>
  <c r="I4" i="2"/>
  <c r="T4" i="2" s="1"/>
  <c r="K46" i="2"/>
  <c r="U46" i="2" s="1"/>
  <c r="K26" i="2"/>
  <c r="U26" i="2" s="1"/>
  <c r="L54" i="2"/>
  <c r="V54" i="2" s="1"/>
  <c r="O68" i="2"/>
  <c r="X68" i="2" s="1"/>
  <c r="O64" i="2"/>
  <c r="X64" i="2" s="1"/>
  <c r="O60" i="2"/>
  <c r="X60" i="2" s="1"/>
  <c r="O56" i="2"/>
  <c r="X56" i="2" s="1"/>
  <c r="O52" i="2"/>
  <c r="X52" i="2" s="1"/>
  <c r="O48" i="2"/>
  <c r="X48" i="2" s="1"/>
  <c r="O44" i="2"/>
  <c r="X44" i="2" s="1"/>
  <c r="O40" i="2"/>
  <c r="X40" i="2" s="1"/>
  <c r="O36" i="2"/>
  <c r="X36" i="2" s="1"/>
  <c r="O32" i="2"/>
  <c r="X32" i="2" s="1"/>
  <c r="O28" i="2"/>
  <c r="X28" i="2" s="1"/>
  <c r="O24" i="2"/>
  <c r="X24" i="2" s="1"/>
  <c r="O20" i="2"/>
  <c r="X20" i="2" s="1"/>
  <c r="O16" i="2"/>
  <c r="X16" i="2" s="1"/>
  <c r="O12" i="2"/>
  <c r="X12" i="2" s="1"/>
  <c r="O8" i="2"/>
  <c r="X8" i="2" s="1"/>
  <c r="O4" i="2"/>
  <c r="X4" i="2" s="1"/>
  <c r="O67" i="2"/>
  <c r="X67" i="2" s="1"/>
  <c r="O63" i="2"/>
  <c r="X63" i="2" s="1"/>
  <c r="O59" i="2"/>
  <c r="X59" i="2" s="1"/>
  <c r="O55" i="2"/>
  <c r="X55" i="2" s="1"/>
  <c r="O51" i="2"/>
  <c r="X51" i="2" s="1"/>
  <c r="O47" i="2"/>
  <c r="X47" i="2" s="1"/>
  <c r="O43" i="2"/>
  <c r="X43" i="2" s="1"/>
  <c r="O39" i="2"/>
  <c r="X39" i="2" s="1"/>
  <c r="O35" i="2"/>
  <c r="X35" i="2" s="1"/>
  <c r="O31" i="2"/>
  <c r="X31" i="2" s="1"/>
  <c r="O27" i="2"/>
  <c r="X27" i="2" s="1"/>
  <c r="O23" i="2"/>
  <c r="X23" i="2" s="1"/>
  <c r="O19" i="2"/>
  <c r="X19" i="2" s="1"/>
  <c r="O15" i="2"/>
  <c r="X15" i="2" s="1"/>
  <c r="O11" i="2"/>
  <c r="X11" i="2" s="1"/>
  <c r="O7" i="2"/>
  <c r="X7" i="2" s="1"/>
  <c r="F69" i="3" l="1"/>
  <c r="F45" i="3"/>
  <c r="D29" i="3"/>
  <c r="F56" i="3"/>
  <c r="F58" i="3"/>
  <c r="F16" i="3"/>
  <c r="F26" i="3"/>
  <c r="F27" i="3"/>
  <c r="F59" i="3"/>
  <c r="F51" i="3"/>
  <c r="F41" i="3"/>
  <c r="D50" i="3"/>
  <c r="E39" i="3"/>
  <c r="D23" i="3"/>
  <c r="F31" i="3"/>
  <c r="F50" i="3"/>
  <c r="F11" i="3"/>
  <c r="E5" i="3"/>
  <c r="E63" i="3"/>
  <c r="F34" i="3"/>
  <c r="F18" i="3"/>
  <c r="F44" i="3"/>
  <c r="F33" i="3"/>
  <c r="F23" i="3"/>
  <c r="F62" i="3"/>
  <c r="F21" i="3"/>
  <c r="F35" i="3"/>
  <c r="D34" i="3"/>
  <c r="F66" i="3"/>
  <c r="F54" i="3"/>
  <c r="F4" i="3"/>
  <c r="F9" i="3"/>
  <c r="F15" i="3"/>
  <c r="F17" i="3"/>
  <c r="F5" i="3"/>
  <c r="F47" i="3"/>
  <c r="F30" i="3"/>
  <c r="F28" i="3"/>
  <c r="F7" i="3"/>
  <c r="D39" i="3"/>
  <c r="E26" i="3"/>
  <c r="F64" i="3"/>
  <c r="D22" i="3"/>
  <c r="F46" i="3"/>
  <c r="F39" i="3"/>
  <c r="E4" i="3"/>
  <c r="F14" i="3"/>
  <c r="F19" i="3"/>
  <c r="F57" i="3"/>
  <c r="F48" i="3"/>
  <c r="D47" i="3"/>
  <c r="E33" i="3"/>
  <c r="F49" i="3"/>
  <c r="F60" i="3"/>
  <c r="E45" i="3"/>
  <c r="E36" i="3"/>
  <c r="E47" i="3"/>
  <c r="F32" i="3"/>
  <c r="F38" i="3"/>
  <c r="F24" i="3"/>
  <c r="E46" i="3"/>
  <c r="F52" i="3"/>
  <c r="D60" i="3"/>
  <c r="F61" i="3"/>
  <c r="E29" i="3"/>
  <c r="F8" i="3"/>
  <c r="F68" i="3"/>
  <c r="F20" i="3"/>
  <c r="F53" i="3"/>
  <c r="F6" i="3"/>
  <c r="E55" i="3"/>
  <c r="E42" i="3"/>
  <c r="E32" i="3"/>
  <c r="D36" i="3"/>
  <c r="F12" i="3"/>
  <c r="F43" i="3"/>
  <c r="E2" i="3"/>
  <c r="F40" i="3"/>
  <c r="D53" i="3"/>
  <c r="F25" i="3"/>
  <c r="E22" i="3"/>
  <c r="F29" i="3"/>
  <c r="F3" i="3"/>
  <c r="F63" i="3"/>
  <c r="D38" i="3"/>
  <c r="F55" i="3"/>
  <c r="E14" i="3"/>
  <c r="D32" i="3"/>
  <c r="E15" i="3"/>
  <c r="D69" i="3"/>
  <c r="E50" i="3"/>
  <c r="E51" i="3"/>
  <c r="D58" i="3"/>
  <c r="D44" i="3"/>
  <c r="E10" i="3"/>
  <c r="E54" i="3"/>
  <c r="E35" i="3"/>
  <c r="E11" i="3"/>
  <c r="D2" i="3"/>
  <c r="D12" i="3"/>
  <c r="E57" i="3"/>
  <c r="F67" i="3"/>
  <c r="D35" i="3"/>
  <c r="F42" i="3"/>
  <c r="F2" i="3"/>
  <c r="E56" i="3"/>
  <c r="F65" i="3"/>
  <c r="D20" i="3"/>
  <c r="F13" i="3"/>
  <c r="F36" i="3"/>
  <c r="F22" i="3"/>
  <c r="F37" i="3"/>
  <c r="D52" i="3"/>
  <c r="D19" i="3"/>
  <c r="D24" i="3"/>
  <c r="E44" i="3"/>
  <c r="E67" i="3"/>
  <c r="D48" i="3"/>
  <c r="E27" i="3"/>
  <c r="E31" i="3"/>
  <c r="E59" i="3"/>
  <c r="E21" i="3"/>
  <c r="D6" i="3"/>
  <c r="E48" i="3"/>
  <c r="D10" i="3"/>
  <c r="E68" i="3"/>
  <c r="D27" i="3"/>
  <c r="D3" i="3"/>
  <c r="D57" i="3"/>
  <c r="D15" i="3"/>
  <c r="D59" i="3"/>
  <c r="E9" i="3"/>
  <c r="E6" i="3"/>
  <c r="E23" i="3"/>
  <c r="D8" i="3"/>
  <c r="E12" i="3"/>
  <c r="E43" i="3"/>
  <c r="E65" i="3"/>
  <c r="D49" i="3"/>
  <c r="E8" i="3"/>
  <c r="D17" i="3"/>
  <c r="E37" i="3"/>
  <c r="D21" i="3"/>
  <c r="D18" i="3"/>
  <c r="D40" i="3"/>
  <c r="D65" i="3"/>
  <c r="D33" i="3"/>
  <c r="D51" i="3"/>
  <c r="D4" i="3"/>
  <c r="D42" i="3"/>
  <c r="D31" i="3"/>
  <c r="D37" i="3"/>
  <c r="D54" i="3"/>
  <c r="D62" i="3"/>
  <c r="E61" i="3"/>
  <c r="E60" i="3"/>
  <c r="E66" i="3"/>
  <c r="D7" i="3"/>
  <c r="E69" i="3"/>
  <c r="E62" i="3"/>
  <c r="E18" i="3"/>
  <c r="E28" i="3"/>
  <c r="D63" i="3"/>
  <c r="E7" i="3"/>
  <c r="D67" i="3"/>
  <c r="E58" i="3"/>
  <c r="D68" i="3"/>
  <c r="D56" i="3"/>
  <c r="D28" i="3"/>
  <c r="D13" i="3"/>
  <c r="D30" i="3"/>
  <c r="E49" i="3"/>
  <c r="E25" i="3"/>
  <c r="E53" i="3"/>
  <c r="E64" i="3"/>
  <c r="D16" i="3"/>
  <c r="E34" i="3"/>
  <c r="E30" i="3"/>
  <c r="E52" i="3"/>
  <c r="D55" i="3"/>
  <c r="E16" i="3"/>
  <c r="D66" i="3"/>
  <c r="E3" i="3"/>
  <c r="D43" i="3"/>
  <c r="D5" i="3"/>
  <c r="D46" i="3"/>
  <c r="D11" i="3"/>
  <c r="D61" i="3"/>
  <c r="E13" i="3"/>
  <c r="E20" i="3"/>
  <c r="E17" i="3"/>
  <c r="D41" i="3"/>
  <c r="E38" i="3"/>
  <c r="E24" i="3"/>
  <c r="E40" i="3"/>
  <c r="D26" i="3"/>
  <c r="E41" i="3"/>
  <c r="D64" i="3"/>
  <c r="E19" i="3"/>
  <c r="D9" i="3"/>
  <c r="D45" i="3"/>
  <c r="D25" i="3"/>
  <c r="Q31" i="2"/>
  <c r="Q55" i="2"/>
  <c r="Q22" i="2"/>
  <c r="Q38" i="2"/>
  <c r="Y55" i="2"/>
  <c r="Q23" i="2"/>
  <c r="V23" i="2"/>
  <c r="S68" i="2"/>
  <c r="Q68" i="2"/>
  <c r="Q40" i="2"/>
  <c r="S40" i="2"/>
  <c r="S27" i="2"/>
  <c r="Q27" i="2"/>
  <c r="S33" i="2"/>
  <c r="Q33" i="2"/>
  <c r="S25" i="2"/>
  <c r="Q25" i="2"/>
  <c r="Y31" i="2"/>
  <c r="Y22" i="2"/>
  <c r="Q60" i="2"/>
  <c r="S60" i="2"/>
  <c r="Q17" i="2"/>
  <c r="V17" i="2"/>
  <c r="Q56" i="2"/>
  <c r="U56" i="2"/>
  <c r="Q5" i="2"/>
  <c r="Q61" i="2"/>
  <c r="Q57" i="2"/>
  <c r="V57" i="2"/>
  <c r="S59" i="2"/>
  <c r="Q59" i="2"/>
  <c r="S65" i="2"/>
  <c r="Q65" i="2"/>
  <c r="Q54" i="2"/>
  <c r="Q50" i="2"/>
  <c r="V50" i="2"/>
  <c r="Q49" i="2"/>
  <c r="V49" i="2"/>
  <c r="Q16" i="2"/>
  <c r="S44" i="2"/>
  <c r="Q44" i="2"/>
  <c r="S51" i="2"/>
  <c r="Q51" i="2"/>
  <c r="Q21" i="2"/>
  <c r="Q26" i="2"/>
  <c r="Q18" i="2"/>
  <c r="V18" i="2"/>
  <c r="S32" i="2"/>
  <c r="Q32" i="2"/>
  <c r="S19" i="2"/>
  <c r="Q19" i="2"/>
  <c r="S11" i="2"/>
  <c r="Q11" i="2"/>
  <c r="Q63" i="2"/>
  <c r="V63" i="2"/>
  <c r="S67" i="2"/>
  <c r="Q67" i="2"/>
  <c r="S3" i="2"/>
  <c r="Q3" i="2"/>
  <c r="Q2" i="2"/>
  <c r="Q58" i="2"/>
  <c r="V58" i="2"/>
  <c r="Q24" i="2"/>
  <c r="U24" i="2"/>
  <c r="Q4" i="2"/>
  <c r="Q10" i="2"/>
  <c r="Q62" i="2"/>
  <c r="Q39" i="2"/>
  <c r="V39" i="2"/>
  <c r="Q15" i="2"/>
  <c r="Q64" i="2"/>
  <c r="S36" i="2"/>
  <c r="Q36" i="2"/>
  <c r="S43" i="2"/>
  <c r="Q43" i="2"/>
  <c r="Q53" i="2"/>
  <c r="S53" i="2"/>
  <c r="Q30" i="2"/>
  <c r="Q6" i="2"/>
  <c r="V6" i="2"/>
  <c r="Q13" i="2"/>
  <c r="T13" i="2"/>
  <c r="Q45" i="2"/>
  <c r="S47" i="2"/>
  <c r="Q47" i="2"/>
  <c r="Q46" i="2"/>
  <c r="Q29" i="2"/>
  <c r="S29" i="2"/>
  <c r="S69" i="2"/>
  <c r="Q69" i="2"/>
  <c r="S8" i="2"/>
  <c r="Q8" i="2"/>
  <c r="S66" i="2"/>
  <c r="Q66" i="2"/>
  <c r="Q9" i="2"/>
  <c r="Q12" i="2"/>
  <c r="Q7" i="2"/>
  <c r="Q14" i="2"/>
  <c r="Q20" i="2"/>
  <c r="V20" i="2"/>
  <c r="Q34" i="2"/>
  <c r="V34" i="2"/>
  <c r="S52" i="2"/>
  <c r="Q52" i="2"/>
  <c r="S48" i="2"/>
  <c r="Q48" i="2"/>
  <c r="Q28" i="2"/>
  <c r="S28" i="2"/>
  <c r="S35" i="2"/>
  <c r="Q35" i="2"/>
  <c r="S42" i="2"/>
  <c r="Q42" i="2"/>
  <c r="Q41" i="2"/>
  <c r="S41" i="2"/>
  <c r="Q37" i="2"/>
  <c r="R38" i="2" l="1"/>
  <c r="R55" i="2"/>
  <c r="R22" i="2"/>
  <c r="R31" i="2"/>
  <c r="Y38" i="2"/>
  <c r="R67" i="2"/>
  <c r="Y67" i="2"/>
  <c r="Y7" i="2"/>
  <c r="R7" i="2"/>
  <c r="R36" i="2"/>
  <c r="Y36" i="2"/>
  <c r="R51" i="2"/>
  <c r="Y51" i="2"/>
  <c r="R52" i="2"/>
  <c r="Y52" i="2"/>
  <c r="R54" i="2"/>
  <c r="Y54" i="2"/>
  <c r="Y6" i="2"/>
  <c r="R6" i="2"/>
  <c r="R65" i="2"/>
  <c r="Y65" i="2"/>
  <c r="R35" i="2"/>
  <c r="Y35" i="2"/>
  <c r="R30" i="2"/>
  <c r="Y30" i="2"/>
  <c r="Y40" i="2"/>
  <c r="R40" i="2"/>
  <c r="R41" i="2"/>
  <c r="Y41" i="2"/>
  <c r="R13" i="2"/>
  <c r="Y13" i="2"/>
  <c r="R19" i="2"/>
  <c r="Y19" i="2"/>
  <c r="R61" i="2"/>
  <c r="Y61" i="2"/>
  <c r="R42" i="2"/>
  <c r="Y42" i="2"/>
  <c r="R12" i="2"/>
  <c r="Y12" i="2"/>
  <c r="R29" i="2"/>
  <c r="Y29" i="2"/>
  <c r="Y24" i="2"/>
  <c r="R24" i="2"/>
  <c r="R44" i="2"/>
  <c r="Y44" i="2"/>
  <c r="Y15" i="2"/>
  <c r="R15" i="2"/>
  <c r="R34" i="2"/>
  <c r="Y34" i="2"/>
  <c r="Y16" i="2"/>
  <c r="R16" i="2"/>
  <c r="R59" i="2"/>
  <c r="Y59" i="2"/>
  <c r="R25" i="2"/>
  <c r="Y25" i="2"/>
  <c r="R68" i="2"/>
  <c r="Y68" i="2"/>
  <c r="R66" i="2"/>
  <c r="Y66" i="2"/>
  <c r="Y47" i="2"/>
  <c r="R47" i="2"/>
  <c r="R58" i="2"/>
  <c r="Y58" i="2"/>
  <c r="R53" i="2"/>
  <c r="Y53" i="2"/>
  <c r="Y39" i="2"/>
  <c r="R39" i="2"/>
  <c r="Y2" i="2"/>
  <c r="Y4" i="2"/>
  <c r="R4" i="2"/>
  <c r="R50" i="2"/>
  <c r="Y50" i="2"/>
  <c r="R27" i="2"/>
  <c r="Y27" i="2"/>
  <c r="Y5" i="2"/>
  <c r="R5" i="2"/>
  <c r="R9" i="2"/>
  <c r="Y9" i="2"/>
  <c r="Y64" i="2"/>
  <c r="R64" i="2"/>
  <c r="Y32" i="2"/>
  <c r="R32" i="2"/>
  <c r="R46" i="2"/>
  <c r="Y46" i="2"/>
  <c r="Y63" i="2"/>
  <c r="R63" i="2"/>
  <c r="Y56" i="2"/>
  <c r="R56" i="2"/>
  <c r="Y8" i="2"/>
  <c r="R8" i="2"/>
  <c r="R3" i="2"/>
  <c r="Y3" i="2"/>
  <c r="R26" i="2"/>
  <c r="Y26" i="2"/>
  <c r="R33" i="2"/>
  <c r="Y33" i="2"/>
  <c r="R18" i="2"/>
  <c r="Y18" i="2"/>
  <c r="R17" i="2"/>
  <c r="Y17" i="2"/>
  <c r="R37" i="2"/>
  <c r="Y37" i="2"/>
  <c r="R28" i="2"/>
  <c r="Y28" i="2"/>
  <c r="R20" i="2"/>
  <c r="Y20" i="2"/>
  <c r="R45" i="2"/>
  <c r="Y45" i="2"/>
  <c r="R43" i="2"/>
  <c r="Y43" i="2"/>
  <c r="R62" i="2"/>
  <c r="Y62" i="2"/>
  <c r="R11" i="2"/>
  <c r="Y11" i="2"/>
  <c r="R49" i="2"/>
  <c r="Y49" i="2"/>
  <c r="Y48" i="2"/>
  <c r="R48" i="2"/>
  <c r="R14" i="2"/>
  <c r="Y14" i="2"/>
  <c r="R69" i="2"/>
  <c r="Y69" i="2"/>
  <c r="R10" i="2"/>
  <c r="Y10" i="2"/>
  <c r="R21" i="2"/>
  <c r="Y21" i="2"/>
  <c r="R57" i="2"/>
  <c r="Y57" i="2"/>
  <c r="R60" i="2"/>
  <c r="Y60" i="2"/>
  <c r="Y23" i="2"/>
  <c r="R23" i="2"/>
</calcChain>
</file>

<file path=xl/sharedStrings.xml><?xml version="1.0" encoding="utf-8"?>
<sst xmlns="http://schemas.openxmlformats.org/spreadsheetml/2006/main" count="158" uniqueCount="68">
  <si>
    <t>Two Session Eccentric traininhg Group</t>
  </si>
  <si>
    <t>Date of birth</t>
  </si>
  <si>
    <t>Chronological age</t>
  </si>
  <si>
    <t>Body-MASS</t>
  </si>
  <si>
    <t>Height</t>
  </si>
  <si>
    <t>Maturity-offset</t>
  </si>
  <si>
    <t>APHV</t>
  </si>
  <si>
    <t>S5</t>
  </si>
  <si>
    <t>S10</t>
  </si>
  <si>
    <t>CoD</t>
  </si>
  <si>
    <t>Agility</t>
  </si>
  <si>
    <t>CMJ</t>
  </si>
  <si>
    <t>SLJ</t>
  </si>
  <si>
    <t>One Session Eccentric Training Group</t>
  </si>
  <si>
    <t>Athlete_ID</t>
  </si>
  <si>
    <t>AVG</t>
  </si>
  <si>
    <t>SD</t>
  </si>
  <si>
    <t>Z_S5</t>
  </si>
  <si>
    <t>Z_S10</t>
  </si>
  <si>
    <t>Z_CoD</t>
  </si>
  <si>
    <t>Z_Agility</t>
  </si>
  <si>
    <t>Z_CMJ</t>
  </si>
  <si>
    <t>Z_SLJ</t>
  </si>
  <si>
    <t>Rank</t>
  </si>
  <si>
    <t>Z_TSA</t>
  </si>
  <si>
    <t>t_S5</t>
  </si>
  <si>
    <t>t_S10</t>
  </si>
  <si>
    <t>t_CoD</t>
  </si>
  <si>
    <t>t_Agility</t>
  </si>
  <si>
    <t>t_CMJ</t>
  </si>
  <si>
    <t>t_SLJ</t>
  </si>
  <si>
    <t>t_TSA</t>
  </si>
  <si>
    <t>Percentage</t>
  </si>
  <si>
    <t>Z_Speed</t>
  </si>
  <si>
    <t>Z_Combo_Agility</t>
  </si>
  <si>
    <t>Z_Power</t>
  </si>
  <si>
    <t>Rank_TSA</t>
  </si>
  <si>
    <t>Low</t>
  </si>
  <si>
    <t>Mid</t>
  </si>
  <si>
    <t>High</t>
  </si>
  <si>
    <t>Percentage_Cutoffs</t>
  </si>
  <si>
    <t>Athlete</t>
  </si>
  <si>
    <t>5m Sprint (sec)</t>
  </si>
  <si>
    <t>10m Sprint (sec)</t>
  </si>
  <si>
    <t>5-0-5 CoD (sec)</t>
  </si>
  <si>
    <t>Y-agility (sec)</t>
  </si>
  <si>
    <t>CMJ (in)</t>
  </si>
  <si>
    <t>SLJ (yds)</t>
  </si>
  <si>
    <t>TSA</t>
  </si>
  <si>
    <t>Rank_S5</t>
  </si>
  <si>
    <t>Rank_S10</t>
  </si>
  <si>
    <t>Rank_CoD</t>
  </si>
  <si>
    <t>Rank_Agility</t>
  </si>
  <si>
    <t>Rank_CMJ</t>
  </si>
  <si>
    <t>Rank_SLJ</t>
  </si>
  <si>
    <t>Athlete Profile</t>
  </si>
  <si>
    <t>Average</t>
  </si>
  <si>
    <t>Max</t>
  </si>
  <si>
    <t>Min</t>
  </si>
  <si>
    <t>Z-Score</t>
  </si>
  <si>
    <t>Test</t>
  </si>
  <si>
    <t>Speed</t>
  </si>
  <si>
    <t>Y-Agility</t>
  </si>
  <si>
    <t>Power</t>
  </si>
  <si>
    <t>Team Profile</t>
  </si>
  <si>
    <t>Athlete Profile Comparison</t>
  </si>
  <si>
    <t>Z-Score Athlete 1</t>
  </si>
  <si>
    <t>Z-Score Athlete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</si>
</sst>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14" fontId="1" fillId="0" borderId="4" xfId="0" applyNumberFormat="1" applyFont="1" applyBorder="1" applyAlignment="1">
      <alignment horizontal="center"/>
    </xf>
    <xf numFmtId="2" fontId="4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14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/>
    <xf numFmtId="2" fontId="5" fillId="3" borderId="5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0" xfId="0" applyFont="1" applyFill="1"/>
    <xf numFmtId="2" fontId="4" fillId="0" borderId="0" xfId="0" applyNumberFormat="1" applyFont="1"/>
    <xf numFmtId="0" fontId="8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4" xfId="0" applyBorder="1"/>
    <xf numFmtId="0" fontId="8" fillId="0" borderId="4" xfId="0" applyFont="1" applyBorder="1"/>
    <xf numFmtId="0" fontId="1" fillId="0" borderId="5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5" xfId="0" applyBorder="1"/>
    <xf numFmtId="0" fontId="10" fillId="0" borderId="0" xfId="0" applyFont="1" applyAlignment="1">
      <alignment horizontal="center"/>
    </xf>
    <xf numFmtId="0" fontId="12" fillId="0" borderId="4" xfId="0" applyFont="1" applyBorder="1"/>
    <xf numFmtId="0" fontId="11" fillId="0" borderId="5" xfId="0" applyFont="1" applyBorder="1"/>
    <xf numFmtId="0" fontId="11" fillId="0" borderId="2" xfId="0" applyFont="1" applyBorder="1"/>
    <xf numFmtId="2" fontId="11" fillId="0" borderId="2" xfId="0" applyNumberFormat="1" applyFont="1" applyBorder="1"/>
    <xf numFmtId="0" fontId="11" fillId="0" borderId="4" xfId="0" applyFont="1" applyBorder="1"/>
    <xf numFmtId="2" fontId="11" fillId="0" borderId="4" xfId="0" applyNumberFormat="1" applyFont="1" applyBorder="1"/>
    <xf numFmtId="0" fontId="2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41100"/>
      <color rgb="FFC445BE"/>
      <color rgb="FFE2D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Total Score of Athleticism</a:t>
            </a:r>
            <a:r>
              <a:rPr lang="en-US" sz="1800" b="1" i="0" baseline="0"/>
              <a:t> (TSA)</a:t>
            </a:r>
            <a:endParaRPr lang="en-US" sz="18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TSA_Chart!$D$1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TSA_Chart!$D$2:$D$69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-0.30202515928075024</c:v>
                </c:pt>
                <c:pt idx="46">
                  <c:v>-0.33512373402707402</c:v>
                </c:pt>
                <c:pt idx="47">
                  <c:v>-0.3691605627390917</c:v>
                </c:pt>
                <c:pt idx="48">
                  <c:v>-0.40810777741523274</c:v>
                </c:pt>
                <c:pt idx="49">
                  <c:v>-0.44381694896653473</c:v>
                </c:pt>
                <c:pt idx="50">
                  <c:v>-0.45647041412121292</c:v>
                </c:pt>
                <c:pt idx="51">
                  <c:v>-0.49132233309197965</c:v>
                </c:pt>
                <c:pt idx="52">
                  <c:v>-0.60954334755389761</c:v>
                </c:pt>
                <c:pt idx="53">
                  <c:v>-0.61373313200529367</c:v>
                </c:pt>
                <c:pt idx="54">
                  <c:v>-0.61949503952656615</c:v>
                </c:pt>
                <c:pt idx="55">
                  <c:v>-0.67071666861487444</c:v>
                </c:pt>
                <c:pt idx="56">
                  <c:v>-0.67212863287545099</c:v>
                </c:pt>
                <c:pt idx="57">
                  <c:v>-0.71524974078961967</c:v>
                </c:pt>
                <c:pt idx="58">
                  <c:v>-0.76780414434840027</c:v>
                </c:pt>
                <c:pt idx="59">
                  <c:v>-0.79868411436490372</c:v>
                </c:pt>
                <c:pt idx="60">
                  <c:v>-0.80761089921133444</c:v>
                </c:pt>
                <c:pt idx="61">
                  <c:v>-0.90412244306867517</c:v>
                </c:pt>
                <c:pt idx="62">
                  <c:v>-0.94881607811904412</c:v>
                </c:pt>
                <c:pt idx="63">
                  <c:v>-1.1266896847311796</c:v>
                </c:pt>
                <c:pt idx="64">
                  <c:v>-1.1423711897431661</c:v>
                </c:pt>
                <c:pt idx="65">
                  <c:v>-1.2487435582665745</c:v>
                </c:pt>
                <c:pt idx="66">
                  <c:v>-1.7758190295433505</c:v>
                </c:pt>
                <c:pt idx="67">
                  <c:v>-1.9601929067867685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6E41-B869-0FE1CBACF7E6}"/>
            </c:ext>
          </c:extLst>
        </c:ser>
        <c:ser>
          <c:idx val="1"/>
          <c:order val="1"/>
          <c:tx>
            <c:strRef>
              <c:f>TSA_Chart!$E$1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rgbClr val="E2DF12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TSA_Chart!$E$2:$E$69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0.35218208564661946</c:v>
                </c:pt>
                <c:pt idx="24">
                  <c:v>0.25955914933985852</c:v>
                </c:pt>
                <c:pt idx="25">
                  <c:v>0.21377371402506096</c:v>
                </c:pt>
                <c:pt idx="26">
                  <c:v>0.18206647721370234</c:v>
                </c:pt>
                <c:pt idx="27">
                  <c:v>0.11500765755864795</c:v>
                </c:pt>
                <c:pt idx="28">
                  <c:v>8.1529623599538081E-2</c:v>
                </c:pt>
                <c:pt idx="29">
                  <c:v>3.0137409619702529E-2</c:v>
                </c:pt>
                <c:pt idx="30">
                  <c:v>2.7749018530841052E-2</c:v>
                </c:pt>
                <c:pt idx="31">
                  <c:v>-1.9205893475324254E-2</c:v>
                </c:pt>
                <c:pt idx="32">
                  <c:v>-2.0380708979643683E-2</c:v>
                </c:pt>
                <c:pt idx="33">
                  <c:v>-3.3661971224411703E-2</c:v>
                </c:pt>
                <c:pt idx="34">
                  <c:v>-4.7835060902929744E-2</c:v>
                </c:pt>
                <c:pt idx="35">
                  <c:v>-5.2544020897447738E-2</c:v>
                </c:pt>
                <c:pt idx="36">
                  <c:v>-6.6339953829958581E-2</c:v>
                </c:pt>
                <c:pt idx="37">
                  <c:v>-9.008725761074475E-2</c:v>
                </c:pt>
                <c:pt idx="38">
                  <c:v>-9.9990824729217415E-2</c:v>
                </c:pt>
                <c:pt idx="39">
                  <c:v>-0.12663196328091725</c:v>
                </c:pt>
                <c:pt idx="40">
                  <c:v>-0.17678830686423219</c:v>
                </c:pt>
                <c:pt idx="41">
                  <c:v>-0.19021799405606699</c:v>
                </c:pt>
                <c:pt idx="42">
                  <c:v>-0.2605915464233734</c:v>
                </c:pt>
                <c:pt idx="43">
                  <c:v>-0.2621778596358546</c:v>
                </c:pt>
                <c:pt idx="44">
                  <c:v>-0.29255942998801399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6E41-B869-0FE1CBACF7E6}"/>
            </c:ext>
          </c:extLst>
        </c:ser>
        <c:ser>
          <c:idx val="2"/>
          <c:order val="2"/>
          <c:tx>
            <c:strRef>
              <c:f>TSA_Chart!$F$1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TSA_Chart!$F$2:$F$69</c:f>
              <c:numCache>
                <c:formatCode>General</c:formatCode>
                <c:ptCount val="68"/>
                <c:pt idx="0">
                  <c:v>1.751134847913725</c:v>
                </c:pt>
                <c:pt idx="1">
                  <c:v>1.489552387772701</c:v>
                </c:pt>
                <c:pt idx="2">
                  <c:v>1.2020387558700705</c:v>
                </c:pt>
                <c:pt idx="3">
                  <c:v>1.1402521173745346</c:v>
                </c:pt>
                <c:pt idx="4">
                  <c:v>1.0869758951398785</c:v>
                </c:pt>
                <c:pt idx="5">
                  <c:v>0.99940535550890863</c:v>
                </c:pt>
                <c:pt idx="6">
                  <c:v>0.76584424992588029</c:v>
                </c:pt>
                <c:pt idx="7">
                  <c:v>0.7656673968226323</c:v>
                </c:pt>
                <c:pt idx="8">
                  <c:v>0.76070896127284415</c:v>
                </c:pt>
                <c:pt idx="9">
                  <c:v>0.75183100489159671</c:v>
                </c:pt>
                <c:pt idx="10">
                  <c:v>0.75050288940994114</c:v>
                </c:pt>
                <c:pt idx="11">
                  <c:v>0.73149091768758501</c:v>
                </c:pt>
                <c:pt idx="12">
                  <c:v>0.71518173107748106</c:v>
                </c:pt>
                <c:pt idx="13">
                  <c:v>0.71354373694593876</c:v>
                </c:pt>
                <c:pt idx="14">
                  <c:v>0.70297376409122181</c:v>
                </c:pt>
                <c:pt idx="15">
                  <c:v>0.68981865537899845</c:v>
                </c:pt>
                <c:pt idx="16">
                  <c:v>0.59899149661204754</c:v>
                </c:pt>
                <c:pt idx="17">
                  <c:v>0.59677545765900786</c:v>
                </c:pt>
                <c:pt idx="18">
                  <c:v>0.58189098738822564</c:v>
                </c:pt>
                <c:pt idx="19">
                  <c:v>0.52256140901869785</c:v>
                </c:pt>
                <c:pt idx="20">
                  <c:v>0.49586177899278283</c:v>
                </c:pt>
                <c:pt idx="21">
                  <c:v>0.44392179396747816</c:v>
                </c:pt>
                <c:pt idx="22">
                  <c:v>0.40782960483295627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2-6E41-B869-0FE1CBAC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38"/>
        <c:axId val="1320272400"/>
        <c:axId val="1665340784"/>
      </c:barChart>
      <c:catAx>
        <c:axId val="132027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>
              <a:lumMod val="75000"/>
              <a:lumOff val="2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40784"/>
        <c:crosses val="autoZero"/>
        <c:auto val="1"/>
        <c:lblAlgn val="ctr"/>
        <c:lblOffset val="100"/>
        <c:noMultiLvlLbl val="0"/>
      </c:catAx>
      <c:valAx>
        <c:axId val="1665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/>
                  <a:t>TSA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Compents of Athleticism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'Athlete Comparison Data'!$J$3</c:f>
              <c:strCache>
                <c:ptCount val="1"/>
                <c:pt idx="0">
                  <c:v>Z-Score Athlete 1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5ED-0842-A4AA-31029B6E140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ED-0842-A4AA-31029B6E1405}"/>
              </c:ext>
            </c:extLst>
          </c:dPt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Data'!$M$3,'Athlete Comparison Data'!$P$3,'Athlete Comparison Data'!$S$3,'Athlete Comparison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0842-A4AA-31029B6E1405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Data'!$M$4,'Athlete Comparison Data'!$P$4,'Athlete Comparison Data'!$S$4,'Athlete Comparison Data'!$T$4)</c:f>
              <c:numCache>
                <c:formatCode>0.00</c:formatCode>
                <c:ptCount val="4"/>
                <c:pt idx="0">
                  <c:v>0.31025762726711759</c:v>
                </c:pt>
                <c:pt idx="1">
                  <c:v>-0.20464951178366747</c:v>
                </c:pt>
                <c:pt idx="2">
                  <c:v>-3.7862534746365008E-2</c:v>
                </c:pt>
                <c:pt idx="3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0842-A4AA-31029B6E1405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Data'!$M$5,'Athlete Comparison Data'!$P$5,'Athlete Comparison Data'!$S$5,'Athlete Comparison Data'!$T$5)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D-0842-A4AA-31029B6E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7008"/>
        <c:axId val="1710726288"/>
      </c:radarChart>
      <c:catAx>
        <c:axId val="658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6288"/>
        <c:crosses val="autoZero"/>
        <c:auto val="1"/>
        <c:lblAlgn val="ctr"/>
        <c:lblOffset val="100"/>
        <c:noMultiLvlLbl val="0"/>
      </c:catAx>
      <c:valAx>
        <c:axId val="1710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Athlete Profile - Individual</a:t>
            </a:r>
            <a:r>
              <a:rPr lang="en-US" sz="1800" b="1" baseline="0"/>
              <a:t>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08-4B44-A3E9-E43F9C9B9A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8-4B44-A3E9-E43F9C9B9AE8}"/>
              </c:ext>
            </c:extLst>
          </c:dPt>
          <c:dPt>
            <c:idx val="4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8-4B44-A3E9-E43F9C9B9AE8}"/>
              </c:ext>
            </c:extLst>
          </c:dPt>
          <c:dPt>
            <c:idx val="5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8-4B44-A3E9-E43F9C9B9AE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8-4B44-A3E9-E43F9C9B9AE8}"/>
              </c:ext>
            </c:extLst>
          </c:dPt>
          <c:dPt>
            <c:idx val="7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8-4B44-A3E9-E43F9C9B9AE8}"/>
              </c:ext>
            </c:extLst>
          </c:dPt>
          <c:dPt>
            <c:idx val="8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08-4B44-A3E9-E43F9C9B9AE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08-4B44-A3E9-E43F9C9B9AE8}"/>
              </c:ext>
            </c:extLst>
          </c:dPt>
          <c:cat>
            <c:strRef>
              <c:f>('Athlete Dashboard Data'!$K$2,'Athlete Dashboard Data'!$L$2,'Athlete Dashboard Data'!$N$2,'Athlete Dashboard Data'!$O$2,'Athlete Dashboard Data'!$Q$2,'Athlete Dashboard Data'!$R$2,'Athlete Dashboard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Dashboard Data'!$K$3,'Athlete Dashboard Data'!$L$3,'Athlete Dashboard Data'!$N$3,'Athlete Dashboard Data'!$O$3,'Athlete Dashboard Data'!$Q$3,'Athlete Dashboard Data'!$R$3,'Athlete Dashboard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08-4B44-A3E9-E43F9C9B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469312"/>
        <c:axId val="1922136080"/>
      </c:barChart>
      <c:catAx>
        <c:axId val="21224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36080"/>
        <c:crosses val="autoZero"/>
        <c:auto val="1"/>
        <c:lblAlgn val="ctr"/>
        <c:lblOffset val="100"/>
        <c:noMultiLvlLbl val="0"/>
      </c:catAx>
      <c:valAx>
        <c:axId val="19221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Standardized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Individual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Athlete Score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9A-2842-BB76-9611647BD63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9A-2842-BB76-9611647BD63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9A-2842-BB76-9611647BD63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9A-2842-BB76-9611647BD63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9A-2842-BB76-9611647BD638}"/>
              </c:ext>
            </c:extLst>
          </c:dPt>
          <c:cat>
            <c:strRef>
              <c:f>('Athlete Dashboard Data'!$K$2:$L$2,'Athlete Dashboard Data'!$N$2:$O$2,'Athlete Dashboard Data'!$Q$2:$R$2,'Athlete Dashboard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Dashboard Data'!$K$3:$L$3,'Athlete Dashboard Data'!$N$3:$O$3,'Athlete Dashboard Data'!$Q$3:$R$3,'Athlete Dashboard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A-2842-BB76-9611647BD638}"/>
            </c:ext>
          </c:extLst>
        </c:ser>
        <c:ser>
          <c:idx val="1"/>
          <c:order val="1"/>
          <c:tx>
            <c:v>Team Average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Dashboard Data'!$K$2:$L$2,'Athlete Dashboard Data'!$N$2:$O$2,'Athlete Dashboard Data'!$Q$2:$R$2,'Athlete Dashboard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Dashboard Data'!$K$4:$L$4,'Athlete Dashboard Data'!$N$4:$O$4,'Athlete Dashboard Data'!$Q$4:$R$4,'Athlete Dashboard Data'!$T$4)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A-2842-BB76-9611647B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512"/>
        <c:axId val="2123290160"/>
      </c:radarChart>
      <c:catAx>
        <c:axId val="1922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160"/>
        <c:crosses val="autoZero"/>
        <c:auto val="1"/>
        <c:lblAlgn val="ctr"/>
        <c:lblOffset val="100"/>
        <c:noMultiLvlLbl val="0"/>
      </c:catAx>
      <c:valAx>
        <c:axId val="2123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Components of Athleticism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Athlete Score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91-C04E-AF22-9E88486845A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91-C04E-AF22-9E88486845A0}"/>
              </c:ext>
            </c:extLst>
          </c:dPt>
          <c:cat>
            <c:strRef>
              <c:f>('Athlete Dashboard Data'!$M$2,'Athlete Dashboard Data'!$P$2,'Athlete Dashboard Data'!$S$2,'Athlete Dashboard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Dashboard Data'!$M$3,'Athlete Dashboard Data'!$P$3,'Athlete Dashboard Data'!$S$3,'Athlete Dashboard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1-C04E-AF22-9E88486845A0}"/>
            </c:ext>
          </c:extLst>
        </c:ser>
        <c:ser>
          <c:idx val="1"/>
          <c:order val="1"/>
          <c:tx>
            <c:v>Team Average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Dashboard Data'!$M$2,'Athlete Dashboard Data'!$P$2,'Athlete Dashboard Data'!$S$2,'Athlete Dashboard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Dashboard Data'!$M$4,'Athlete Dashboard Data'!$P$4,'Athlete Dashboard Data'!$S$4,'Athlete Dashboard Data'!$T$4)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1-C04E-AF22-9E884868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7008"/>
        <c:axId val="1710726288"/>
      </c:radarChart>
      <c:catAx>
        <c:axId val="658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6288"/>
        <c:crosses val="autoZero"/>
        <c:auto val="1"/>
        <c:lblAlgn val="ctr"/>
        <c:lblOffset val="100"/>
        <c:noMultiLvlLbl val="0"/>
      </c:catAx>
      <c:valAx>
        <c:axId val="1710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Athlete Profile</a:t>
            </a:r>
            <a:r>
              <a:rPr lang="en-US" sz="1800" b="1" baseline="0"/>
              <a:t> - Components of Athleticism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B-C342-B882-B065F7BD7F20}"/>
              </c:ext>
            </c:extLst>
          </c:dPt>
          <c:dPt>
            <c:idx val="2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EB-C342-B882-B065F7BD7F2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B-C342-B882-B065F7BD7F20}"/>
              </c:ext>
            </c:extLst>
          </c:dPt>
          <c:cat>
            <c:strRef>
              <c:f>('Athlete Dashboard Data'!$M$2,'Athlete Dashboard Data'!$P$2,'Athlete Dashboard Data'!$S$2,'Athlete Dashboard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Dashboard Data'!$M$3,'Athlete Dashboard Data'!$P$3,'Athlete Dashboard Data'!$S$3,'Athlete Dashboard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B-C342-B882-B065F7BD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86160"/>
        <c:axId val="1950491856"/>
      </c:barChart>
      <c:catAx>
        <c:axId val="195108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/>
                  <a:t>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1856"/>
        <c:crosses val="autoZero"/>
        <c:auto val="1"/>
        <c:lblAlgn val="ctr"/>
        <c:lblOffset val="100"/>
        <c:noMultiLvlLbl val="0"/>
      </c:catAx>
      <c:valAx>
        <c:axId val="19504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Standardized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Comparison - Individual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Z-Score Athlete 1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1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31-3A44-8209-C9DEC37B9E2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331-3A44-8209-C9DEC37B9E2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331-3A44-8209-C9DEC37B9E2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31-3A44-8209-C9DEC37B9E2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31-3A44-8209-C9DEC37B9E20}"/>
              </c:ext>
            </c:extLst>
          </c:dPt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Data'!$K$3,'Athlete Comparison Data'!$L$3,'Athlete Comparison Data'!$N$3,'Athlete Comparison Data'!$O$3,'Athlete Comparison Data'!$Q$3,'Athlete Comparison Data'!$R$3,'Athlete Comparison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1-3A44-8209-C9DEC37B9E20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Data'!$K$4,'Athlete Comparison Data'!$L$4,'Athlete Comparison Data'!$N$4,'Athlete Comparison Data'!$O$4,'Athlete Comparison Data'!$Q$4,'Athlete Comparison Data'!$R$4,'Athlete Comparison Data'!$T$4)</c:f>
              <c:numCache>
                <c:formatCode>0.00</c:formatCode>
                <c:ptCount val="7"/>
                <c:pt idx="0">
                  <c:v>0.29472352608737479</c:v>
                </c:pt>
                <c:pt idx="1">
                  <c:v>0.32579172844686044</c:v>
                </c:pt>
                <c:pt idx="2">
                  <c:v>0.70317443240144761</c:v>
                </c:pt>
                <c:pt idx="3">
                  <c:v>-1.1124734559687826</c:v>
                </c:pt>
                <c:pt idx="4">
                  <c:v>-7.6993101743733874E-2</c:v>
                </c:pt>
                <c:pt idx="5">
                  <c:v>1.2680322510038526E-3</c:v>
                </c:pt>
                <c:pt idx="6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1-3A44-8209-C9DEC37B9E20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Data'!$K$5,'Athlete Comparison Data'!$L$5,'Athlete Comparison Data'!$N$5,'Athlete Comparison Data'!$O$5,'Athlete Comparison Data'!$Q$5,'Athlete Comparison Data'!$R$5,'Athlete Comparison Data'!$T$5)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31-3A44-8209-C9DEC37B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512"/>
        <c:axId val="2123290160"/>
      </c:radarChart>
      <c:catAx>
        <c:axId val="1922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160"/>
        <c:crosses val="autoZero"/>
        <c:auto val="1"/>
        <c:lblAlgn val="ctr"/>
        <c:lblOffset val="100"/>
        <c:noMultiLvlLbl val="0"/>
      </c:catAx>
      <c:valAx>
        <c:axId val="2123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Comparison - Components of Athleticism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'Athlete Comparison Data'!$J$3</c:f>
              <c:strCache>
                <c:ptCount val="1"/>
                <c:pt idx="0">
                  <c:v>Z-Score Athlete 1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1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4D-E248-9E23-F681FA9F100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4D-E248-9E23-F681FA9F100D}"/>
              </c:ext>
            </c:extLst>
          </c:dPt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Data'!$M$3,'Athlete Comparison Data'!$P$3,'Athlete Comparison Data'!$S$3,'Athlete Comparison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D-E248-9E23-F681FA9F100D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Data'!$M$4,'Athlete Comparison Data'!$P$4,'Athlete Comparison Data'!$S$4,'Athlete Comparison Data'!$T$4)</c:f>
              <c:numCache>
                <c:formatCode>0.00</c:formatCode>
                <c:ptCount val="4"/>
                <c:pt idx="0">
                  <c:v>0.31025762726711759</c:v>
                </c:pt>
                <c:pt idx="1">
                  <c:v>-0.20464951178366747</c:v>
                </c:pt>
                <c:pt idx="2">
                  <c:v>-3.7862534746365008E-2</c:v>
                </c:pt>
                <c:pt idx="3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D-E248-9E23-F681FA9F100D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Data'!$M$5,'Athlete Comparison Data'!$P$5,'Athlete Comparison Data'!$S$5,'Athlete Comparison Data'!$T$5)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D-E248-9E23-F681FA9F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7008"/>
        <c:axId val="1710726288"/>
      </c:radarChart>
      <c:catAx>
        <c:axId val="658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6288"/>
        <c:crosses val="autoZero"/>
        <c:auto val="1"/>
        <c:lblAlgn val="ctr"/>
        <c:lblOffset val="100"/>
        <c:noMultiLvlLbl val="0"/>
      </c:catAx>
      <c:valAx>
        <c:axId val="1710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TSA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TSA_Chart!$D$1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TSA_Chart!$D$2:$D$69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-0.30202515928075024</c:v>
                </c:pt>
                <c:pt idx="46">
                  <c:v>-0.33512373402707402</c:v>
                </c:pt>
                <c:pt idx="47">
                  <c:v>-0.3691605627390917</c:v>
                </c:pt>
                <c:pt idx="48">
                  <c:v>-0.40810777741523274</c:v>
                </c:pt>
                <c:pt idx="49">
                  <c:v>-0.44381694896653473</c:v>
                </c:pt>
                <c:pt idx="50">
                  <c:v>-0.45647041412121292</c:v>
                </c:pt>
                <c:pt idx="51">
                  <c:v>-0.49132233309197965</c:v>
                </c:pt>
                <c:pt idx="52">
                  <c:v>-0.60954334755389761</c:v>
                </c:pt>
                <c:pt idx="53">
                  <c:v>-0.61373313200529367</c:v>
                </c:pt>
                <c:pt idx="54">
                  <c:v>-0.61949503952656615</c:v>
                </c:pt>
                <c:pt idx="55">
                  <c:v>-0.67071666861487444</c:v>
                </c:pt>
                <c:pt idx="56">
                  <c:v>-0.67212863287545099</c:v>
                </c:pt>
                <c:pt idx="57">
                  <c:v>-0.71524974078961967</c:v>
                </c:pt>
                <c:pt idx="58">
                  <c:v>-0.76780414434840027</c:v>
                </c:pt>
                <c:pt idx="59">
                  <c:v>-0.79868411436490372</c:v>
                </c:pt>
                <c:pt idx="60">
                  <c:v>-0.80761089921133444</c:v>
                </c:pt>
                <c:pt idx="61">
                  <c:v>-0.90412244306867517</c:v>
                </c:pt>
                <c:pt idx="62">
                  <c:v>-0.94881607811904412</c:v>
                </c:pt>
                <c:pt idx="63">
                  <c:v>-1.1266896847311796</c:v>
                </c:pt>
                <c:pt idx="64">
                  <c:v>-1.1423711897431661</c:v>
                </c:pt>
                <c:pt idx="65">
                  <c:v>-1.2487435582665745</c:v>
                </c:pt>
                <c:pt idx="66">
                  <c:v>-1.7758190295433505</c:v>
                </c:pt>
                <c:pt idx="67">
                  <c:v>-1.9601929067867685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7-2B46-9B63-2F6817226AC3}"/>
            </c:ext>
          </c:extLst>
        </c:ser>
        <c:ser>
          <c:idx val="1"/>
          <c:order val="1"/>
          <c:tx>
            <c:strRef>
              <c:f>TSA_Chart!$E$1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rgbClr val="E2DF12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TSA_Chart!$E$2:$E$69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0.35218208564661946</c:v>
                </c:pt>
                <c:pt idx="24">
                  <c:v>0.25955914933985852</c:v>
                </c:pt>
                <c:pt idx="25">
                  <c:v>0.21377371402506096</c:v>
                </c:pt>
                <c:pt idx="26">
                  <c:v>0.18206647721370234</c:v>
                </c:pt>
                <c:pt idx="27">
                  <c:v>0.11500765755864795</c:v>
                </c:pt>
                <c:pt idx="28">
                  <c:v>8.1529623599538081E-2</c:v>
                </c:pt>
                <c:pt idx="29">
                  <c:v>3.0137409619702529E-2</c:v>
                </c:pt>
                <c:pt idx="30">
                  <c:v>2.7749018530841052E-2</c:v>
                </c:pt>
                <c:pt idx="31">
                  <c:v>-1.9205893475324254E-2</c:v>
                </c:pt>
                <c:pt idx="32">
                  <c:v>-2.0380708979643683E-2</c:v>
                </c:pt>
                <c:pt idx="33">
                  <c:v>-3.3661971224411703E-2</c:v>
                </c:pt>
                <c:pt idx="34">
                  <c:v>-4.7835060902929744E-2</c:v>
                </c:pt>
                <c:pt idx="35">
                  <c:v>-5.2544020897447738E-2</c:v>
                </c:pt>
                <c:pt idx="36">
                  <c:v>-6.6339953829958581E-2</c:v>
                </c:pt>
                <c:pt idx="37">
                  <c:v>-9.008725761074475E-2</c:v>
                </c:pt>
                <c:pt idx="38">
                  <c:v>-9.9990824729217415E-2</c:v>
                </c:pt>
                <c:pt idx="39">
                  <c:v>-0.12663196328091725</c:v>
                </c:pt>
                <c:pt idx="40">
                  <c:v>-0.17678830686423219</c:v>
                </c:pt>
                <c:pt idx="41">
                  <c:v>-0.19021799405606699</c:v>
                </c:pt>
                <c:pt idx="42">
                  <c:v>-0.2605915464233734</c:v>
                </c:pt>
                <c:pt idx="43">
                  <c:v>-0.2621778596358546</c:v>
                </c:pt>
                <c:pt idx="44">
                  <c:v>-0.29255942998801399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7-2B46-9B63-2F6817226AC3}"/>
            </c:ext>
          </c:extLst>
        </c:ser>
        <c:ser>
          <c:idx val="2"/>
          <c:order val="2"/>
          <c:tx>
            <c:strRef>
              <c:f>TSA_Chart!$F$1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TSA_Chart!$F$2:$F$69</c:f>
              <c:numCache>
                <c:formatCode>General</c:formatCode>
                <c:ptCount val="68"/>
                <c:pt idx="0">
                  <c:v>1.751134847913725</c:v>
                </c:pt>
                <c:pt idx="1">
                  <c:v>1.489552387772701</c:v>
                </c:pt>
                <c:pt idx="2">
                  <c:v>1.2020387558700705</c:v>
                </c:pt>
                <c:pt idx="3">
                  <c:v>1.1402521173745346</c:v>
                </c:pt>
                <c:pt idx="4">
                  <c:v>1.0869758951398785</c:v>
                </c:pt>
                <c:pt idx="5">
                  <c:v>0.99940535550890863</c:v>
                </c:pt>
                <c:pt idx="6">
                  <c:v>0.76584424992588029</c:v>
                </c:pt>
                <c:pt idx="7">
                  <c:v>0.7656673968226323</c:v>
                </c:pt>
                <c:pt idx="8">
                  <c:v>0.76070896127284415</c:v>
                </c:pt>
                <c:pt idx="9">
                  <c:v>0.75183100489159671</c:v>
                </c:pt>
                <c:pt idx="10">
                  <c:v>0.75050288940994114</c:v>
                </c:pt>
                <c:pt idx="11">
                  <c:v>0.73149091768758501</c:v>
                </c:pt>
                <c:pt idx="12">
                  <c:v>0.71518173107748106</c:v>
                </c:pt>
                <c:pt idx="13">
                  <c:v>0.71354373694593876</c:v>
                </c:pt>
                <c:pt idx="14">
                  <c:v>0.70297376409122181</c:v>
                </c:pt>
                <c:pt idx="15">
                  <c:v>0.68981865537899845</c:v>
                </c:pt>
                <c:pt idx="16">
                  <c:v>0.59899149661204754</c:v>
                </c:pt>
                <c:pt idx="17">
                  <c:v>0.59677545765900786</c:v>
                </c:pt>
                <c:pt idx="18">
                  <c:v>0.58189098738822564</c:v>
                </c:pt>
                <c:pt idx="19">
                  <c:v>0.52256140901869785</c:v>
                </c:pt>
                <c:pt idx="20">
                  <c:v>0.49586177899278283</c:v>
                </c:pt>
                <c:pt idx="21">
                  <c:v>0.44392179396747816</c:v>
                </c:pt>
                <c:pt idx="22">
                  <c:v>0.40782960483295627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7-2B46-9B63-2F681722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38"/>
        <c:axId val="1320272400"/>
        <c:axId val="1665340784"/>
      </c:barChart>
      <c:catAx>
        <c:axId val="132027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>
              <a:lumMod val="75000"/>
              <a:lumOff val="2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40784"/>
        <c:crosses val="autoZero"/>
        <c:auto val="1"/>
        <c:lblAlgn val="ctr"/>
        <c:lblOffset val="100"/>
        <c:noMultiLvlLbl val="0"/>
      </c:catAx>
      <c:valAx>
        <c:axId val="1665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/>
                  <a:t>TSA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Individual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Z-Score Athlete 1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CD-8F4D-952A-AA8842A01FA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CD-8F4D-952A-AA8842A01FA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CD-8F4D-952A-AA8842A01FA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CD-8F4D-952A-AA8842A01FA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CD-8F4D-952A-AA8842A01FAD}"/>
              </c:ext>
            </c:extLst>
          </c:dPt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Data'!$K$3,'Athlete Comparison Data'!$L$3,'Athlete Comparison Data'!$N$3,'Athlete Comparison Data'!$O$3,'Athlete Comparison Data'!$Q$3,'Athlete Comparison Data'!$R$3,'Athlete Comparison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D-8F4D-952A-AA8842A01FAD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Data'!$K$4,'Athlete Comparison Data'!$L$4,'Athlete Comparison Data'!$N$4,'Athlete Comparison Data'!$O$4,'Athlete Comparison Data'!$Q$4,'Athlete Comparison Data'!$R$4,'Athlete Comparison Data'!$T$4)</c:f>
              <c:numCache>
                <c:formatCode>0.00</c:formatCode>
                <c:ptCount val="7"/>
                <c:pt idx="0">
                  <c:v>0.29472352608737479</c:v>
                </c:pt>
                <c:pt idx="1">
                  <c:v>0.32579172844686044</c:v>
                </c:pt>
                <c:pt idx="2">
                  <c:v>0.70317443240144761</c:v>
                </c:pt>
                <c:pt idx="3">
                  <c:v>-1.1124734559687826</c:v>
                </c:pt>
                <c:pt idx="4">
                  <c:v>-7.6993101743733874E-2</c:v>
                </c:pt>
                <c:pt idx="5">
                  <c:v>1.2680322510038526E-3</c:v>
                </c:pt>
                <c:pt idx="6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D-8F4D-952A-AA8842A01FAD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Data'!$K$5,'Athlete Comparison Data'!$L$5,'Athlete Comparison Data'!$N$5,'Athlete Comparison Data'!$O$5,'Athlete Comparison Data'!$Q$5,'Athlete Comparison Data'!$R$5,'Athlete Comparison Data'!$T$5)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D-8F4D-952A-AA8842A0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512"/>
        <c:axId val="2123290160"/>
      </c:radarChart>
      <c:catAx>
        <c:axId val="1922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160"/>
        <c:crosses val="autoZero"/>
        <c:auto val="1"/>
        <c:lblAlgn val="ctr"/>
        <c:lblOffset val="100"/>
        <c:noMultiLvlLbl val="0"/>
      </c:catAx>
      <c:valAx>
        <c:axId val="2123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5m Sprint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5m Sprint  </a:t>
          </a:r>
        </a:p>
      </cx:txPr>
    </cx:title>
    <cx:plotArea>
      <cx:plotAreaRegion>
        <cx:series layoutId="boxWhisker" uniqueId="{5C26E1D0-4D33-8644-9F08-0EACC582FC99}" formatIdx="1">
          <cx:tx>
            <cx:txData>
              <cx:f>_xlchart.v1.1</cx:f>
              <cx:v>S5</cx:v>
            </cx:txData>
          </cx:tx>
          <cx:spPr>
            <a:solidFill>
              <a:schemeClr val="accent1"/>
            </a:solidFill>
            <a:ln>
              <a:solidFill>
                <a:schemeClr val="tx2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10m Sprint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10m Sprint</a:t>
          </a:r>
        </a:p>
      </cx:txPr>
    </cx:title>
    <cx:plotArea>
      <cx:plotAreaRegion>
        <cx:series layoutId="boxWhisker" uniqueId="{EB345B17-C2CC-AF4B-AC41-32F0DC6449CC}">
          <cx:tx>
            <cx:txData>
              <cx:f>_xlchart.v1.4</cx:f>
              <cx:v>S10</cx:v>
            </cx:txData>
          </cx:tx>
          <cx:spPr>
            <a:ln>
              <a:solidFill>
                <a:schemeClr val="tx2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.3500000000000001" min="1.7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5-0-5 CoD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5-0-5 CoD</a:t>
          </a:r>
        </a:p>
      </cx:txPr>
    </cx:title>
    <cx:plotArea>
      <cx:plotAreaRegion>
        <cx:series layoutId="boxWhisker" uniqueId="{862B8CF8-8924-2948-8BED-74DD05589D38}">
          <cx:tx>
            <cx:txData>
              <cx:f>_xlchart.v1.7</cx:f>
              <cx:v>CoD</cx:v>
            </cx:txData>
          </cx:tx>
          <cx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1000000000000001" min="2.2999999999999998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Y-Agility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Y-Agility</a:t>
          </a:r>
        </a:p>
      </cx:txPr>
    </cx:title>
    <cx:plotArea>
      <cx:plotAreaRegion>
        <cx:series layoutId="boxWhisker" uniqueId="{4B7D36BE-1149-AC4E-8399-CB8EC71CC50C}">
          <cx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6000000000000001" min="2.200000000000000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CMJ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CMJ</a:t>
          </a:r>
        </a:p>
      </cx:txPr>
    </cx:title>
    <cx:plotArea>
      <cx:plotAreaRegion>
        <cx:series layoutId="boxWhisker" uniqueId="{7EC2F7F1-95F6-8F47-9598-793C7CDBCC59}">
          <cx:spPr>
            <a:solidFill>
              <a:srgbClr val="C445BE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" min="15"/>
        <cx:title>
          <cx:tx>
            <cx:txData>
              <cx:v>Inches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Inches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Standing Long Jump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Standing Long Jump</a:t>
          </a:r>
        </a:p>
      </cx:txPr>
    </cx:title>
    <cx:plotArea>
      <cx:plotAreaRegion>
        <cx:series layoutId="boxWhisker" uniqueId="{ED508019-423F-D449-A860-EEFFB36C6803}">
          <cx:spPr>
            <a:solidFill>
              <a:srgbClr val="C445BE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1000000000000001" min="1.5"/>
        <cx:title>
          <cx:tx>
            <cx:txData>
              <cx:v>Feet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Feet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84665</xdr:rowOff>
    </xdr:from>
    <xdr:to>
      <xdr:col>4</xdr:col>
      <xdr:colOff>541020</xdr:colOff>
      <xdr:row>54</xdr:row>
      <xdr:rowOff>153245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DE7C52F2-17DB-DDE6-6947-9FAA5E677A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33265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22224</xdr:colOff>
      <xdr:row>55</xdr:row>
      <xdr:rowOff>40216</xdr:rowOff>
    </xdr:from>
    <xdr:to>
      <xdr:col>4</xdr:col>
      <xdr:colOff>563244</xdr:colOff>
      <xdr:row>70</xdr:row>
      <xdr:rowOff>108796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42E5922A-CB2E-1FAD-5B53-75A628344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4" y="10936816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722312</xdr:colOff>
      <xdr:row>39</xdr:row>
      <xdr:rowOff>84665</xdr:rowOff>
    </xdr:from>
    <xdr:to>
      <xdr:col>11</xdr:col>
      <xdr:colOff>31432</xdr:colOff>
      <xdr:row>54</xdr:row>
      <xdr:rowOff>153245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4">
              <a:extLst>
                <a:ext uri="{FF2B5EF4-FFF2-40B4-BE49-F238E27FC236}">
                  <a16:creationId xmlns:a16="http://schemas.microsoft.com/office/drawing/2014/main" id="{968BA91A-4D22-F483-5EA2-5CBADABD0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2012" y="7933265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739774</xdr:colOff>
      <xdr:row>55</xdr:row>
      <xdr:rowOff>40216</xdr:rowOff>
    </xdr:from>
    <xdr:to>
      <xdr:col>11</xdr:col>
      <xdr:colOff>48894</xdr:colOff>
      <xdr:row>70</xdr:row>
      <xdr:rowOff>108796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CF950A-53AD-C446-A01A-B290658CF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9474" y="10936816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212724</xdr:colOff>
      <xdr:row>39</xdr:row>
      <xdr:rowOff>84665</xdr:rowOff>
    </xdr:from>
    <xdr:to>
      <xdr:col>18</xdr:col>
      <xdr:colOff>194944</xdr:colOff>
      <xdr:row>54</xdr:row>
      <xdr:rowOff>153245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F32ECCB-FF65-6E4F-895C-2B852EB0E7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4024" y="7933265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225424</xdr:colOff>
      <xdr:row>55</xdr:row>
      <xdr:rowOff>40216</xdr:rowOff>
    </xdr:from>
    <xdr:to>
      <xdr:col>18</xdr:col>
      <xdr:colOff>207644</xdr:colOff>
      <xdr:row>70</xdr:row>
      <xdr:rowOff>108796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A811EBD-09BE-794B-B895-ADC72FFFD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6724" y="10936816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152400</xdr:rowOff>
    </xdr:from>
    <xdr:to>
      <xdr:col>18</xdr:col>
      <xdr:colOff>177800</xdr:colOff>
      <xdr:row>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5D7F47-5650-EE4D-98B0-BBA360896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111422</xdr:colOff>
      <xdr:row>5</xdr:row>
      <xdr:rowOff>155754</xdr:rowOff>
    </xdr:from>
    <xdr:to>
      <xdr:col>8</xdr:col>
      <xdr:colOff>95849</xdr:colOff>
      <xdr:row>21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2F84C-C3A9-5049-9712-D34BCEB6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333794</xdr:colOff>
      <xdr:row>0</xdr:row>
      <xdr:rowOff>139700</xdr:rowOff>
    </xdr:from>
    <xdr:to>
      <xdr:col>14</xdr:col>
      <xdr:colOff>647700</xdr:colOff>
      <xdr:row>18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A36A56-05C7-034F-93C0-4C29C0845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358477</xdr:colOff>
      <xdr:row>18</xdr:row>
      <xdr:rowOff>165100</xdr:rowOff>
    </xdr:from>
    <xdr:to>
      <xdr:col>14</xdr:col>
      <xdr:colOff>635000</xdr:colOff>
      <xdr:row>38</xdr:row>
      <xdr:rowOff>104955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111BC3-6B31-A945-8563-03F9E91E3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119810</xdr:colOff>
      <xdr:row>22</xdr:row>
      <xdr:rowOff>88180</xdr:rowOff>
    </xdr:from>
    <xdr:to>
      <xdr:col>8</xdr:col>
      <xdr:colOff>131792</xdr:colOff>
      <xdr:row>38</xdr:row>
      <xdr:rowOff>88899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793C94-7F89-0E49-8F32-03719FD27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50800</xdr:rowOff>
    </xdr:from>
    <xdr:to>
      <xdr:col>7</xdr:col>
      <xdr:colOff>317500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6A778-6239-654D-870C-FC5D24B8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7</xdr:row>
      <xdr:rowOff>50800</xdr:rowOff>
    </xdr:from>
    <xdr:to>
      <xdr:col>16</xdr:col>
      <xdr:colOff>431800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D4D78-6B7C-FB42-861D-E5167BD82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</xdr:row>
      <xdr:rowOff>114300</xdr:rowOff>
    </xdr:from>
    <xdr:to>
      <xdr:col>25</xdr:col>
      <xdr:colOff>368300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21535-9558-C03C-7A50-7CAE4D1DF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12</xdr:row>
      <xdr:rowOff>152400</xdr:rowOff>
    </xdr:from>
    <xdr:to>
      <xdr:col>8</xdr:col>
      <xdr:colOff>431800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A590-DF5C-0B41-8C3F-23CF53B3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12</xdr:row>
      <xdr:rowOff>165100</xdr:rowOff>
    </xdr:from>
    <xdr:to>
      <xdr:col>16</xdr:col>
      <xdr:colOff>546100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E104C-D417-B54B-BF47-BD249AB3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86C4-85F7-CC46-8E52-812144138CBD}">
  <sheetPr>
    <tabColor rgb="FF00B0F0"/>
  </sheetPr>
  <dimension ref="A1:G5"/>
  <sheetViews>
    <sheetView showGridLines="0" tabSelected="1" workbookViewId="0">
      <selection activeCell="S39" sqref="S39"/>
    </sheetView>
  </sheetViews>
  <sheetFormatPr baseColWidth="10" defaultRowHeight="15" x14ac:dyDescent="0.2"/>
  <cols>
    <col min="1" max="1" width="12.5" bestFit="1" customWidth="1"/>
    <col min="2" max="2" width="18.33203125" bestFit="1" customWidth="1"/>
    <col min="3" max="3" width="19.6640625" bestFit="1" customWidth="1"/>
    <col min="4" max="4" width="18" bestFit="1" customWidth="1"/>
    <col min="5" max="5" width="16.33203125" bestFit="1" customWidth="1"/>
    <col min="6" max="6" width="13" customWidth="1"/>
    <col min="7" max="7" width="12" customWidth="1"/>
  </cols>
  <sheetData>
    <row r="1" spans="1:7" ht="24" x14ac:dyDescent="0.3">
      <c r="A1" s="41" t="s">
        <v>64</v>
      </c>
      <c r="B1" s="41"/>
      <c r="C1" s="41"/>
      <c r="D1" s="41"/>
      <c r="E1" s="41"/>
      <c r="F1" s="41"/>
      <c r="G1" s="41"/>
    </row>
    <row r="2" spans="1:7" ht="21" x14ac:dyDescent="0.25">
      <c r="A2" s="39"/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</row>
    <row r="3" spans="1:7" ht="21" x14ac:dyDescent="0.25">
      <c r="A3" s="39" t="s">
        <v>56</v>
      </c>
      <c r="B3" s="40">
        <f>'Cleaned Data'!B70</f>
        <v>1.1267499999999997</v>
      </c>
      <c r="C3" s="40">
        <f>'Cleaned Data'!C70</f>
        <v>1.9523088235294115</v>
      </c>
      <c r="D3" s="40">
        <f>'Cleaned Data'!D70</f>
        <v>2.5770294117647068</v>
      </c>
      <c r="E3" s="40">
        <f>'Cleaned Data'!E70</f>
        <v>2.7449852941176474</v>
      </c>
      <c r="F3" s="40">
        <f>'Cleaned Data'!F70</f>
        <v>27.639705882352942</v>
      </c>
      <c r="G3" s="40">
        <f>'Cleaned Data'!G70</f>
        <v>2.0997058823529411</v>
      </c>
    </row>
    <row r="4" spans="1:7" ht="21" x14ac:dyDescent="0.25">
      <c r="A4" s="39" t="s">
        <v>57</v>
      </c>
      <c r="B4" s="39">
        <f>'Cleaned Data'!B72</f>
        <v>1.31</v>
      </c>
      <c r="C4" s="39">
        <f>'Cleaned Data'!C72</f>
        <v>2.27</v>
      </c>
      <c r="D4" s="39">
        <f>'Cleaned Data'!D72</f>
        <v>3.02</v>
      </c>
      <c r="E4" s="39">
        <f>'Cleaned Data'!E72</f>
        <v>3.43</v>
      </c>
      <c r="F4" s="39">
        <f>'Cleaned Data'!F72</f>
        <v>42.8</v>
      </c>
      <c r="G4" s="39">
        <f>'Cleaned Data'!G72</f>
        <v>2.95</v>
      </c>
    </row>
    <row r="5" spans="1:7" ht="21" x14ac:dyDescent="0.25">
      <c r="A5" s="39" t="s">
        <v>58</v>
      </c>
      <c r="B5" s="39">
        <f>'Cleaned Data'!B73</f>
        <v>1.01</v>
      </c>
      <c r="C5" s="39">
        <f>'Cleaned Data'!C73</f>
        <v>1.76</v>
      </c>
      <c r="D5" s="39">
        <f>'Cleaned Data'!D73</f>
        <v>2.3199999999999998</v>
      </c>
      <c r="E5" s="40">
        <f>'Cleaned Data'!E73</f>
        <v>2.298</v>
      </c>
      <c r="F5" s="39">
        <f>'Cleaned Data'!F73</f>
        <v>16.5</v>
      </c>
      <c r="G5" s="39">
        <f>'Cleaned Data'!G73</f>
        <v>1.68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6752-64D2-BD4D-A90B-2F8A538EC94D}">
  <sheetPr>
    <tabColor rgb="FFFF0000"/>
  </sheetPr>
  <dimension ref="A1:U4"/>
  <sheetViews>
    <sheetView showGridLines="0" zoomScaleNormal="100" workbookViewId="0">
      <selection activeCell="A3" sqref="A3"/>
    </sheetView>
  </sheetViews>
  <sheetFormatPr baseColWidth="10" defaultRowHeight="15" x14ac:dyDescent="0.2"/>
  <cols>
    <col min="2" max="2" width="18.33203125" bestFit="1" customWidth="1"/>
    <col min="3" max="3" width="19.6640625" bestFit="1" customWidth="1"/>
    <col min="4" max="4" width="18.33203125" bestFit="1" customWidth="1"/>
    <col min="5" max="5" width="16.33203125" bestFit="1" customWidth="1"/>
    <col min="6" max="6" width="13.33203125" customWidth="1"/>
    <col min="7" max="7" width="12.5" customWidth="1"/>
    <col min="8" max="8" width="13.33203125" customWidth="1"/>
  </cols>
  <sheetData>
    <row r="1" spans="1:21" ht="24" x14ac:dyDescent="0.3">
      <c r="A1" s="42" t="s">
        <v>55</v>
      </c>
      <c r="B1" s="43"/>
      <c r="C1" s="43"/>
      <c r="D1" s="43"/>
      <c r="E1" s="43"/>
      <c r="F1" s="43"/>
      <c r="G1" s="43"/>
      <c r="H1" s="44"/>
    </row>
    <row r="2" spans="1:21" ht="21" x14ac:dyDescent="0.25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J2" s="3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21" x14ac:dyDescent="0.25">
      <c r="A3" s="36">
        <v>1</v>
      </c>
      <c r="B3" s="37">
        <f>VLOOKUP($A3,'Cleaned Data'!$A$2:$Y$69,2,TRUE)</f>
        <v>1.07</v>
      </c>
      <c r="C3" s="37">
        <f>VLOOKUP($A3,'Cleaned Data'!$A$2:$Y$69,3,TRUE)</f>
        <v>1.87</v>
      </c>
      <c r="D3" s="37">
        <f>VLOOKUP($A3,'Cleaned Data'!$A$2:$Y$69,4,TRUE)</f>
        <v>2.39</v>
      </c>
      <c r="E3" s="37">
        <f>VLOOKUP($A3,'Cleaned Data'!$A$2:$Y$69,5,TRUE)</f>
        <v>2.69</v>
      </c>
      <c r="F3" s="37">
        <f>VLOOKUP($A3,'Cleaned Data'!$A$2:$Y$69,6,TRUE)</f>
        <v>31.1</v>
      </c>
      <c r="G3" s="37">
        <f>VLOOKUP($A3,'Cleaned Data'!$A$2:$Y$69,7,TRUE)</f>
        <v>2.2000000000000002</v>
      </c>
      <c r="H3" s="38">
        <f>VLOOKUP($A3,'Cleaned Data'!$A$2:$Y$69,25,TRUE)</f>
        <v>57.518310048915964</v>
      </c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1" ht="21" x14ac:dyDescent="0.25">
      <c r="A4" s="36" t="s">
        <v>23</v>
      </c>
      <c r="B4" s="39">
        <f>VLOOKUP($A$3,'Cleaned Data'!$A$2:$AE$69,26, FALSE)</f>
        <v>13</v>
      </c>
      <c r="C4" s="39">
        <f>VLOOKUP($A$3,'Cleaned Data'!$A$2:$AE$69,27, FALSE)</f>
        <v>13</v>
      </c>
      <c r="D4" s="39">
        <f>VLOOKUP($A$3,'Cleaned Data'!$A$2:$AE$69,28, FALSE)</f>
        <v>5</v>
      </c>
      <c r="E4" s="39">
        <f>VLOOKUP($A$3,'Cleaned Data'!$A$2:$AE$69,29, FALSE)</f>
        <v>31</v>
      </c>
      <c r="F4" s="39">
        <f>VLOOKUP($A$3,'Cleaned Data'!$A$2:$AE$69,30, FALSE)</f>
        <v>18</v>
      </c>
      <c r="G4" s="39">
        <f>VLOOKUP($A$3,'Cleaned Data'!$A$2:$AE$69,31, FALSE)</f>
        <v>17</v>
      </c>
      <c r="H4" s="39">
        <f>VLOOKUP($A$3,'Cleaned Data'!$A$2:$AE$69,18, FALSE)</f>
        <v>10</v>
      </c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74886E-4A1F-7846-8AF3-A1591C2CFB0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FC80BA-C957-CD4F-A20D-55E923B1B498}">
          <x14:formula1>
            <xm:f>'Cleaned Data'!$A$2:$A$69</xm:f>
          </x14:formula1>
          <xm:sqref>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38C9-CD69-6D45-8027-4EA728431BCC}">
  <sheetPr>
    <tabColor rgb="FFFFFF00"/>
  </sheetPr>
  <dimension ref="A1:H6"/>
  <sheetViews>
    <sheetView showGridLines="0" zoomScaleNormal="100" workbookViewId="0">
      <selection activeCell="A5" sqref="A5"/>
    </sheetView>
  </sheetViews>
  <sheetFormatPr baseColWidth="10" defaultRowHeight="15" x14ac:dyDescent="0.2"/>
  <cols>
    <col min="2" max="2" width="18.33203125" bestFit="1" customWidth="1"/>
    <col min="3" max="3" width="19.6640625" bestFit="1" customWidth="1"/>
    <col min="4" max="4" width="18" bestFit="1" customWidth="1"/>
    <col min="5" max="5" width="16.33203125" bestFit="1" customWidth="1"/>
  </cols>
  <sheetData>
    <row r="1" spans="1:8" ht="24" x14ac:dyDescent="0.3">
      <c r="A1" s="42" t="s">
        <v>65</v>
      </c>
      <c r="B1" s="43"/>
      <c r="C1" s="43"/>
      <c r="D1" s="43"/>
      <c r="E1" s="43"/>
      <c r="F1" s="43"/>
      <c r="G1" s="43"/>
      <c r="H1" s="44"/>
    </row>
    <row r="2" spans="1:8" ht="21" x14ac:dyDescent="0.25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</row>
    <row r="3" spans="1:8" ht="21" x14ac:dyDescent="0.25">
      <c r="A3" s="36">
        <v>1</v>
      </c>
      <c r="B3" s="37">
        <f>VLOOKUP($A3,'Cleaned Data'!$A$2:$Y$69,2,TRUE)</f>
        <v>1.07</v>
      </c>
      <c r="C3" s="37">
        <f>VLOOKUP($A3,'Cleaned Data'!$A$2:$Y$69,3,TRUE)</f>
        <v>1.87</v>
      </c>
      <c r="D3" s="37">
        <f>VLOOKUP($A3,'Cleaned Data'!$A$2:$Y$69,4,TRUE)</f>
        <v>2.39</v>
      </c>
      <c r="E3" s="37">
        <f>VLOOKUP($A3,'Cleaned Data'!$A$2:$Y$69,5,TRUE)</f>
        <v>2.69</v>
      </c>
      <c r="F3" s="37">
        <f>VLOOKUP($A3,'Cleaned Data'!$A$2:$Y$69,6,TRUE)</f>
        <v>31.1</v>
      </c>
      <c r="G3" s="37">
        <f>VLOOKUP($A3,'Cleaned Data'!$A$2:$Y$69,7,TRUE)</f>
        <v>2.2000000000000002</v>
      </c>
      <c r="H3" s="38">
        <f>VLOOKUP($A3,'Cleaned Data'!$A$2:$Y$69,25,TRUE)</f>
        <v>57.518310048915964</v>
      </c>
    </row>
    <row r="4" spans="1:8" ht="21" x14ac:dyDescent="0.25">
      <c r="A4" s="36" t="s">
        <v>23</v>
      </c>
      <c r="B4" s="39">
        <f>VLOOKUP($A$3,'Cleaned Data'!$A$2:$AE$69,26, FALSE)</f>
        <v>13</v>
      </c>
      <c r="C4" s="39">
        <f>VLOOKUP($A$3,'Cleaned Data'!$A$2:$AE$69,27, FALSE)</f>
        <v>13</v>
      </c>
      <c r="D4" s="39">
        <f>VLOOKUP($A$3,'Cleaned Data'!$A$2:$AE$69,28, FALSE)</f>
        <v>5</v>
      </c>
      <c r="E4" s="39">
        <f>VLOOKUP($A$3,'Cleaned Data'!$A$2:$AE$69,29, FALSE)</f>
        <v>31</v>
      </c>
      <c r="F4" s="39">
        <f>VLOOKUP($A$3,'Cleaned Data'!$A$2:$AE$69,30, FALSE)</f>
        <v>18</v>
      </c>
      <c r="G4" s="39">
        <f>VLOOKUP($A$3,'Cleaned Data'!$A$2:$AE$69,31, FALSE)</f>
        <v>17</v>
      </c>
      <c r="H4" s="39">
        <f>VLOOKUP($A$3,'Cleaned Data'!$A$2:$AE$69,18, FALSE)</f>
        <v>10</v>
      </c>
    </row>
    <row r="5" spans="1:8" ht="21" x14ac:dyDescent="0.25">
      <c r="A5" s="36">
        <v>2</v>
      </c>
      <c r="B5" s="37">
        <f>VLOOKUP($A5,'Cleaned Data'!$A$2:$Y$69,2,TRUE)</f>
        <v>1.1100000000000001</v>
      </c>
      <c r="C5" s="37">
        <f>VLOOKUP($A5,'Cleaned Data'!$A$2:$Y$69,3,TRUE)</f>
        <v>1.92</v>
      </c>
      <c r="D5" s="37">
        <f>VLOOKUP($A5,'Cleaned Data'!$A$2:$Y$69,4,TRUE)</f>
        <v>2.4700000000000002</v>
      </c>
      <c r="E5" s="37">
        <f>VLOOKUP($A5,'Cleaned Data'!$A$2:$Y$69,5,TRUE)</f>
        <v>2.98</v>
      </c>
      <c r="F5" s="37">
        <f>VLOOKUP($A5,'Cleaned Data'!$A$2:$Y$69,6,TRUE)</f>
        <v>27.2</v>
      </c>
      <c r="G5" s="37">
        <f>VLOOKUP($A5,'Cleaned Data'!$A$2:$Y$69,7,TRUE)</f>
        <v>2.1</v>
      </c>
      <c r="H5" s="38">
        <f>VLOOKUP($A5,'Cleaned Data'!$A$2:$Y$69,25,TRUE)</f>
        <v>50.301374096197023</v>
      </c>
    </row>
    <row r="6" spans="1:8" ht="21" x14ac:dyDescent="0.25">
      <c r="A6" s="36" t="s">
        <v>23</v>
      </c>
      <c r="B6" s="39">
        <f>VLOOKUP($A$5,'Cleaned Data'!$A$2:$AE$69,26, FALSE)</f>
        <v>25</v>
      </c>
      <c r="C6" s="39">
        <f>VLOOKUP($A$5,'Cleaned Data'!$A$2:$AE$69,27, FALSE)</f>
        <v>24</v>
      </c>
      <c r="D6" s="39">
        <f>VLOOKUP($A$5,'Cleaned Data'!$A$2:$AE$69,28, FALSE)</f>
        <v>18</v>
      </c>
      <c r="E6" s="39">
        <f>VLOOKUP($A$5,'Cleaned Data'!$A$2:$AE$69,29, FALSE)</f>
        <v>58</v>
      </c>
      <c r="F6" s="39">
        <f>VLOOKUP($A$5,'Cleaned Data'!$A$2:$AE$69,30, FALSE)</f>
        <v>33</v>
      </c>
      <c r="G6" s="39">
        <f>VLOOKUP($A$5,'Cleaned Data'!$A$2:$AE$69,31, FALSE)</f>
        <v>25</v>
      </c>
      <c r="H6" s="39">
        <f>VLOOKUP($A$5,'Cleaned Data'!$A$2:$AE$69,18, FALSE)</f>
        <v>30</v>
      </c>
    </row>
  </sheetData>
  <mergeCells count="1">
    <mergeCell ref="A1:H1"/>
  </mergeCells>
  <pageMargins left="0.7" right="0.7" top="0.75" bottom="0.75" header="0.3" footer="0.3"/>
  <pageSetup orientation="portrait" horizontalDpi="0" verticalDpi="0"/>
  <ignoredErrors>
    <ignoredError sqref="B4 C4:H4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BDB25AF-D118-C34D-AA4D-6FC24D977686}">
            <x14:iconSet custom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  <x14:conditionalFormatting xmlns:xm="http://schemas.microsoft.com/office/excel/2006/main">
          <x14:cfRule type="iconSet" priority="1" id="{2F0DB5BA-EFAC-8E4B-B131-D58BB6F8E26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B6:H6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AA36E7-FD20-3346-AB23-AAD3145C7B37}">
          <x14:formula1>
            <xm:f>'Cleaned Data'!$A$2:$A$69</xm:f>
          </x14:formula1>
          <xm:sqref>A3 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1"/>
  <sheetViews>
    <sheetView zoomScale="92" zoomScaleNormal="80" workbookViewId="0">
      <selection activeCell="J10" sqref="J10"/>
    </sheetView>
  </sheetViews>
  <sheetFormatPr baseColWidth="10" defaultColWidth="11" defaultRowHeight="15" x14ac:dyDescent="0.2"/>
  <cols>
    <col min="1" max="1" width="25.5" customWidth="1"/>
    <col min="3" max="3" width="13.5" customWidth="1"/>
  </cols>
  <sheetData>
    <row r="2" spans="1:19" ht="14.5" customHeight="1" x14ac:dyDescent="0.3">
      <c r="A2" s="46" t="s">
        <v>0</v>
      </c>
      <c r="B2" s="46"/>
      <c r="C2" s="46"/>
      <c r="D2" s="46"/>
      <c r="E2" s="46"/>
      <c r="L2" s="1"/>
      <c r="M2" s="1"/>
      <c r="N2" s="1"/>
      <c r="O2" s="1"/>
      <c r="P2" s="1"/>
      <c r="Q2" s="1"/>
      <c r="R2" s="1"/>
      <c r="S2" s="1"/>
    </row>
    <row r="3" spans="1:19" ht="15" customHeight="1" x14ac:dyDescent="0.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s="23" customFormat="1" ht="15" customHeight="1" x14ac:dyDescent="0.2">
      <c r="A4" s="21" t="s">
        <v>1</v>
      </c>
      <c r="B4" s="22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H4" s="45" t="s">
        <v>7</v>
      </c>
      <c r="I4" s="45"/>
      <c r="J4" s="45" t="s">
        <v>8</v>
      </c>
      <c r="K4" s="45"/>
      <c r="L4" s="45" t="s">
        <v>9</v>
      </c>
      <c r="M4" s="45"/>
      <c r="N4" s="45" t="s">
        <v>10</v>
      </c>
      <c r="O4" s="45"/>
      <c r="P4" s="45" t="s">
        <v>11</v>
      </c>
      <c r="Q4" s="45"/>
      <c r="R4" s="45" t="s">
        <v>12</v>
      </c>
      <c r="S4" s="45"/>
    </row>
    <row r="5" spans="1:19" s="3" customFormat="1" ht="15" customHeight="1" x14ac:dyDescent="0.2">
      <c r="A5" s="4">
        <v>40332</v>
      </c>
      <c r="B5" s="5">
        <v>14.6301369863014</v>
      </c>
      <c r="C5" s="6">
        <v>45.9</v>
      </c>
      <c r="D5" s="7">
        <v>165</v>
      </c>
      <c r="E5" s="24">
        <v>0.72024063013698603</v>
      </c>
      <c r="F5" s="8">
        <v>12.7471984054795</v>
      </c>
      <c r="H5" s="9">
        <v>1.07</v>
      </c>
      <c r="I5" s="9">
        <v>1.06</v>
      </c>
      <c r="J5" s="9">
        <v>1.87</v>
      </c>
      <c r="K5" s="9">
        <v>1.83</v>
      </c>
      <c r="L5" s="9">
        <v>2.39</v>
      </c>
      <c r="M5" s="9">
        <v>2.3199999999999998</v>
      </c>
      <c r="N5" s="9">
        <v>2.69</v>
      </c>
      <c r="O5" s="9">
        <v>2.5</v>
      </c>
      <c r="P5" s="10">
        <v>31.1</v>
      </c>
      <c r="Q5" s="10">
        <v>32.6</v>
      </c>
      <c r="R5" s="9">
        <v>2.2000000000000002</v>
      </c>
      <c r="S5" s="9">
        <v>2.2999999999999998</v>
      </c>
    </row>
    <row r="6" spans="1:19" s="3" customFormat="1" ht="15.75" customHeight="1" x14ac:dyDescent="0.2">
      <c r="A6" s="4">
        <v>40222</v>
      </c>
      <c r="B6" s="5">
        <v>14.931506849315101</v>
      </c>
      <c r="C6" s="6">
        <v>59.1</v>
      </c>
      <c r="D6" s="7">
        <v>172</v>
      </c>
      <c r="E6" s="5">
        <v>1.27744095890411</v>
      </c>
      <c r="F6" s="8">
        <v>13.654065890410999</v>
      </c>
      <c r="H6" s="9">
        <v>1.1100000000000001</v>
      </c>
      <c r="I6" s="9">
        <v>1.1100000000000001</v>
      </c>
      <c r="J6" s="9">
        <v>1.92</v>
      </c>
      <c r="K6" s="9">
        <v>1.89</v>
      </c>
      <c r="L6" s="9">
        <v>2.4700000000000002</v>
      </c>
      <c r="M6" s="9">
        <v>2.39</v>
      </c>
      <c r="N6" s="9">
        <v>2.98</v>
      </c>
      <c r="O6" s="9">
        <v>2.52</v>
      </c>
      <c r="P6" s="10">
        <v>27.2</v>
      </c>
      <c r="Q6" s="10">
        <v>28.5</v>
      </c>
      <c r="R6" s="9">
        <v>2.1</v>
      </c>
      <c r="S6" s="9">
        <v>2.25</v>
      </c>
    </row>
    <row r="7" spans="1:19" s="3" customFormat="1" ht="15" customHeight="1" x14ac:dyDescent="0.2">
      <c r="A7" s="4">
        <v>40270</v>
      </c>
      <c r="B7" s="5">
        <v>14.8</v>
      </c>
      <c r="C7" s="11">
        <v>47.82</v>
      </c>
      <c r="D7" s="7">
        <v>165</v>
      </c>
      <c r="E7" s="5">
        <v>0.82148679999999996</v>
      </c>
      <c r="F7" s="8">
        <v>13.9785132</v>
      </c>
      <c r="H7" s="9">
        <v>1.1399999999999999</v>
      </c>
      <c r="I7" s="9">
        <v>1.05</v>
      </c>
      <c r="J7" s="9">
        <v>1.87</v>
      </c>
      <c r="K7" s="9">
        <v>1.8</v>
      </c>
      <c r="L7" s="9">
        <v>2.42</v>
      </c>
      <c r="M7" s="9">
        <v>2.37</v>
      </c>
      <c r="N7" s="9">
        <v>2.7</v>
      </c>
      <c r="O7" s="9">
        <v>2.52</v>
      </c>
      <c r="P7" s="10">
        <v>34.299999999999997</v>
      </c>
      <c r="Q7" s="10">
        <v>42.8</v>
      </c>
      <c r="R7" s="9">
        <v>2.2999999999999998</v>
      </c>
      <c r="S7" s="9">
        <v>2.4</v>
      </c>
    </row>
    <row r="8" spans="1:19" s="3" customFormat="1" x14ac:dyDescent="0.2">
      <c r="A8" s="4">
        <v>40184</v>
      </c>
      <c r="B8" s="5">
        <v>15.0356164383562</v>
      </c>
      <c r="C8" s="11">
        <v>65.180000000000007</v>
      </c>
      <c r="D8" s="9">
        <v>170</v>
      </c>
      <c r="E8" s="5">
        <v>1.23349833972603</v>
      </c>
      <c r="F8" s="8">
        <v>13.8021180986301</v>
      </c>
      <c r="H8" s="9">
        <v>1.1399999999999999</v>
      </c>
      <c r="I8" s="9">
        <v>1.05</v>
      </c>
      <c r="J8" s="9">
        <v>1.92</v>
      </c>
      <c r="K8" s="9">
        <v>1.92</v>
      </c>
      <c r="L8" s="9">
        <v>2.48</v>
      </c>
      <c r="M8" s="9">
        <v>2.37</v>
      </c>
      <c r="N8" s="9">
        <v>2.77</v>
      </c>
      <c r="O8" s="9">
        <v>2.6</v>
      </c>
      <c r="P8" s="10">
        <v>23.9</v>
      </c>
      <c r="Q8" s="10">
        <v>26.7</v>
      </c>
      <c r="R8" s="9">
        <v>1.95</v>
      </c>
      <c r="S8" s="9">
        <v>2.2000000000000002</v>
      </c>
    </row>
    <row r="9" spans="1:19" s="3" customFormat="1" x14ac:dyDescent="0.2">
      <c r="A9" s="4">
        <v>40205</v>
      </c>
      <c r="B9" s="5">
        <v>14.9780821917808</v>
      </c>
      <c r="C9" s="11">
        <v>51.32</v>
      </c>
      <c r="D9" s="7">
        <v>170</v>
      </c>
      <c r="E9" s="5">
        <v>1.1981660986301399</v>
      </c>
      <c r="F9" s="8">
        <v>13.7799160931507</v>
      </c>
      <c r="H9" s="9">
        <v>1.17</v>
      </c>
      <c r="I9" s="9">
        <v>1.08</v>
      </c>
      <c r="J9" s="9">
        <v>1.93</v>
      </c>
      <c r="K9" s="9">
        <v>1.91</v>
      </c>
      <c r="L9" s="9">
        <v>2.46</v>
      </c>
      <c r="M9" s="9">
        <v>2.39</v>
      </c>
      <c r="N9" s="9">
        <v>2.66</v>
      </c>
      <c r="O9" s="9">
        <v>2.58</v>
      </c>
      <c r="P9" s="10">
        <v>25.5</v>
      </c>
      <c r="Q9" s="10">
        <v>26.3</v>
      </c>
      <c r="R9" s="9">
        <v>1.93</v>
      </c>
      <c r="S9" s="9">
        <v>2.1</v>
      </c>
    </row>
    <row r="10" spans="1:19" s="3" customFormat="1" x14ac:dyDescent="0.2">
      <c r="A10" s="4">
        <v>40223</v>
      </c>
      <c r="B10" s="5">
        <v>14.928767123287701</v>
      </c>
      <c r="C10" s="11">
        <v>59.8</v>
      </c>
      <c r="D10" s="7">
        <v>171</v>
      </c>
      <c r="E10" s="5">
        <v>1.22180999890411</v>
      </c>
      <c r="F10" s="8">
        <v>13.706957124383599</v>
      </c>
      <c r="H10" s="9">
        <v>1.25</v>
      </c>
      <c r="I10" s="9">
        <v>1.1100000000000001</v>
      </c>
      <c r="J10" s="9">
        <v>2.02</v>
      </c>
      <c r="K10" s="9">
        <v>1.93</v>
      </c>
      <c r="L10" s="9">
        <v>2.4900000000000002</v>
      </c>
      <c r="M10" s="9">
        <v>2.4500000000000002</v>
      </c>
      <c r="N10" s="9">
        <v>2.71</v>
      </c>
      <c r="O10" s="9">
        <v>2.52</v>
      </c>
      <c r="P10" s="10">
        <v>31.3</v>
      </c>
      <c r="Q10" s="10">
        <v>33.5</v>
      </c>
      <c r="R10" s="9">
        <v>2.2000000000000002</v>
      </c>
      <c r="S10" s="9">
        <v>2.2999999999999998</v>
      </c>
    </row>
    <row r="11" spans="1:19" s="3" customFormat="1" x14ac:dyDescent="0.2">
      <c r="A11" s="4">
        <v>40335</v>
      </c>
      <c r="B11" s="5">
        <v>14.6219178082192</v>
      </c>
      <c r="C11" s="12">
        <v>72.099999999999994</v>
      </c>
      <c r="D11" s="9">
        <v>180</v>
      </c>
      <c r="E11" s="5">
        <v>1.50764486027397</v>
      </c>
      <c r="F11" s="8">
        <v>13.114272947945199</v>
      </c>
      <c r="H11" s="9">
        <v>1.1299999999999999</v>
      </c>
      <c r="I11" s="9">
        <v>1.06</v>
      </c>
      <c r="J11" s="9">
        <v>1.87</v>
      </c>
      <c r="K11" s="9">
        <v>1.84</v>
      </c>
      <c r="L11" s="9">
        <v>2.5099999999999998</v>
      </c>
      <c r="M11" s="9">
        <v>2.46</v>
      </c>
      <c r="N11" s="9">
        <v>2.69</v>
      </c>
      <c r="O11" s="9">
        <v>2.5</v>
      </c>
      <c r="P11" s="10">
        <v>28.1</v>
      </c>
      <c r="Q11" s="10">
        <v>28.1</v>
      </c>
      <c r="R11" s="9">
        <v>2.0499999999999998</v>
      </c>
      <c r="S11" s="9">
        <v>2</v>
      </c>
    </row>
    <row r="12" spans="1:19" s="3" customFormat="1" x14ac:dyDescent="0.2">
      <c r="A12" s="4">
        <v>40205</v>
      </c>
      <c r="B12" s="5">
        <v>14.9780821917808</v>
      </c>
      <c r="C12" s="12">
        <v>66.599999999999994</v>
      </c>
      <c r="D12" s="7">
        <v>176</v>
      </c>
      <c r="E12" s="5">
        <v>1.5228070432876699</v>
      </c>
      <c r="F12" s="8">
        <v>13.4552751484932</v>
      </c>
      <c r="H12" s="9">
        <v>1.0900000000000001</v>
      </c>
      <c r="I12" s="9">
        <v>1.01</v>
      </c>
      <c r="J12" s="9">
        <v>1.8</v>
      </c>
      <c r="K12" s="9">
        <v>1.79</v>
      </c>
      <c r="L12" s="9">
        <v>2.4900000000000002</v>
      </c>
      <c r="M12" s="9">
        <v>2.3199999999999998</v>
      </c>
      <c r="N12" s="9">
        <v>2.8</v>
      </c>
      <c r="O12" s="9">
        <v>2.44</v>
      </c>
      <c r="P12" s="10">
        <v>36.1</v>
      </c>
      <c r="Q12" s="10">
        <v>41.8</v>
      </c>
      <c r="R12" s="9">
        <v>2.2999999999999998</v>
      </c>
      <c r="S12" s="9">
        <v>2.4</v>
      </c>
    </row>
    <row r="13" spans="1:19" s="3" customFormat="1" x14ac:dyDescent="0.2">
      <c r="A13" s="4">
        <v>40237</v>
      </c>
      <c r="B13" s="5">
        <v>14.8904109589041</v>
      </c>
      <c r="C13" s="12">
        <v>60.1</v>
      </c>
      <c r="D13" s="9">
        <v>170</v>
      </c>
      <c r="E13" s="5">
        <v>1.14432649315069</v>
      </c>
      <c r="F13" s="8">
        <v>13.7460844657534</v>
      </c>
      <c r="H13" s="9">
        <v>1.1299999999999999</v>
      </c>
      <c r="I13" s="9">
        <v>1.1000000000000001</v>
      </c>
      <c r="J13" s="9">
        <v>1.98</v>
      </c>
      <c r="K13" s="9">
        <v>1.95</v>
      </c>
      <c r="L13" s="9">
        <v>2.6</v>
      </c>
      <c r="M13" s="9">
        <v>2.5</v>
      </c>
      <c r="N13" s="9">
        <v>2.73</v>
      </c>
      <c r="O13" s="9">
        <v>2.54</v>
      </c>
      <c r="P13" s="10">
        <v>22.5</v>
      </c>
      <c r="Q13" s="10">
        <v>22.5</v>
      </c>
      <c r="R13" s="9">
        <v>2.85</v>
      </c>
      <c r="S13" s="9">
        <v>2.95</v>
      </c>
    </row>
    <row r="14" spans="1:19" s="3" customFormat="1" x14ac:dyDescent="0.2">
      <c r="A14" s="4">
        <v>40494</v>
      </c>
      <c r="B14" s="5">
        <v>14.186301369862999</v>
      </c>
      <c r="C14" s="13">
        <v>48.85</v>
      </c>
      <c r="D14" s="7">
        <v>158</v>
      </c>
      <c r="E14" s="5">
        <v>9.6968020821917897E-2</v>
      </c>
      <c r="F14" s="8">
        <v>14.0893333490411</v>
      </c>
      <c r="H14" s="9">
        <v>1.1499999999999999</v>
      </c>
      <c r="I14" s="9">
        <v>1.1499999999999999</v>
      </c>
      <c r="J14" s="9">
        <v>1.98</v>
      </c>
      <c r="K14" s="9">
        <v>1.91</v>
      </c>
      <c r="L14" s="9">
        <v>2.65</v>
      </c>
      <c r="M14" s="9">
        <v>2.6</v>
      </c>
      <c r="N14" s="9">
        <v>2.95</v>
      </c>
      <c r="O14" s="9">
        <v>2.65</v>
      </c>
      <c r="P14" s="10">
        <v>18.899999999999999</v>
      </c>
      <c r="Q14" s="10">
        <v>21.6</v>
      </c>
      <c r="R14" s="9">
        <v>1.7</v>
      </c>
      <c r="S14" s="9">
        <v>2</v>
      </c>
    </row>
    <row r="15" spans="1:19" s="3" customFormat="1" x14ac:dyDescent="0.2">
      <c r="A15" s="4">
        <v>40219</v>
      </c>
      <c r="B15" s="5">
        <v>14.939726027397301</v>
      </c>
      <c r="C15" s="11">
        <v>66.849999999999994</v>
      </c>
      <c r="D15" s="7">
        <v>179</v>
      </c>
      <c r="E15" s="5">
        <v>1.6603256679452001</v>
      </c>
      <c r="F15" s="8">
        <v>13.279400359452101</v>
      </c>
      <c r="H15" s="9">
        <v>1.17</v>
      </c>
      <c r="I15" s="9">
        <v>1.05</v>
      </c>
      <c r="J15" s="9">
        <v>1.9</v>
      </c>
      <c r="K15" s="9">
        <v>1.82</v>
      </c>
      <c r="L15" s="9">
        <v>2.68</v>
      </c>
      <c r="M15" s="9">
        <v>2.5099999999999998</v>
      </c>
      <c r="N15" s="9">
        <v>2.93</v>
      </c>
      <c r="O15" s="9">
        <v>2.75</v>
      </c>
      <c r="P15" s="10">
        <v>27</v>
      </c>
      <c r="Q15" s="10">
        <v>27.1</v>
      </c>
      <c r="R15" s="9">
        <v>1.9</v>
      </c>
      <c r="S15" s="9">
        <v>2.15</v>
      </c>
    </row>
    <row r="16" spans="1:19" s="3" customFormat="1" x14ac:dyDescent="0.2">
      <c r="A16" s="4">
        <v>40368</v>
      </c>
      <c r="B16" s="5">
        <v>14.5315068493151</v>
      </c>
      <c r="C16" s="11">
        <v>64</v>
      </c>
      <c r="D16" s="7">
        <v>176</v>
      </c>
      <c r="E16" s="5">
        <v>1.2388823002739699</v>
      </c>
      <c r="F16" s="8">
        <v>13.292624549041101</v>
      </c>
      <c r="H16" s="9">
        <v>1.19</v>
      </c>
      <c r="I16" s="9">
        <v>1.1299999999999999</v>
      </c>
      <c r="J16" s="9">
        <v>1.97</v>
      </c>
      <c r="K16" s="9">
        <v>1.88</v>
      </c>
      <c r="L16" s="9">
        <v>2.5499999999999998</v>
      </c>
      <c r="M16" s="9">
        <v>2.42</v>
      </c>
      <c r="N16" s="9">
        <v>2.68</v>
      </c>
      <c r="O16" s="9">
        <v>2.57</v>
      </c>
      <c r="P16" s="10">
        <v>33</v>
      </c>
      <c r="Q16" s="10">
        <v>36</v>
      </c>
      <c r="R16" s="9">
        <v>2.1</v>
      </c>
      <c r="S16" s="9">
        <v>2.2999999999999998</v>
      </c>
    </row>
    <row r="17" spans="1:19" s="3" customFormat="1" x14ac:dyDescent="0.2">
      <c r="A17" s="4">
        <v>40238</v>
      </c>
      <c r="B17" s="5">
        <v>14.8876712328767</v>
      </c>
      <c r="C17" s="11">
        <v>71</v>
      </c>
      <c r="D17" s="7">
        <v>178</v>
      </c>
      <c r="E17" s="5">
        <v>1.5728857939726</v>
      </c>
      <c r="F17" s="8">
        <v>13.314785438904099</v>
      </c>
      <c r="H17" s="9">
        <v>1.06</v>
      </c>
      <c r="I17" s="9">
        <v>1.02</v>
      </c>
      <c r="J17" s="9">
        <v>1.81</v>
      </c>
      <c r="K17" s="9">
        <v>1.79</v>
      </c>
      <c r="L17" s="9">
        <v>2.5299999999999998</v>
      </c>
      <c r="M17" s="9">
        <v>2.5499999999999998</v>
      </c>
      <c r="N17" s="9">
        <v>2.7</v>
      </c>
      <c r="O17" s="9">
        <v>2.4500000000000002</v>
      </c>
      <c r="P17" s="10">
        <v>33.9</v>
      </c>
      <c r="Q17" s="10">
        <v>33.700000000000003</v>
      </c>
      <c r="R17" s="9">
        <v>2.08</v>
      </c>
      <c r="S17" s="9">
        <v>2.1</v>
      </c>
    </row>
    <row r="18" spans="1:19" s="3" customFormat="1" x14ac:dyDescent="0.2">
      <c r="A18" s="4">
        <v>40266</v>
      </c>
      <c r="B18" s="5">
        <v>14.810958904109601</v>
      </c>
      <c r="C18" s="11">
        <v>61</v>
      </c>
      <c r="D18" s="7">
        <v>175</v>
      </c>
      <c r="E18" s="5">
        <v>1.36304989041096</v>
      </c>
      <c r="F18" s="8">
        <v>13.447909013698601</v>
      </c>
      <c r="H18" s="9">
        <v>1.1399999999999999</v>
      </c>
      <c r="I18" s="9">
        <v>1.1000000000000001</v>
      </c>
      <c r="J18" s="9">
        <v>1.98</v>
      </c>
      <c r="K18" s="9">
        <v>1.89</v>
      </c>
      <c r="L18" s="9">
        <v>2.5499999999999998</v>
      </c>
      <c r="M18" s="9">
        <v>2.52</v>
      </c>
      <c r="N18" s="9">
        <v>2.85</v>
      </c>
      <c r="O18" s="9">
        <v>2.58</v>
      </c>
      <c r="P18" s="10">
        <v>26.3</v>
      </c>
      <c r="Q18" s="10">
        <v>28.6</v>
      </c>
      <c r="R18" s="9">
        <v>1.96</v>
      </c>
      <c r="S18" s="9">
        <v>2.1</v>
      </c>
    </row>
    <row r="19" spans="1:19" s="3" customFormat="1" x14ac:dyDescent="0.2">
      <c r="A19" s="4">
        <v>40196</v>
      </c>
      <c r="B19" s="5">
        <v>15.0027397260274</v>
      </c>
      <c r="C19" s="11">
        <v>44.49</v>
      </c>
      <c r="D19" s="7">
        <v>161</v>
      </c>
      <c r="E19" s="5">
        <v>0.72554541479451995</v>
      </c>
      <c r="F19" s="8">
        <v>14.277194311232901</v>
      </c>
      <c r="H19" s="9">
        <v>1.1399999999999999</v>
      </c>
      <c r="I19" s="9">
        <v>1.1599999999999999</v>
      </c>
      <c r="J19" s="9">
        <v>1.99</v>
      </c>
      <c r="K19" s="9">
        <v>1.93</v>
      </c>
      <c r="L19" s="9">
        <v>2.42</v>
      </c>
      <c r="M19" s="9">
        <v>2.42</v>
      </c>
      <c r="N19" s="9">
        <v>3.04</v>
      </c>
      <c r="O19" s="9">
        <v>2.99</v>
      </c>
      <c r="P19" s="10">
        <v>25.3</v>
      </c>
      <c r="Q19" s="10">
        <v>26.2</v>
      </c>
      <c r="R19" s="9">
        <v>1.85</v>
      </c>
      <c r="S19" s="9">
        <v>2</v>
      </c>
    </row>
    <row r="20" spans="1:19" s="3" customFormat="1" x14ac:dyDescent="0.2">
      <c r="A20" s="4">
        <v>40221</v>
      </c>
      <c r="B20" s="5">
        <v>14.934246575342501</v>
      </c>
      <c r="C20" s="12">
        <v>48.3</v>
      </c>
      <c r="D20" s="7">
        <v>163</v>
      </c>
      <c r="E20" s="5">
        <v>0.79360698958904097</v>
      </c>
      <c r="F20" s="8">
        <v>14.1406395857534</v>
      </c>
      <c r="H20" s="9">
        <v>1.19</v>
      </c>
      <c r="I20" s="9">
        <v>1.18</v>
      </c>
      <c r="J20" s="9">
        <v>2.12</v>
      </c>
      <c r="K20" s="9">
        <v>2.0699999999999998</v>
      </c>
      <c r="L20" s="9">
        <v>2.68</v>
      </c>
      <c r="M20" s="9">
        <v>2.64</v>
      </c>
      <c r="N20" s="9">
        <v>2.96</v>
      </c>
      <c r="O20" s="9">
        <v>2.58</v>
      </c>
      <c r="P20" s="10">
        <v>16.5</v>
      </c>
      <c r="Q20" s="10">
        <v>19.3</v>
      </c>
      <c r="R20" s="9">
        <v>1.8</v>
      </c>
      <c r="S20" s="9">
        <v>1.9</v>
      </c>
    </row>
    <row r="21" spans="1:19" s="3" customFormat="1" x14ac:dyDescent="0.2">
      <c r="A21" s="14">
        <v>40232</v>
      </c>
      <c r="B21" s="5">
        <v>14.9041095890411</v>
      </c>
      <c r="C21" s="15">
        <v>63.5</v>
      </c>
      <c r="D21" s="9">
        <v>178</v>
      </c>
      <c r="E21" s="5">
        <v>1.5834557753424701</v>
      </c>
      <c r="F21" s="8">
        <v>13.3206538136986</v>
      </c>
      <c r="H21" s="9">
        <v>1.31</v>
      </c>
      <c r="I21" s="9">
        <v>1.23</v>
      </c>
      <c r="J21" s="9">
        <v>2.27</v>
      </c>
      <c r="K21" s="9">
        <v>2.0499999999999998</v>
      </c>
      <c r="L21" s="9">
        <v>2.77</v>
      </c>
      <c r="M21" s="9">
        <v>2.4300000000000002</v>
      </c>
      <c r="N21" s="9">
        <v>3.02</v>
      </c>
      <c r="O21" s="9">
        <v>2.62</v>
      </c>
      <c r="P21" s="10">
        <v>21.8</v>
      </c>
      <c r="Q21" s="10">
        <v>22.6</v>
      </c>
      <c r="R21" s="9">
        <v>1.83</v>
      </c>
      <c r="S21" s="9">
        <v>1.98</v>
      </c>
    </row>
    <row r="22" spans="1:19" s="3" customFormat="1" x14ac:dyDescent="0.2">
      <c r="A22" s="14">
        <v>40183</v>
      </c>
      <c r="B22" s="5">
        <v>15.0383561643836</v>
      </c>
      <c r="C22" s="15">
        <v>52.5</v>
      </c>
      <c r="D22" s="9">
        <v>173</v>
      </c>
      <c r="E22" s="5">
        <v>1.3981545008219201</v>
      </c>
      <c r="F22" s="8">
        <v>13.6402016635616</v>
      </c>
      <c r="H22" s="9">
        <v>1.1599999999999999</v>
      </c>
      <c r="I22" s="9">
        <v>1.1100000000000001</v>
      </c>
      <c r="J22" s="9">
        <v>1.97</v>
      </c>
      <c r="K22" s="9">
        <v>1.86</v>
      </c>
      <c r="L22" s="9">
        <v>2.64</v>
      </c>
      <c r="M22" s="9">
        <v>2.4900000000000002</v>
      </c>
      <c r="N22" s="9">
        <v>2.6</v>
      </c>
      <c r="O22" s="9">
        <v>2.56</v>
      </c>
      <c r="P22" s="10">
        <v>33.1</v>
      </c>
      <c r="Q22" s="10">
        <v>34.799999999999997</v>
      </c>
      <c r="R22" s="9">
        <v>2.2000000000000002</v>
      </c>
      <c r="S22" s="9">
        <v>2.2999999999999998</v>
      </c>
    </row>
    <row r="23" spans="1:19" s="3" customFormat="1" ht="14.5" customHeight="1" x14ac:dyDescent="0.3">
      <c r="A23" s="46" t="s">
        <v>13</v>
      </c>
      <c r="B23" s="46"/>
      <c r="C23" s="46"/>
      <c r="D23" s="46"/>
      <c r="E23" s="46"/>
      <c r="L23" s="16"/>
      <c r="M23" s="16"/>
      <c r="N23" s="16"/>
      <c r="O23" s="16"/>
      <c r="P23" s="16"/>
      <c r="Q23" s="16"/>
      <c r="R23" s="16"/>
      <c r="S23" s="16"/>
    </row>
    <row r="24" spans="1:19" s="3" customFormat="1" ht="14.5" customHeight="1" x14ac:dyDescent="0.3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s="23" customFormat="1" x14ac:dyDescent="0.2">
      <c r="A25" s="21" t="s">
        <v>1</v>
      </c>
      <c r="B25" s="22" t="s">
        <v>2</v>
      </c>
      <c r="C25" s="21" t="s">
        <v>3</v>
      </c>
      <c r="D25" s="21" t="s">
        <v>4</v>
      </c>
      <c r="E25" s="21" t="s">
        <v>5</v>
      </c>
      <c r="F25" s="21" t="s">
        <v>6</v>
      </c>
      <c r="H25" s="45" t="s">
        <v>7</v>
      </c>
      <c r="I25" s="45"/>
      <c r="J25" s="45" t="s">
        <v>8</v>
      </c>
      <c r="K25" s="45"/>
      <c r="L25" s="45" t="s">
        <v>9</v>
      </c>
      <c r="M25" s="45"/>
      <c r="N25" s="45" t="s">
        <v>10</v>
      </c>
      <c r="O25" s="45"/>
      <c r="P25" s="45" t="s">
        <v>11</v>
      </c>
      <c r="Q25" s="45"/>
      <c r="R25" s="45" t="s">
        <v>12</v>
      </c>
      <c r="S25" s="45"/>
    </row>
    <row r="26" spans="1:19" s="3" customFormat="1" x14ac:dyDescent="0.2">
      <c r="A26" s="18">
        <v>40522</v>
      </c>
      <c r="B26" s="19">
        <v>14.1095890410959</v>
      </c>
      <c r="C26" s="11">
        <v>65.2</v>
      </c>
      <c r="D26" s="7">
        <v>177.2</v>
      </c>
      <c r="E26" s="19">
        <v>1.0317977589041101</v>
      </c>
      <c r="F26" s="20">
        <v>13.0777912821918</v>
      </c>
      <c r="H26" s="9">
        <v>1.1399999999999999</v>
      </c>
      <c r="I26" s="9">
        <v>1.1499999999999999</v>
      </c>
      <c r="J26" s="9">
        <v>1.91</v>
      </c>
      <c r="K26" s="9">
        <v>1.96</v>
      </c>
      <c r="L26" s="9">
        <v>2.59</v>
      </c>
      <c r="M26" s="9">
        <v>2.556</v>
      </c>
      <c r="N26" s="9">
        <v>2.8929999999999998</v>
      </c>
      <c r="O26" s="9">
        <v>2.8660000000000001</v>
      </c>
      <c r="P26" s="9">
        <v>27.4</v>
      </c>
      <c r="Q26" s="9">
        <v>28.2</v>
      </c>
      <c r="R26" s="9">
        <v>2.13</v>
      </c>
      <c r="S26" s="9">
        <v>2.2999999999999998</v>
      </c>
    </row>
    <row r="27" spans="1:19" s="3" customFormat="1" ht="15.75" customHeight="1" x14ac:dyDescent="0.2">
      <c r="A27" s="18">
        <v>40480</v>
      </c>
      <c r="B27" s="19">
        <v>14.2246575342466</v>
      </c>
      <c r="C27" s="11">
        <v>70.8</v>
      </c>
      <c r="D27" s="7">
        <v>178</v>
      </c>
      <c r="E27" s="19">
        <v>1.1465632120547899</v>
      </c>
      <c r="F27" s="20">
        <v>13.0780943221918</v>
      </c>
      <c r="H27" s="9">
        <v>1.1200000000000001</v>
      </c>
      <c r="I27" s="9">
        <v>1.17</v>
      </c>
      <c r="J27" s="9">
        <v>1.99</v>
      </c>
      <c r="K27" s="9">
        <v>2.0499999999999998</v>
      </c>
      <c r="L27" s="9">
        <v>2.5</v>
      </c>
      <c r="M27" s="9">
        <v>2.589</v>
      </c>
      <c r="N27" s="9">
        <v>3.02</v>
      </c>
      <c r="O27" s="9">
        <v>2.8</v>
      </c>
      <c r="P27" s="9">
        <v>23.1</v>
      </c>
      <c r="Q27" s="9">
        <v>24.7</v>
      </c>
      <c r="R27" s="9">
        <v>2.0299999999999998</v>
      </c>
      <c r="S27" s="9">
        <v>1.7</v>
      </c>
    </row>
    <row r="28" spans="1:19" s="3" customFormat="1" ht="15.75" customHeight="1" x14ac:dyDescent="0.2">
      <c r="A28" s="18">
        <v>40375</v>
      </c>
      <c r="B28" s="19">
        <v>14.5123287671233</v>
      </c>
      <c r="C28" s="11">
        <v>61.2</v>
      </c>
      <c r="D28" s="7">
        <v>175.2</v>
      </c>
      <c r="E28" s="19">
        <v>1.1847497440000001</v>
      </c>
      <c r="F28" s="20">
        <v>13.327579023123301</v>
      </c>
      <c r="H28" s="9">
        <v>1.27</v>
      </c>
      <c r="I28" s="9">
        <v>1.1599999999999999</v>
      </c>
      <c r="J28" s="9">
        <v>2.17</v>
      </c>
      <c r="K28" s="9">
        <v>2.0699999999999998</v>
      </c>
      <c r="L28" s="9">
        <v>2.9</v>
      </c>
      <c r="M28" s="9">
        <v>2.87</v>
      </c>
      <c r="N28" s="9">
        <v>2.9</v>
      </c>
      <c r="O28" s="9">
        <v>2.7370000000000001</v>
      </c>
      <c r="P28" s="9">
        <v>21.7</v>
      </c>
      <c r="Q28" s="9">
        <v>22.1</v>
      </c>
      <c r="R28" s="9">
        <v>1.68</v>
      </c>
      <c r="S28" s="9">
        <v>1.92</v>
      </c>
    </row>
    <row r="29" spans="1:19" s="3" customFormat="1" ht="15" customHeight="1" x14ac:dyDescent="0.2">
      <c r="A29" s="18">
        <v>40201</v>
      </c>
      <c r="B29" s="19">
        <v>14.9890410958904</v>
      </c>
      <c r="C29" s="11">
        <v>44.58</v>
      </c>
      <c r="D29" s="7">
        <v>161</v>
      </c>
      <c r="E29" s="19">
        <v>0.71757834082191696</v>
      </c>
      <c r="F29" s="20">
        <v>14.2714627550685</v>
      </c>
      <c r="H29" s="9">
        <v>1.1200000000000001</v>
      </c>
      <c r="I29" s="9">
        <v>1.1000000000000001</v>
      </c>
      <c r="J29" s="9">
        <v>2.02</v>
      </c>
      <c r="K29" s="9">
        <v>1.93</v>
      </c>
      <c r="L29" s="9">
        <v>2.512</v>
      </c>
      <c r="M29" s="9">
        <v>2.5680000000000001</v>
      </c>
      <c r="N29" s="9">
        <v>3.43</v>
      </c>
      <c r="O29" s="9">
        <v>3.2170000000000001</v>
      </c>
      <c r="P29" s="9">
        <v>29.2</v>
      </c>
      <c r="Q29" s="9">
        <v>30.2</v>
      </c>
      <c r="R29" s="9">
        <v>1.73</v>
      </c>
      <c r="S29" s="9">
        <v>1.95</v>
      </c>
    </row>
    <row r="30" spans="1:19" s="3" customFormat="1" x14ac:dyDescent="0.2">
      <c r="A30" s="18">
        <v>40201</v>
      </c>
      <c r="B30" s="19">
        <v>14.9890410958904</v>
      </c>
      <c r="C30" s="12">
        <v>47.9</v>
      </c>
      <c r="D30" s="7">
        <v>163</v>
      </c>
      <c r="E30" s="19">
        <v>0.82587116493150703</v>
      </c>
      <c r="F30" s="20">
        <v>14.163169930958899</v>
      </c>
      <c r="H30" s="9">
        <v>1.1499999999999999</v>
      </c>
      <c r="I30" s="9">
        <v>1.0900000000000001</v>
      </c>
      <c r="J30" s="9">
        <v>2.09</v>
      </c>
      <c r="K30" s="9">
        <v>1.95</v>
      </c>
      <c r="L30" s="9">
        <v>2.5920000000000001</v>
      </c>
      <c r="M30" s="9">
        <v>2.9239999999999999</v>
      </c>
      <c r="N30" s="9">
        <v>2.9380000000000002</v>
      </c>
      <c r="O30" s="9">
        <v>2.9710000000000001</v>
      </c>
      <c r="P30" s="9">
        <v>24.5</v>
      </c>
      <c r="Q30" s="9">
        <v>25.2</v>
      </c>
      <c r="R30" s="9">
        <v>1.78</v>
      </c>
      <c r="S30" s="9">
        <v>2</v>
      </c>
    </row>
    <row r="31" spans="1:19" s="3" customFormat="1" x14ac:dyDescent="0.2">
      <c r="A31" s="18">
        <v>40382</v>
      </c>
      <c r="B31" s="19">
        <v>14.4931506849315</v>
      </c>
      <c r="C31" s="11">
        <v>60.25</v>
      </c>
      <c r="D31" s="7">
        <v>169.6</v>
      </c>
      <c r="E31" s="19">
        <v>0.87942375780821802</v>
      </c>
      <c r="F31" s="20">
        <v>13.613726927123301</v>
      </c>
      <c r="H31" s="9">
        <v>1.19</v>
      </c>
      <c r="I31" s="9">
        <v>1.06</v>
      </c>
      <c r="J31" s="9">
        <v>2.1</v>
      </c>
      <c r="K31" s="9">
        <v>2.06</v>
      </c>
      <c r="L31" s="9">
        <v>2.9</v>
      </c>
      <c r="M31" s="9">
        <v>2.83</v>
      </c>
      <c r="N31" s="9">
        <v>2.851</v>
      </c>
      <c r="O31" s="9">
        <v>2.4860000000000002</v>
      </c>
      <c r="P31" s="9">
        <v>20.7</v>
      </c>
      <c r="Q31" s="9">
        <v>22.8</v>
      </c>
      <c r="R31" s="9">
        <v>2.08</v>
      </c>
      <c r="S31" s="9">
        <v>2.25</v>
      </c>
    </row>
    <row r="32" spans="1:19" s="3" customFormat="1" x14ac:dyDescent="0.2">
      <c r="A32" s="18">
        <v>40381</v>
      </c>
      <c r="B32" s="19">
        <v>14.4958904109589</v>
      </c>
      <c r="C32" s="12">
        <v>73.099999999999994</v>
      </c>
      <c r="D32" s="9">
        <v>179.5</v>
      </c>
      <c r="E32" s="19">
        <v>1.3995153364383599</v>
      </c>
      <c r="F32" s="20">
        <v>13.0963750745205</v>
      </c>
      <c r="H32" s="9">
        <v>1.1599999999999999</v>
      </c>
      <c r="I32" s="9">
        <v>1.06</v>
      </c>
      <c r="J32" s="9">
        <v>2.0299999999999998</v>
      </c>
      <c r="K32" s="9">
        <v>1.97</v>
      </c>
      <c r="L32" s="9">
        <v>2.4649999999999999</v>
      </c>
      <c r="M32" s="9">
        <v>2.6240000000000001</v>
      </c>
      <c r="N32" s="9">
        <v>2.669</v>
      </c>
      <c r="O32" s="9">
        <v>2.464</v>
      </c>
      <c r="P32" s="9">
        <v>31.5</v>
      </c>
      <c r="Q32" s="9">
        <v>32.5</v>
      </c>
      <c r="R32" s="9">
        <v>2</v>
      </c>
      <c r="S32" s="9">
        <v>2.17</v>
      </c>
    </row>
    <row r="33" spans="1:19" s="3" customFormat="1" x14ac:dyDescent="0.2">
      <c r="A33" s="18">
        <v>40366</v>
      </c>
      <c r="B33" s="19">
        <v>14.5369863013699</v>
      </c>
      <c r="C33" s="12">
        <v>67</v>
      </c>
      <c r="D33" s="7">
        <v>175.8</v>
      </c>
      <c r="E33" s="19">
        <v>1.2318633575890401</v>
      </c>
      <c r="F33" s="20">
        <v>13.3051229437808</v>
      </c>
      <c r="H33" s="9">
        <v>1.1200000000000001</v>
      </c>
      <c r="I33" s="9">
        <v>1.113</v>
      </c>
      <c r="J33" s="9">
        <v>1.931</v>
      </c>
      <c r="K33" s="9">
        <v>1.8979999999999999</v>
      </c>
      <c r="L33" s="9">
        <v>2.6259999999999999</v>
      </c>
      <c r="M33" s="9">
        <v>2.7789999999999999</v>
      </c>
      <c r="N33" s="9">
        <v>2.298</v>
      </c>
      <c r="O33" s="9">
        <v>2.5880000000000001</v>
      </c>
      <c r="P33" s="9">
        <v>30.5</v>
      </c>
      <c r="Q33" s="9">
        <v>26.2</v>
      </c>
      <c r="R33" s="9">
        <v>2</v>
      </c>
      <c r="S33" s="9">
        <v>2.2999999999999998</v>
      </c>
    </row>
    <row r="34" spans="1:19" s="3" customFormat="1" x14ac:dyDescent="0.2">
      <c r="A34" s="18">
        <v>40411</v>
      </c>
      <c r="B34" s="19">
        <v>14.413698630137</v>
      </c>
      <c r="C34" s="12">
        <v>59.8</v>
      </c>
      <c r="D34" s="9">
        <v>171.2</v>
      </c>
      <c r="E34" s="19">
        <v>0.91405529227397198</v>
      </c>
      <c r="F34" s="20">
        <v>13.499643337863001</v>
      </c>
      <c r="H34" s="9">
        <v>1.21</v>
      </c>
      <c r="I34" s="9">
        <v>1.1499999999999999</v>
      </c>
      <c r="J34" s="9">
        <v>2.04</v>
      </c>
      <c r="K34" s="9">
        <v>2</v>
      </c>
      <c r="L34" s="9">
        <v>3.02</v>
      </c>
      <c r="M34" s="9">
        <v>2.74</v>
      </c>
      <c r="N34" s="9">
        <v>2.85</v>
      </c>
      <c r="O34" s="9">
        <v>2.65</v>
      </c>
      <c r="P34" s="9">
        <v>26.7</v>
      </c>
      <c r="Q34" s="9">
        <v>20.3</v>
      </c>
      <c r="R34" s="9">
        <v>2.0499999999999998</v>
      </c>
      <c r="S34" s="9">
        <v>2.1</v>
      </c>
    </row>
    <row r="35" spans="1:19" s="3" customFormat="1" x14ac:dyDescent="0.2">
      <c r="A35" s="18">
        <v>40226</v>
      </c>
      <c r="B35" s="19">
        <v>14.920547945205501</v>
      </c>
      <c r="C35" s="13">
        <v>49.5</v>
      </c>
      <c r="D35" s="7">
        <v>161</v>
      </c>
      <c r="E35" s="19">
        <v>0.67774297095890401</v>
      </c>
      <c r="F35" s="20">
        <v>14.242804974246599</v>
      </c>
      <c r="H35" s="9">
        <v>1.07</v>
      </c>
      <c r="I35" s="9">
        <v>1.0680000000000001</v>
      </c>
      <c r="J35" s="9">
        <v>1.76</v>
      </c>
      <c r="K35" s="9">
        <v>1.77</v>
      </c>
      <c r="L35" s="9">
        <v>2.4580000000000002</v>
      </c>
      <c r="M35" s="9">
        <v>2.5350000000000001</v>
      </c>
      <c r="N35" s="9">
        <v>2.85</v>
      </c>
      <c r="O35" s="9">
        <v>2.7290000000000001</v>
      </c>
      <c r="P35" s="9">
        <v>38.299999999999997</v>
      </c>
      <c r="Q35" s="9">
        <v>39.799999999999997</v>
      </c>
      <c r="R35" s="9">
        <v>2.4</v>
      </c>
      <c r="S35" s="9">
        <v>2.6</v>
      </c>
    </row>
    <row r="36" spans="1:19" s="3" customFormat="1" x14ac:dyDescent="0.2">
      <c r="A36" s="18">
        <v>40316</v>
      </c>
      <c r="B36" s="19">
        <v>14.673972602739701</v>
      </c>
      <c r="C36" s="11">
        <v>65.900000000000006</v>
      </c>
      <c r="D36" s="7">
        <v>180</v>
      </c>
      <c r="E36" s="19">
        <v>1.54149255342466</v>
      </c>
      <c r="F36" s="20">
        <v>13.132480049315101</v>
      </c>
      <c r="H36" s="9">
        <v>1.1499999999999999</v>
      </c>
      <c r="I36" s="9">
        <v>1.1599999999999999</v>
      </c>
      <c r="J36" s="9">
        <v>1.97</v>
      </c>
      <c r="K36" s="9">
        <v>2.0099999999999998</v>
      </c>
      <c r="L36" s="9">
        <v>2.72</v>
      </c>
      <c r="M36" s="9">
        <v>2.69</v>
      </c>
      <c r="N36" s="9">
        <v>3</v>
      </c>
      <c r="O36" s="9">
        <v>2.98</v>
      </c>
      <c r="P36" s="9">
        <v>26.5</v>
      </c>
      <c r="Q36" s="9">
        <v>30.4</v>
      </c>
      <c r="R36" s="9">
        <v>1.85</v>
      </c>
      <c r="S36" s="9">
        <v>1.9</v>
      </c>
    </row>
    <row r="37" spans="1:19" s="3" customFormat="1" x14ac:dyDescent="0.2">
      <c r="A37" s="18">
        <v>40436</v>
      </c>
      <c r="B37" s="19">
        <v>14.345205479452099</v>
      </c>
      <c r="C37" s="6">
        <v>46.8</v>
      </c>
      <c r="D37" s="7">
        <v>166.2</v>
      </c>
      <c r="E37" s="19">
        <v>0.61259308953424596</v>
      </c>
      <c r="F37" s="20">
        <v>13.732612389917801</v>
      </c>
      <c r="H37" s="9">
        <v>1.093</v>
      </c>
      <c r="I37" s="9">
        <v>1.165</v>
      </c>
      <c r="J37" s="9">
        <v>1.968</v>
      </c>
      <c r="K37" s="9">
        <v>1.99</v>
      </c>
      <c r="L37" s="9">
        <v>2.629</v>
      </c>
      <c r="M37" s="9">
        <v>2.4710000000000001</v>
      </c>
      <c r="N37" s="9">
        <v>2.4239999999999999</v>
      </c>
      <c r="O37" s="9">
        <v>2.6819999999999999</v>
      </c>
      <c r="P37" s="9">
        <v>29.9</v>
      </c>
      <c r="Q37" s="9">
        <v>29.4</v>
      </c>
      <c r="R37" s="9">
        <v>2.1</v>
      </c>
      <c r="S37" s="9">
        <v>2.1</v>
      </c>
    </row>
    <row r="38" spans="1:19" s="3" customFormat="1" x14ac:dyDescent="0.2">
      <c r="A38" s="18">
        <v>40350</v>
      </c>
      <c r="B38" s="19">
        <v>14.580821917808199</v>
      </c>
      <c r="C38" s="6">
        <v>58.2</v>
      </c>
      <c r="D38" s="7">
        <v>171.5</v>
      </c>
      <c r="E38" s="19">
        <v>1.0332130279452101</v>
      </c>
      <c r="F38" s="20">
        <v>13.547608889863</v>
      </c>
      <c r="H38" s="9">
        <v>1.1299999999999999</v>
      </c>
      <c r="I38" s="9">
        <v>1.07</v>
      </c>
      <c r="J38" s="9">
        <v>2</v>
      </c>
      <c r="K38" s="9">
        <v>1.97</v>
      </c>
      <c r="L38" s="9">
        <v>2.7080000000000002</v>
      </c>
      <c r="M38" s="9">
        <v>2.6440000000000001</v>
      </c>
      <c r="N38" s="9">
        <v>2.82</v>
      </c>
      <c r="O38" s="9">
        <v>3.0939999999999999</v>
      </c>
      <c r="P38" s="9">
        <v>20.7</v>
      </c>
      <c r="Q38" s="9">
        <v>22.7</v>
      </c>
      <c r="R38" s="9">
        <v>2.08</v>
      </c>
      <c r="S38" s="9">
        <v>2.2000000000000002</v>
      </c>
    </row>
    <row r="39" spans="1:19" s="3" customFormat="1" x14ac:dyDescent="0.2">
      <c r="A39" s="18">
        <v>40203</v>
      </c>
      <c r="B39" s="19">
        <v>14.9835616438356</v>
      </c>
      <c r="C39" s="11">
        <v>46.2</v>
      </c>
      <c r="D39" s="7">
        <v>166.3</v>
      </c>
      <c r="E39" s="19">
        <v>1.0012625870684899</v>
      </c>
      <c r="F39" s="20">
        <v>13.982299056767101</v>
      </c>
      <c r="H39" s="9">
        <v>1.1499999999999999</v>
      </c>
      <c r="I39" s="9">
        <v>1.1000000000000001</v>
      </c>
      <c r="J39" s="9">
        <v>2.1</v>
      </c>
      <c r="K39" s="9">
        <v>2.09</v>
      </c>
      <c r="L39" s="9">
        <v>2.78</v>
      </c>
      <c r="M39" s="9">
        <v>2.6</v>
      </c>
      <c r="N39" s="9">
        <v>2.8330000000000002</v>
      </c>
      <c r="O39" s="9">
        <v>3.0569999999999999</v>
      </c>
      <c r="P39" s="9">
        <v>18</v>
      </c>
      <c r="Q39" s="9">
        <v>17.5</v>
      </c>
      <c r="R39" s="9">
        <v>2</v>
      </c>
      <c r="S39" s="9">
        <v>2.0699999999999998</v>
      </c>
    </row>
    <row r="40" spans="1:19" s="3" customFormat="1" x14ac:dyDescent="0.2">
      <c r="A40" s="18">
        <v>40324</v>
      </c>
      <c r="B40" s="19">
        <v>14.652054794520501</v>
      </c>
      <c r="C40" s="11">
        <v>66.25</v>
      </c>
      <c r="D40" s="9">
        <v>171.2</v>
      </c>
      <c r="E40" s="19">
        <v>1.0614649650411001</v>
      </c>
      <c r="F40" s="20">
        <v>13.5905898294795</v>
      </c>
      <c r="H40" s="9">
        <v>1.1499999999999999</v>
      </c>
      <c r="I40" s="9">
        <v>1.1000000000000001</v>
      </c>
      <c r="J40" s="9">
        <v>1.99</v>
      </c>
      <c r="K40" s="9">
        <v>1.94</v>
      </c>
      <c r="L40" s="9">
        <v>2.544</v>
      </c>
      <c r="M40" s="9">
        <v>2.5539999999999998</v>
      </c>
      <c r="N40" s="9">
        <v>2.6619999999999999</v>
      </c>
      <c r="O40" s="9">
        <v>2.65</v>
      </c>
      <c r="P40" s="9">
        <v>28.6</v>
      </c>
      <c r="Q40" s="9">
        <v>26.2</v>
      </c>
      <c r="R40" s="9">
        <v>2</v>
      </c>
      <c r="S40" s="9">
        <v>2.08</v>
      </c>
    </row>
    <row r="41" spans="1:19" s="3" customFormat="1" x14ac:dyDescent="0.2">
      <c r="A41" s="18">
        <v>40452</v>
      </c>
      <c r="B41" s="19">
        <v>14.301369863013701</v>
      </c>
      <c r="C41" s="11">
        <v>52.3</v>
      </c>
      <c r="D41" s="7">
        <v>174</v>
      </c>
      <c r="E41" s="19">
        <v>0.98924071780821998</v>
      </c>
      <c r="F41" s="20">
        <v>13.3121291452055</v>
      </c>
      <c r="H41" s="9">
        <v>1.1399999999999999</v>
      </c>
      <c r="I41" s="9">
        <v>1.04</v>
      </c>
      <c r="J41" s="9">
        <v>1.94</v>
      </c>
      <c r="K41" s="9">
        <v>1.86</v>
      </c>
      <c r="L41" s="9">
        <v>2.7</v>
      </c>
      <c r="M41" s="9">
        <v>2.69</v>
      </c>
      <c r="N41" s="9">
        <v>2.75</v>
      </c>
      <c r="O41" s="9">
        <v>2.57</v>
      </c>
      <c r="P41" s="9">
        <v>27</v>
      </c>
      <c r="Q41" s="9">
        <v>28.5</v>
      </c>
      <c r="R41" s="9">
        <v>2.1</v>
      </c>
      <c r="S41" s="9">
        <v>2.1</v>
      </c>
    </row>
  </sheetData>
  <mergeCells count="14">
    <mergeCell ref="A2:E2"/>
    <mergeCell ref="A23:E23"/>
    <mergeCell ref="H25:I25"/>
    <mergeCell ref="J25:K25"/>
    <mergeCell ref="L25:M25"/>
    <mergeCell ref="H4:I4"/>
    <mergeCell ref="J4:K4"/>
    <mergeCell ref="L4:M4"/>
    <mergeCell ref="N25:O25"/>
    <mergeCell ref="P25:Q25"/>
    <mergeCell ref="R25:S25"/>
    <mergeCell ref="P4:Q4"/>
    <mergeCell ref="R4:S4"/>
    <mergeCell ref="N4:O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CC3C-76E4-6746-994E-040F8BA07BAD}">
  <dimension ref="A1:AE73"/>
  <sheetViews>
    <sheetView zoomScale="120" zoomScaleNormal="120" workbookViewId="0">
      <selection activeCell="K4" sqref="K4"/>
    </sheetView>
  </sheetViews>
  <sheetFormatPr baseColWidth="10" defaultRowHeight="15" x14ac:dyDescent="0.2"/>
  <cols>
    <col min="1" max="1" width="10.83203125" style="3"/>
  </cols>
  <sheetData>
    <row r="1" spans="1:31" x14ac:dyDescent="0.2">
      <c r="A1" s="25" t="s">
        <v>14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17</v>
      </c>
      <c r="I1" s="25" t="s">
        <v>18</v>
      </c>
      <c r="J1" s="25" t="s">
        <v>33</v>
      </c>
      <c r="K1" s="25" t="s">
        <v>19</v>
      </c>
      <c r="L1" s="25" t="s">
        <v>20</v>
      </c>
      <c r="M1" s="25" t="s">
        <v>34</v>
      </c>
      <c r="N1" s="25" t="s">
        <v>21</v>
      </c>
      <c r="O1" s="25" t="s">
        <v>22</v>
      </c>
      <c r="P1" s="25" t="s">
        <v>35</v>
      </c>
      <c r="Q1" s="25" t="s">
        <v>24</v>
      </c>
      <c r="R1" s="25" t="s">
        <v>36</v>
      </c>
      <c r="S1" s="25" t="s">
        <v>25</v>
      </c>
      <c r="T1" s="25" t="s">
        <v>26</v>
      </c>
      <c r="U1" s="25" t="s">
        <v>27</v>
      </c>
      <c r="V1" s="25" t="s">
        <v>28</v>
      </c>
      <c r="W1" s="25" t="s">
        <v>29</v>
      </c>
      <c r="X1" s="25" t="s">
        <v>30</v>
      </c>
      <c r="Y1" s="25" t="s">
        <v>31</v>
      </c>
      <c r="Z1" s="25" t="s">
        <v>49</v>
      </c>
      <c r="AA1" s="25" t="s">
        <v>50</v>
      </c>
      <c r="AB1" s="25" t="s">
        <v>51</v>
      </c>
      <c r="AC1" s="25" t="s">
        <v>52</v>
      </c>
      <c r="AD1" s="25" t="s">
        <v>53</v>
      </c>
      <c r="AE1" s="25" t="s">
        <v>54</v>
      </c>
    </row>
    <row r="2" spans="1:31" x14ac:dyDescent="0.2">
      <c r="A2" s="3">
        <v>1</v>
      </c>
      <c r="B2">
        <v>1.07</v>
      </c>
      <c r="C2">
        <v>1.87</v>
      </c>
      <c r="D2">
        <v>2.39</v>
      </c>
      <c r="E2">
        <v>2.69</v>
      </c>
      <c r="F2">
        <v>31.1</v>
      </c>
      <c r="G2">
        <v>2.2000000000000002</v>
      </c>
      <c r="H2" s="26">
        <f>(STANDARDIZE(B2,B$70,B$71))*-1</f>
        <v>0.99854090181843647</v>
      </c>
      <c r="I2" s="26">
        <f>(STANDARDIZE(C2,C$70,C$71))*-1</f>
        <v>0.82997555945247203</v>
      </c>
      <c r="J2" s="26">
        <f>AVERAGE(H2,I2)</f>
        <v>0.91425823063545431</v>
      </c>
      <c r="K2" s="26">
        <f>(STANDARDIZE(D2,D$70,D$71))*-1</f>
        <v>1.2287678526080776</v>
      </c>
      <c r="L2" s="26">
        <f>(STANDARDIZE(E2,E$70,E$71))*-1</f>
        <v>0.2602802235071216</v>
      </c>
      <c r="M2" s="26">
        <f>AVERAGE(K2,L2)</f>
        <v>0.74452403805759959</v>
      </c>
      <c r="N2" s="26">
        <f t="shared" ref="N2:N17" si="0">STANDARDIZE(F2,F$70,F$71)</f>
        <v>0.60590223546155586</v>
      </c>
      <c r="O2" s="26">
        <f t="shared" ref="O2:O17" si="1">STANDARDIZE(G2,G$70,G$71)</f>
        <v>0.43239899759205525</v>
      </c>
      <c r="P2" s="26">
        <f>AVERAGE(N2,O2)</f>
        <v>0.51915061652680561</v>
      </c>
      <c r="Q2" s="26">
        <f>AVERAGE(H2:O2)</f>
        <v>0.75183100489159671</v>
      </c>
      <c r="R2">
        <f>RANK(Q$2,Q$2:Q$69)</f>
        <v>10</v>
      </c>
      <c r="S2" s="27">
        <f>(H2*10)+50</f>
        <v>59.985409018184363</v>
      </c>
      <c r="T2" s="27">
        <f>(I2*10)+50</f>
        <v>58.299755594524719</v>
      </c>
      <c r="U2" s="27">
        <f t="shared" ref="U2:U33" si="2">(K2*10)+50</f>
        <v>62.287678526080775</v>
      </c>
      <c r="V2" s="27">
        <f t="shared" ref="V2:V33" si="3">(L2*10)+50</f>
        <v>52.602802235071216</v>
      </c>
      <c r="W2" s="27">
        <f t="shared" ref="W2:W33" si="4">(N2*10)+50</f>
        <v>56.059022354615557</v>
      </c>
      <c r="X2" s="27">
        <f t="shared" ref="X2:X33" si="5">(O2*10)+50</f>
        <v>54.323989975920554</v>
      </c>
      <c r="Y2" s="27">
        <f t="shared" ref="Y2:Y17" si="6">(Q2*10)+50</f>
        <v>57.518310048915964</v>
      </c>
      <c r="Z2">
        <f>_xlfn.RANK.EQ(B2,B$2:B$69, 1)</f>
        <v>13</v>
      </c>
      <c r="AA2">
        <f>_xlfn.RANK.EQ(C2,C$2:C$69,1)</f>
        <v>13</v>
      </c>
      <c r="AB2">
        <f>_xlfn.RANK.EQ(D2,D$2:D$69,1)</f>
        <v>5</v>
      </c>
      <c r="AC2">
        <f>_xlfn.RANK.EQ(E2,E$2:E$69,1)</f>
        <v>31</v>
      </c>
      <c r="AD2">
        <f>RANK(F2,F$2:F$69)</f>
        <v>18</v>
      </c>
      <c r="AE2">
        <f>RANK(G2,G$2:G$69)</f>
        <v>17</v>
      </c>
    </row>
    <row r="3" spans="1:31" x14ac:dyDescent="0.2">
      <c r="A3" s="3">
        <v>2</v>
      </c>
      <c r="B3">
        <v>1.1100000000000001</v>
      </c>
      <c r="C3">
        <v>1.92</v>
      </c>
      <c r="D3">
        <v>2.4700000000000002</v>
      </c>
      <c r="E3">
        <v>2.98</v>
      </c>
      <c r="F3">
        <v>27.2</v>
      </c>
      <c r="G3">
        <v>2.1</v>
      </c>
      <c r="H3" s="26">
        <f t="shared" ref="H3:H66" si="7">(STANDARDIZE(B3,B$70,B$71))*-1</f>
        <v>0.29472352608737479</v>
      </c>
      <c r="I3" s="26">
        <f t="shared" ref="I3:I66" si="8">(STANDARDIZE(C3,C$70,C$71))*-1</f>
        <v>0.32579172844686044</v>
      </c>
      <c r="J3" s="26">
        <f t="shared" ref="J3:J66" si="9">AVERAGE(H3,I3)</f>
        <v>0.31025762726711759</v>
      </c>
      <c r="K3" s="26">
        <f t="shared" ref="K3:K66" si="10">(STANDARDIZE(D3,D$70,D$71))*-1</f>
        <v>0.70317443240144761</v>
      </c>
      <c r="L3" s="26">
        <f t="shared" ref="L3:L66" si="11">(STANDARDIZE(E3,E$70,E$71))*-1</f>
        <v>-1.1124734559687826</v>
      </c>
      <c r="M3" s="26">
        <f t="shared" ref="M3:M66" si="12">AVERAGE(K3,L3)</f>
        <v>-0.20464951178366747</v>
      </c>
      <c r="N3" s="26">
        <f t="shared" si="0"/>
        <v>-7.6993101743733874E-2</v>
      </c>
      <c r="O3" s="26">
        <f t="shared" si="1"/>
        <v>1.2680322510038526E-3</v>
      </c>
      <c r="P3" s="26">
        <f t="shared" ref="P3:P66" si="13">AVERAGE(N3,O3)</f>
        <v>-3.7862534746365008E-2</v>
      </c>
      <c r="Q3" s="26">
        <f t="shared" ref="Q3:Q66" si="14">AVERAGE(H3:O3)</f>
        <v>3.0137409619702529E-2</v>
      </c>
      <c r="R3">
        <f>RANK(Q3,Q$2:Q$69)</f>
        <v>30</v>
      </c>
      <c r="S3" s="27">
        <f t="shared" ref="S3:S66" si="15">(H3*10)+50</f>
        <v>52.947235260873747</v>
      </c>
      <c r="T3" s="27">
        <f t="shared" ref="T3:T66" si="16">(I3*10)+50</f>
        <v>53.257917284468604</v>
      </c>
      <c r="U3" s="27">
        <f t="shared" si="2"/>
        <v>57.031744324014475</v>
      </c>
      <c r="V3" s="27">
        <f t="shared" si="3"/>
        <v>38.875265440312177</v>
      </c>
      <c r="W3" s="27">
        <f t="shared" si="4"/>
        <v>49.230068982562663</v>
      </c>
      <c r="X3" s="27">
        <f t="shared" si="5"/>
        <v>50.012680322510036</v>
      </c>
      <c r="Y3" s="27">
        <f t="shared" si="6"/>
        <v>50.301374096197023</v>
      </c>
      <c r="Z3">
        <f t="shared" ref="Z3:Z66" si="17">_xlfn.RANK.EQ(B3,B$2:B$69, 1)</f>
        <v>25</v>
      </c>
      <c r="AA3">
        <f t="shared" ref="AA3:AA66" si="18">_xlfn.RANK.EQ(C3,C$2:C$69,1)</f>
        <v>24</v>
      </c>
      <c r="AB3">
        <f t="shared" ref="AB3:AB66" si="19">_xlfn.RANK.EQ(D3,D$2:D$69,1)</f>
        <v>18</v>
      </c>
      <c r="AC3">
        <f t="shared" ref="AC3:AC66" si="20">_xlfn.RANK.EQ(E3,E$2:E$69,1)</f>
        <v>58</v>
      </c>
      <c r="AD3">
        <f t="shared" ref="AD3:AD66" si="21">RANK(F3,F$2:F$69)</f>
        <v>33</v>
      </c>
      <c r="AE3">
        <f t="shared" ref="AE3:AE66" si="22">RANK(G3,G$2:G$69)</f>
        <v>25</v>
      </c>
    </row>
    <row r="4" spans="1:31" x14ac:dyDescent="0.2">
      <c r="A4" s="3">
        <v>3</v>
      </c>
      <c r="B4">
        <v>1.1399999999999999</v>
      </c>
      <c r="C4">
        <v>1.87</v>
      </c>
      <c r="D4">
        <v>2.42</v>
      </c>
      <c r="E4">
        <v>2.7</v>
      </c>
      <c r="F4">
        <v>34.299999999999997</v>
      </c>
      <c r="G4">
        <v>2.2999999999999998</v>
      </c>
      <c r="H4" s="26">
        <f t="shared" si="7"/>
        <v>-0.2331395057109176</v>
      </c>
      <c r="I4" s="26">
        <f t="shared" si="8"/>
        <v>0.82997555945247203</v>
      </c>
      <c r="J4" s="26">
        <f t="shared" si="9"/>
        <v>0.29841802687077723</v>
      </c>
      <c r="K4" s="26">
        <f t="shared" si="10"/>
        <v>1.0316703200305928</v>
      </c>
      <c r="L4" s="26">
        <f t="shared" si="11"/>
        <v>0.21294388973208933</v>
      </c>
      <c r="M4" s="26">
        <f t="shared" si="12"/>
        <v>0.62230710488134111</v>
      </c>
      <c r="N4" s="26">
        <f t="shared" si="0"/>
        <v>1.1662266147069207</v>
      </c>
      <c r="O4" s="26">
        <f t="shared" si="1"/>
        <v>0.86352996293310469</v>
      </c>
      <c r="P4" s="26">
        <f t="shared" si="13"/>
        <v>1.0148782888200127</v>
      </c>
      <c r="Q4" s="26">
        <f t="shared" si="14"/>
        <v>0.59899149661204754</v>
      </c>
      <c r="R4">
        <f t="shared" ref="R4:R67" si="23">RANK(Q4,Q$2:Q$69)</f>
        <v>17</v>
      </c>
      <c r="S4" s="27">
        <f t="shared" si="15"/>
        <v>47.668604942890823</v>
      </c>
      <c r="T4" s="27">
        <f t="shared" si="16"/>
        <v>58.299755594524719</v>
      </c>
      <c r="U4" s="27">
        <f t="shared" si="2"/>
        <v>60.316703200305923</v>
      </c>
      <c r="V4" s="27">
        <f t="shared" si="3"/>
        <v>52.129438897320895</v>
      </c>
      <c r="W4" s="27">
        <f t="shared" si="4"/>
        <v>61.662266147069204</v>
      </c>
      <c r="X4" s="27">
        <f t="shared" si="5"/>
        <v>58.635299629331044</v>
      </c>
      <c r="Y4" s="27">
        <f t="shared" si="6"/>
        <v>55.989914966120473</v>
      </c>
      <c r="Z4">
        <f t="shared" si="17"/>
        <v>37</v>
      </c>
      <c r="AA4">
        <f t="shared" si="18"/>
        <v>13</v>
      </c>
      <c r="AB4">
        <f t="shared" si="19"/>
        <v>8</v>
      </c>
      <c r="AC4">
        <f t="shared" si="20"/>
        <v>33</v>
      </c>
      <c r="AD4">
        <f t="shared" si="21"/>
        <v>8</v>
      </c>
      <c r="AE4">
        <f t="shared" si="22"/>
        <v>7</v>
      </c>
    </row>
    <row r="5" spans="1:31" x14ac:dyDescent="0.2">
      <c r="A5" s="3">
        <v>4</v>
      </c>
      <c r="B5">
        <v>1.1399999999999999</v>
      </c>
      <c r="C5">
        <v>1.92</v>
      </c>
      <c r="D5">
        <v>2.48</v>
      </c>
      <c r="E5">
        <v>2.77</v>
      </c>
      <c r="F5">
        <v>23.9</v>
      </c>
      <c r="G5">
        <v>1.95</v>
      </c>
      <c r="H5" s="26">
        <f t="shared" si="7"/>
        <v>-0.2331395057109176</v>
      </c>
      <c r="I5" s="26">
        <f t="shared" si="8"/>
        <v>0.32579172844686044</v>
      </c>
      <c r="J5" s="26">
        <f t="shared" si="9"/>
        <v>4.632611136797142E-2</v>
      </c>
      <c r="K5" s="26">
        <f t="shared" si="10"/>
        <v>0.63747525487562029</v>
      </c>
      <c r="L5" s="26">
        <f t="shared" si="11"/>
        <v>-0.11841044669312811</v>
      </c>
      <c r="M5" s="26">
        <f t="shared" si="12"/>
        <v>0.25953240409124612</v>
      </c>
      <c r="N5" s="26">
        <f t="shared" si="0"/>
        <v>-0.65482761784051724</v>
      </c>
      <c r="O5" s="26">
        <f t="shared" si="1"/>
        <v>-0.64542841576057319</v>
      </c>
      <c r="P5" s="26">
        <f t="shared" si="13"/>
        <v>-0.65012801680054522</v>
      </c>
      <c r="Q5" s="26">
        <f t="shared" si="14"/>
        <v>-4.7835060902929744E-2</v>
      </c>
      <c r="R5">
        <f t="shared" si="23"/>
        <v>35</v>
      </c>
      <c r="S5" s="27">
        <f t="shared" si="15"/>
        <v>47.668604942890823</v>
      </c>
      <c r="T5" s="27">
        <f t="shared" si="16"/>
        <v>53.257917284468604</v>
      </c>
      <c r="U5" s="27">
        <f t="shared" si="2"/>
        <v>56.374752548756206</v>
      </c>
      <c r="V5" s="27">
        <f t="shared" si="3"/>
        <v>48.815895533068719</v>
      </c>
      <c r="W5" s="27">
        <f t="shared" si="4"/>
        <v>43.451723821594825</v>
      </c>
      <c r="X5" s="27">
        <f t="shared" si="5"/>
        <v>43.545715842394266</v>
      </c>
      <c r="Y5" s="27">
        <f t="shared" si="6"/>
        <v>49.521649390970701</v>
      </c>
      <c r="Z5">
        <f t="shared" si="17"/>
        <v>37</v>
      </c>
      <c r="AA5">
        <f t="shared" si="18"/>
        <v>24</v>
      </c>
      <c r="AB5">
        <f t="shared" si="19"/>
        <v>20</v>
      </c>
      <c r="AC5">
        <f t="shared" si="20"/>
        <v>41</v>
      </c>
      <c r="AD5">
        <f t="shared" si="21"/>
        <v>50</v>
      </c>
      <c r="AE5">
        <f t="shared" si="22"/>
        <v>53</v>
      </c>
    </row>
    <row r="6" spans="1:31" x14ac:dyDescent="0.2">
      <c r="A6" s="3">
        <v>5</v>
      </c>
      <c r="B6">
        <v>1.17</v>
      </c>
      <c r="C6">
        <v>1.93</v>
      </c>
      <c r="D6">
        <v>2.46</v>
      </c>
      <c r="E6">
        <v>2.66</v>
      </c>
      <c r="F6">
        <v>25.5</v>
      </c>
      <c r="G6">
        <v>1.93</v>
      </c>
      <c r="H6" s="26">
        <f t="shared" si="7"/>
        <v>-0.76100253750921387</v>
      </c>
      <c r="I6" s="26">
        <f t="shared" si="8"/>
        <v>0.22495496224573766</v>
      </c>
      <c r="J6" s="26">
        <f t="shared" si="9"/>
        <v>-0.26802378763173812</v>
      </c>
      <c r="K6" s="26">
        <f t="shared" si="10"/>
        <v>0.76887360992727782</v>
      </c>
      <c r="L6" s="26">
        <f t="shared" si="11"/>
        <v>0.40228922483221419</v>
      </c>
      <c r="M6" s="26">
        <f t="shared" si="12"/>
        <v>0.58558141737974601</v>
      </c>
      <c r="N6" s="26">
        <f t="shared" si="0"/>
        <v>-0.37466542821783422</v>
      </c>
      <c r="O6" s="26">
        <f t="shared" si="1"/>
        <v>-0.73165460882878353</v>
      </c>
      <c r="P6" s="26">
        <f t="shared" si="13"/>
        <v>-0.55316001852330887</v>
      </c>
      <c r="Q6" s="26">
        <f t="shared" si="14"/>
        <v>-1.9205893475324254E-2</v>
      </c>
      <c r="R6">
        <f t="shared" si="23"/>
        <v>32</v>
      </c>
      <c r="S6" s="27">
        <f t="shared" si="15"/>
        <v>42.389974624907865</v>
      </c>
      <c r="T6" s="27">
        <f t="shared" si="16"/>
        <v>52.24954962245738</v>
      </c>
      <c r="U6" s="27">
        <f t="shared" si="2"/>
        <v>57.688736099272781</v>
      </c>
      <c r="V6" s="27">
        <f t="shared" si="3"/>
        <v>54.022892248322144</v>
      </c>
      <c r="W6" s="27">
        <f t="shared" si="4"/>
        <v>46.253345717821659</v>
      </c>
      <c r="X6" s="27">
        <f t="shared" si="5"/>
        <v>42.683453911712164</v>
      </c>
      <c r="Y6" s="27">
        <f t="shared" si="6"/>
        <v>49.807941065246759</v>
      </c>
      <c r="Z6">
        <f t="shared" si="17"/>
        <v>57</v>
      </c>
      <c r="AA6">
        <f t="shared" si="18"/>
        <v>27</v>
      </c>
      <c r="AB6">
        <f t="shared" si="19"/>
        <v>15</v>
      </c>
      <c r="AC6">
        <f t="shared" si="20"/>
        <v>26</v>
      </c>
      <c r="AD6">
        <f t="shared" si="21"/>
        <v>45</v>
      </c>
      <c r="AE6">
        <f t="shared" si="22"/>
        <v>55</v>
      </c>
    </row>
    <row r="7" spans="1:31" x14ac:dyDescent="0.2">
      <c r="A7" s="3">
        <v>6</v>
      </c>
      <c r="B7">
        <v>1.25</v>
      </c>
      <c r="C7">
        <v>2.02</v>
      </c>
      <c r="D7">
        <v>2.4900000000000002</v>
      </c>
      <c r="E7">
        <v>2.71</v>
      </c>
      <c r="F7">
        <v>31.3</v>
      </c>
      <c r="G7">
        <v>2.2000000000000002</v>
      </c>
      <c r="H7" s="26">
        <f t="shared" si="7"/>
        <v>-2.1686372889713375</v>
      </c>
      <c r="I7" s="26">
        <f t="shared" si="8"/>
        <v>-0.68257593356436719</v>
      </c>
      <c r="J7" s="26">
        <f t="shared" si="9"/>
        <v>-1.4256066112678523</v>
      </c>
      <c r="K7" s="26">
        <f t="shared" si="10"/>
        <v>0.57177607734979008</v>
      </c>
      <c r="L7" s="26">
        <f t="shared" si="11"/>
        <v>0.16560755595705917</v>
      </c>
      <c r="M7" s="26">
        <f t="shared" si="12"/>
        <v>0.36869181665342465</v>
      </c>
      <c r="N7" s="26">
        <f t="shared" si="0"/>
        <v>0.64092250916439109</v>
      </c>
      <c r="O7" s="26">
        <f t="shared" si="1"/>
        <v>0.43239899759205525</v>
      </c>
      <c r="P7" s="26">
        <f t="shared" si="13"/>
        <v>0.53666075337822317</v>
      </c>
      <c r="Q7" s="26">
        <f t="shared" si="14"/>
        <v>-0.2621778596358546</v>
      </c>
      <c r="R7">
        <f t="shared" si="23"/>
        <v>44</v>
      </c>
      <c r="S7" s="27">
        <f t="shared" si="15"/>
        <v>28.313627110286625</v>
      </c>
      <c r="T7" s="27">
        <f t="shared" si="16"/>
        <v>43.174240664356326</v>
      </c>
      <c r="U7" s="27">
        <f t="shared" si="2"/>
        <v>55.717760773497901</v>
      </c>
      <c r="V7" s="27">
        <f t="shared" si="3"/>
        <v>51.656075559570588</v>
      </c>
      <c r="W7" s="27">
        <f t="shared" si="4"/>
        <v>56.409225091643911</v>
      </c>
      <c r="X7" s="27">
        <f t="shared" si="5"/>
        <v>54.323989975920554</v>
      </c>
      <c r="Y7" s="27">
        <f t="shared" si="6"/>
        <v>47.378221403641454</v>
      </c>
      <c r="Z7">
        <f t="shared" si="17"/>
        <v>66</v>
      </c>
      <c r="AA7">
        <f t="shared" si="18"/>
        <v>53</v>
      </c>
      <c r="AB7">
        <f t="shared" si="19"/>
        <v>21</v>
      </c>
      <c r="AC7">
        <f t="shared" si="20"/>
        <v>35</v>
      </c>
      <c r="AD7">
        <f t="shared" si="21"/>
        <v>17</v>
      </c>
      <c r="AE7">
        <f t="shared" si="22"/>
        <v>17</v>
      </c>
    </row>
    <row r="8" spans="1:31" x14ac:dyDescent="0.2">
      <c r="A8" s="3">
        <v>7</v>
      </c>
      <c r="B8">
        <v>1.1299999999999999</v>
      </c>
      <c r="C8">
        <v>1.87</v>
      </c>
      <c r="D8">
        <v>2.5099999999999998</v>
      </c>
      <c r="E8">
        <v>2.69</v>
      </c>
      <c r="F8">
        <v>28.1</v>
      </c>
      <c r="G8">
        <v>2.0499999999999998</v>
      </c>
      <c r="H8" s="26">
        <f t="shared" si="7"/>
        <v>-5.718516177815218E-2</v>
      </c>
      <c r="I8" s="26">
        <f t="shared" si="8"/>
        <v>0.82997555945247203</v>
      </c>
      <c r="J8" s="26">
        <f t="shared" si="9"/>
        <v>0.38639519883715995</v>
      </c>
      <c r="K8" s="26">
        <f t="shared" si="10"/>
        <v>0.44037772229813554</v>
      </c>
      <c r="L8" s="26">
        <f t="shared" si="11"/>
        <v>0.2602802235071216</v>
      </c>
      <c r="M8" s="26">
        <f t="shared" si="12"/>
        <v>0.35032897290262854</v>
      </c>
      <c r="N8" s="26">
        <f t="shared" si="0"/>
        <v>8.0598129919025582E-2</v>
      </c>
      <c r="O8" s="26">
        <f t="shared" si="1"/>
        <v>-0.21429745041952281</v>
      </c>
      <c r="P8" s="26">
        <f t="shared" si="13"/>
        <v>-6.6849660250248605E-2</v>
      </c>
      <c r="Q8" s="26">
        <f t="shared" si="14"/>
        <v>0.25955914933985852</v>
      </c>
      <c r="R8">
        <f t="shared" si="23"/>
        <v>25</v>
      </c>
      <c r="S8" s="27">
        <f t="shared" si="15"/>
        <v>49.428148382218481</v>
      </c>
      <c r="T8" s="27">
        <f t="shared" si="16"/>
        <v>58.299755594524719</v>
      </c>
      <c r="U8" s="27">
        <f t="shared" si="2"/>
        <v>54.403777222981354</v>
      </c>
      <c r="V8" s="27">
        <f t="shared" si="3"/>
        <v>52.602802235071216</v>
      </c>
      <c r="W8" s="27">
        <f t="shared" si="4"/>
        <v>50.805981299190258</v>
      </c>
      <c r="X8" s="27">
        <f t="shared" si="5"/>
        <v>47.85702549580477</v>
      </c>
      <c r="Y8" s="27">
        <f t="shared" si="6"/>
        <v>52.595591493398587</v>
      </c>
      <c r="Z8">
        <f t="shared" si="17"/>
        <v>33</v>
      </c>
      <c r="AA8">
        <f t="shared" si="18"/>
        <v>13</v>
      </c>
      <c r="AB8">
        <f t="shared" si="19"/>
        <v>26</v>
      </c>
      <c r="AC8">
        <f t="shared" si="20"/>
        <v>31</v>
      </c>
      <c r="AD8">
        <f t="shared" si="21"/>
        <v>30</v>
      </c>
      <c r="AE8">
        <f t="shared" si="22"/>
        <v>40</v>
      </c>
    </row>
    <row r="9" spans="1:31" x14ac:dyDescent="0.2">
      <c r="A9" s="3">
        <v>8</v>
      </c>
      <c r="B9">
        <v>1.0900000000000001</v>
      </c>
      <c r="C9">
        <v>1.8</v>
      </c>
      <c r="D9">
        <v>2.4900000000000002</v>
      </c>
      <c r="E9">
        <v>2.8</v>
      </c>
      <c r="F9">
        <v>36.1</v>
      </c>
      <c r="G9">
        <v>2.2999999999999998</v>
      </c>
      <c r="H9" s="26">
        <f t="shared" si="7"/>
        <v>0.6466322139529056</v>
      </c>
      <c r="I9" s="26">
        <f t="shared" si="8"/>
        <v>1.5358329228603314</v>
      </c>
      <c r="J9" s="26">
        <f t="shared" si="9"/>
        <v>1.0912325684066184</v>
      </c>
      <c r="K9" s="26">
        <f t="shared" si="10"/>
        <v>0.57177607734979008</v>
      </c>
      <c r="L9" s="26">
        <f t="shared" si="11"/>
        <v>-0.2604194480182207</v>
      </c>
      <c r="M9" s="26">
        <f t="shared" si="12"/>
        <v>0.15567831466578469</v>
      </c>
      <c r="N9" s="26">
        <f t="shared" si="0"/>
        <v>1.4814090780324396</v>
      </c>
      <c r="O9" s="26">
        <f t="shared" si="1"/>
        <v>0.86352996293310469</v>
      </c>
      <c r="P9" s="26">
        <f t="shared" si="13"/>
        <v>1.1724695204827722</v>
      </c>
      <c r="Q9" s="26">
        <f t="shared" si="14"/>
        <v>0.76070896127284415</v>
      </c>
      <c r="R9">
        <f t="shared" si="23"/>
        <v>9</v>
      </c>
      <c r="S9" s="27">
        <f t="shared" si="15"/>
        <v>56.466322139529055</v>
      </c>
      <c r="T9" s="27">
        <f t="shared" si="16"/>
        <v>65.35832922860331</v>
      </c>
      <c r="U9" s="27">
        <f t="shared" si="2"/>
        <v>55.717760773497901</v>
      </c>
      <c r="V9" s="27">
        <f t="shared" si="3"/>
        <v>47.395805519817792</v>
      </c>
      <c r="W9" s="27">
        <f t="shared" si="4"/>
        <v>64.814090780324392</v>
      </c>
      <c r="X9" s="27">
        <f t="shared" si="5"/>
        <v>58.635299629331044</v>
      </c>
      <c r="Y9" s="27">
        <f t="shared" si="6"/>
        <v>57.607089612728444</v>
      </c>
      <c r="Z9">
        <f t="shared" si="17"/>
        <v>17</v>
      </c>
      <c r="AA9">
        <f t="shared" si="18"/>
        <v>5</v>
      </c>
      <c r="AB9">
        <f t="shared" si="19"/>
        <v>21</v>
      </c>
      <c r="AC9">
        <f t="shared" si="20"/>
        <v>42</v>
      </c>
      <c r="AD9">
        <f t="shared" si="21"/>
        <v>5</v>
      </c>
      <c r="AE9">
        <f t="shared" si="22"/>
        <v>7</v>
      </c>
    </row>
    <row r="10" spans="1:31" x14ac:dyDescent="0.2">
      <c r="A10" s="3">
        <v>9</v>
      </c>
      <c r="B10">
        <v>1.1299999999999999</v>
      </c>
      <c r="C10">
        <v>1.98</v>
      </c>
      <c r="D10">
        <v>2.6</v>
      </c>
      <c r="E10">
        <v>2.73</v>
      </c>
      <c r="F10">
        <v>22.5</v>
      </c>
      <c r="G10">
        <v>2.85</v>
      </c>
      <c r="H10" s="26">
        <f t="shared" si="7"/>
        <v>-5.718516177815218E-2</v>
      </c>
      <c r="I10" s="26">
        <f t="shared" si="8"/>
        <v>-0.27922886875987613</v>
      </c>
      <c r="J10" s="26">
        <f t="shared" si="9"/>
        <v>-0.16820701526901416</v>
      </c>
      <c r="K10" s="26">
        <f t="shared" si="10"/>
        <v>-0.15091487543432464</v>
      </c>
      <c r="L10" s="26">
        <f t="shared" si="11"/>
        <v>7.0934888406996729E-2</v>
      </c>
      <c r="M10" s="26">
        <f t="shared" si="12"/>
        <v>-3.9989993513663953E-2</v>
      </c>
      <c r="N10" s="26">
        <f t="shared" si="0"/>
        <v>-0.89996953376036448</v>
      </c>
      <c r="O10" s="26">
        <f t="shared" si="1"/>
        <v>3.2347502723088866</v>
      </c>
      <c r="P10" s="26">
        <f t="shared" si="13"/>
        <v>1.1673903692742611</v>
      </c>
      <c r="Q10" s="26">
        <f t="shared" si="14"/>
        <v>0.21377371402506096</v>
      </c>
      <c r="R10">
        <f t="shared" si="23"/>
        <v>26</v>
      </c>
      <c r="S10" s="27">
        <f t="shared" si="15"/>
        <v>49.428148382218481</v>
      </c>
      <c r="T10" s="27">
        <f t="shared" si="16"/>
        <v>47.207711312401237</v>
      </c>
      <c r="U10" s="27">
        <f t="shared" si="2"/>
        <v>48.490851245656756</v>
      </c>
      <c r="V10" s="27">
        <f t="shared" si="3"/>
        <v>50.709348884069968</v>
      </c>
      <c r="W10" s="27">
        <f t="shared" si="4"/>
        <v>41.000304662396353</v>
      </c>
      <c r="X10" s="27">
        <f t="shared" si="5"/>
        <v>82.347502723088866</v>
      </c>
      <c r="Y10" s="27">
        <f t="shared" si="6"/>
        <v>52.137737140250607</v>
      </c>
      <c r="Z10">
        <f t="shared" si="17"/>
        <v>33</v>
      </c>
      <c r="AA10">
        <f t="shared" si="18"/>
        <v>43</v>
      </c>
      <c r="AB10">
        <f t="shared" si="19"/>
        <v>42</v>
      </c>
      <c r="AC10">
        <f t="shared" si="20"/>
        <v>37</v>
      </c>
      <c r="AD10">
        <f t="shared" si="21"/>
        <v>55</v>
      </c>
      <c r="AE10">
        <f t="shared" si="22"/>
        <v>2</v>
      </c>
    </row>
    <row r="11" spans="1:31" x14ac:dyDescent="0.2">
      <c r="A11" s="3">
        <v>10</v>
      </c>
      <c r="B11">
        <v>1.1499999999999999</v>
      </c>
      <c r="C11">
        <v>1.98</v>
      </c>
      <c r="D11">
        <v>2.65</v>
      </c>
      <c r="E11">
        <v>2.95</v>
      </c>
      <c r="F11">
        <v>18.899999999999999</v>
      </c>
      <c r="G11">
        <v>1.7</v>
      </c>
      <c r="H11" s="26">
        <f t="shared" si="7"/>
        <v>-0.40909384964368306</v>
      </c>
      <c r="I11" s="26">
        <f t="shared" si="8"/>
        <v>-0.27922886875987613</v>
      </c>
      <c r="J11" s="26">
        <f t="shared" si="9"/>
        <v>-0.34416135920177959</v>
      </c>
      <c r="K11" s="26">
        <f t="shared" si="10"/>
        <v>-0.47941076306346692</v>
      </c>
      <c r="L11" s="26">
        <f t="shared" si="11"/>
        <v>-0.97046445464368991</v>
      </c>
      <c r="M11" s="26">
        <f t="shared" si="12"/>
        <v>-0.72493760885357839</v>
      </c>
      <c r="N11" s="26">
        <f t="shared" si="0"/>
        <v>-1.5303344604114011</v>
      </c>
      <c r="O11" s="26">
        <f t="shared" si="1"/>
        <v>-1.7232558291132007</v>
      </c>
      <c r="P11" s="26">
        <f t="shared" si="13"/>
        <v>-1.6267951447623008</v>
      </c>
      <c r="Q11" s="26">
        <f t="shared" si="14"/>
        <v>-0.80761089921133444</v>
      </c>
      <c r="R11">
        <f t="shared" si="23"/>
        <v>61</v>
      </c>
      <c r="S11" s="27">
        <f t="shared" si="15"/>
        <v>45.909061503563166</v>
      </c>
      <c r="T11" s="27">
        <f t="shared" si="16"/>
        <v>47.207711312401237</v>
      </c>
      <c r="U11" s="27">
        <f t="shared" si="2"/>
        <v>45.20589236936533</v>
      </c>
      <c r="V11" s="27">
        <f t="shared" si="3"/>
        <v>40.295355453563104</v>
      </c>
      <c r="W11" s="27">
        <f t="shared" si="4"/>
        <v>34.69665539588599</v>
      </c>
      <c r="X11" s="27">
        <f t="shared" si="5"/>
        <v>32.767441708867992</v>
      </c>
      <c r="Y11" s="27">
        <f t="shared" si="6"/>
        <v>41.923891007886652</v>
      </c>
      <c r="Z11">
        <f t="shared" si="17"/>
        <v>43</v>
      </c>
      <c r="AA11">
        <f t="shared" si="18"/>
        <v>43</v>
      </c>
      <c r="AB11">
        <f t="shared" si="19"/>
        <v>51</v>
      </c>
      <c r="AC11">
        <f t="shared" si="20"/>
        <v>55</v>
      </c>
      <c r="AD11">
        <f t="shared" si="21"/>
        <v>65</v>
      </c>
      <c r="AE11">
        <f t="shared" si="22"/>
        <v>66</v>
      </c>
    </row>
    <row r="12" spans="1:31" x14ac:dyDescent="0.2">
      <c r="A12" s="3">
        <v>11</v>
      </c>
      <c r="B12">
        <v>1.17</v>
      </c>
      <c r="C12">
        <v>1.9</v>
      </c>
      <c r="D12">
        <v>2.68</v>
      </c>
      <c r="E12">
        <v>2.93</v>
      </c>
      <c r="F12">
        <v>27</v>
      </c>
      <c r="G12">
        <v>1.9</v>
      </c>
      <c r="H12" s="26">
        <f t="shared" si="7"/>
        <v>-0.76100253750921387</v>
      </c>
      <c r="I12" s="26">
        <f t="shared" si="8"/>
        <v>0.52746526084910594</v>
      </c>
      <c r="J12" s="26">
        <f t="shared" si="9"/>
        <v>-0.11676863833005396</v>
      </c>
      <c r="K12" s="26">
        <f t="shared" si="10"/>
        <v>-0.6765082956409546</v>
      </c>
      <c r="L12" s="26">
        <f t="shared" si="11"/>
        <v>-0.87579178709362748</v>
      </c>
      <c r="M12" s="26">
        <f t="shared" si="12"/>
        <v>-0.77615004136729104</v>
      </c>
      <c r="N12" s="26">
        <f t="shared" si="0"/>
        <v>-0.1120133754465691</v>
      </c>
      <c r="O12" s="26">
        <f t="shared" si="1"/>
        <v>-0.86099389843109897</v>
      </c>
      <c r="P12" s="26">
        <f t="shared" si="13"/>
        <v>-0.48650363693883403</v>
      </c>
      <c r="Q12" s="26">
        <f t="shared" si="14"/>
        <v>-0.45647041412121292</v>
      </c>
      <c r="R12">
        <f t="shared" si="23"/>
        <v>51</v>
      </c>
      <c r="S12" s="27">
        <f t="shared" si="15"/>
        <v>42.389974624907865</v>
      </c>
      <c r="T12" s="27">
        <f t="shared" si="16"/>
        <v>55.27465260849106</v>
      </c>
      <c r="U12" s="27">
        <f t="shared" si="2"/>
        <v>43.234917043590457</v>
      </c>
      <c r="V12" s="27">
        <f t="shared" si="3"/>
        <v>41.242082129063725</v>
      </c>
      <c r="W12" s="27">
        <f t="shared" si="4"/>
        <v>48.879866245534309</v>
      </c>
      <c r="X12" s="27">
        <f t="shared" si="5"/>
        <v>41.390061015689014</v>
      </c>
      <c r="Y12" s="27">
        <f t="shared" si="6"/>
        <v>45.435295858787867</v>
      </c>
      <c r="Z12">
        <f t="shared" si="17"/>
        <v>57</v>
      </c>
      <c r="AA12">
        <f t="shared" si="18"/>
        <v>20</v>
      </c>
      <c r="AB12">
        <f t="shared" si="19"/>
        <v>52</v>
      </c>
      <c r="AC12">
        <f t="shared" si="20"/>
        <v>53</v>
      </c>
      <c r="AD12">
        <f t="shared" si="21"/>
        <v>35</v>
      </c>
      <c r="AE12">
        <f t="shared" si="22"/>
        <v>57</v>
      </c>
    </row>
    <row r="13" spans="1:31" x14ac:dyDescent="0.2">
      <c r="A13" s="3">
        <v>12</v>
      </c>
      <c r="B13">
        <v>1.19</v>
      </c>
      <c r="C13">
        <v>1.97</v>
      </c>
      <c r="D13">
        <v>2.5499999999999998</v>
      </c>
      <c r="E13">
        <v>2.68</v>
      </c>
      <c r="F13">
        <v>33</v>
      </c>
      <c r="G13">
        <v>2.1</v>
      </c>
      <c r="H13" s="26">
        <f t="shared" si="7"/>
        <v>-1.1129112253747449</v>
      </c>
      <c r="I13" s="26">
        <f t="shared" si="8"/>
        <v>-0.1783921025587534</v>
      </c>
      <c r="J13" s="26">
        <f t="shared" si="9"/>
        <v>-0.64565166396674911</v>
      </c>
      <c r="K13" s="26">
        <f t="shared" si="10"/>
        <v>0.17758101219482056</v>
      </c>
      <c r="L13" s="26">
        <f t="shared" si="11"/>
        <v>0.30761655728215176</v>
      </c>
      <c r="M13" s="26">
        <f t="shared" si="12"/>
        <v>0.24259878473848617</v>
      </c>
      <c r="N13" s="26">
        <f t="shared" si="0"/>
        <v>0.93859483563849144</v>
      </c>
      <c r="O13" s="26">
        <f t="shared" si="1"/>
        <v>1.2680322510038526E-3</v>
      </c>
      <c r="P13" s="26">
        <f t="shared" si="13"/>
        <v>0.46993143394474762</v>
      </c>
      <c r="Q13" s="26">
        <f t="shared" si="14"/>
        <v>-3.3661971224411703E-2</v>
      </c>
      <c r="R13">
        <f t="shared" si="23"/>
        <v>34</v>
      </c>
      <c r="S13" s="27">
        <f t="shared" si="15"/>
        <v>38.870887746252549</v>
      </c>
      <c r="T13" s="27">
        <f t="shared" si="16"/>
        <v>48.216078974412468</v>
      </c>
      <c r="U13" s="27">
        <f t="shared" si="2"/>
        <v>51.775810121948204</v>
      </c>
      <c r="V13" s="27">
        <f t="shared" si="3"/>
        <v>53.076165572821516</v>
      </c>
      <c r="W13" s="27">
        <f t="shared" si="4"/>
        <v>59.385948356384915</v>
      </c>
      <c r="X13" s="27">
        <f t="shared" si="5"/>
        <v>50.012680322510036</v>
      </c>
      <c r="Y13" s="27">
        <f t="shared" si="6"/>
        <v>49.663380287755885</v>
      </c>
      <c r="Z13">
        <f t="shared" si="17"/>
        <v>61</v>
      </c>
      <c r="AA13">
        <f t="shared" si="18"/>
        <v>38</v>
      </c>
      <c r="AB13">
        <f t="shared" si="19"/>
        <v>33</v>
      </c>
      <c r="AC13">
        <f t="shared" si="20"/>
        <v>29</v>
      </c>
      <c r="AD13">
        <f t="shared" si="21"/>
        <v>13</v>
      </c>
      <c r="AE13">
        <f t="shared" si="22"/>
        <v>25</v>
      </c>
    </row>
    <row r="14" spans="1:31" x14ac:dyDescent="0.2">
      <c r="A14" s="3">
        <v>13</v>
      </c>
      <c r="B14">
        <v>1.06</v>
      </c>
      <c r="C14">
        <v>1.81</v>
      </c>
      <c r="D14">
        <v>2.5299999999999998</v>
      </c>
      <c r="E14">
        <v>2.7</v>
      </c>
      <c r="F14">
        <v>33.9</v>
      </c>
      <c r="G14">
        <v>2.08</v>
      </c>
      <c r="H14" s="26">
        <f t="shared" si="7"/>
        <v>1.1744952457512019</v>
      </c>
      <c r="I14" s="26">
        <f t="shared" si="8"/>
        <v>1.4349961566592087</v>
      </c>
      <c r="J14" s="26">
        <f t="shared" si="9"/>
        <v>1.3047457012052053</v>
      </c>
      <c r="K14" s="26">
        <f t="shared" si="10"/>
        <v>0.30897936724647801</v>
      </c>
      <c r="L14" s="26">
        <f t="shared" si="11"/>
        <v>0.21294388973208933</v>
      </c>
      <c r="M14" s="26">
        <f t="shared" si="12"/>
        <v>0.26096162848928367</v>
      </c>
      <c r="N14" s="26">
        <f t="shared" si="0"/>
        <v>1.0961860673012502</v>
      </c>
      <c r="O14" s="26">
        <f t="shared" si="1"/>
        <v>-8.4958160817206432E-2</v>
      </c>
      <c r="P14" s="26">
        <f t="shared" si="13"/>
        <v>0.50561395324202185</v>
      </c>
      <c r="Q14" s="26">
        <f t="shared" si="14"/>
        <v>0.71354373694593876</v>
      </c>
      <c r="R14">
        <f t="shared" si="23"/>
        <v>14</v>
      </c>
      <c r="S14" s="27">
        <f t="shared" si="15"/>
        <v>61.744952457512021</v>
      </c>
      <c r="T14" s="27">
        <f t="shared" si="16"/>
        <v>64.349961566592086</v>
      </c>
      <c r="U14" s="27">
        <f t="shared" si="2"/>
        <v>53.089793672464779</v>
      </c>
      <c r="V14" s="27">
        <f t="shared" si="3"/>
        <v>52.129438897320895</v>
      </c>
      <c r="W14" s="27">
        <f t="shared" si="4"/>
        <v>60.961860673012502</v>
      </c>
      <c r="X14" s="27">
        <f t="shared" si="5"/>
        <v>49.150418391827934</v>
      </c>
      <c r="Y14" s="27">
        <f t="shared" si="6"/>
        <v>57.135437369459389</v>
      </c>
      <c r="Z14">
        <f t="shared" si="17"/>
        <v>7</v>
      </c>
      <c r="AA14">
        <f t="shared" si="18"/>
        <v>7</v>
      </c>
      <c r="AB14">
        <f t="shared" si="19"/>
        <v>30</v>
      </c>
      <c r="AC14">
        <f t="shared" si="20"/>
        <v>33</v>
      </c>
      <c r="AD14">
        <f t="shared" si="21"/>
        <v>9</v>
      </c>
      <c r="AE14">
        <f t="shared" si="22"/>
        <v>35</v>
      </c>
    </row>
    <row r="15" spans="1:31" x14ac:dyDescent="0.2">
      <c r="A15" s="3">
        <v>14</v>
      </c>
      <c r="B15">
        <v>1.1399999999999999</v>
      </c>
      <c r="C15">
        <v>1.98</v>
      </c>
      <c r="D15">
        <v>2.5499999999999998</v>
      </c>
      <c r="E15">
        <v>2.85</v>
      </c>
      <c r="F15">
        <v>26.3</v>
      </c>
      <c r="G15">
        <v>1.96</v>
      </c>
      <c r="H15" s="26">
        <f t="shared" si="7"/>
        <v>-0.2331395057109176</v>
      </c>
      <c r="I15" s="26">
        <f t="shared" si="8"/>
        <v>-0.27922886875987613</v>
      </c>
      <c r="J15" s="26">
        <f t="shared" si="9"/>
        <v>-0.25618418723539688</v>
      </c>
      <c r="K15" s="26">
        <f t="shared" si="10"/>
        <v>0.17758101219482056</v>
      </c>
      <c r="L15" s="26">
        <f t="shared" si="11"/>
        <v>-0.49710111689337783</v>
      </c>
      <c r="M15" s="26">
        <f t="shared" si="12"/>
        <v>-0.15976005234927865</v>
      </c>
      <c r="N15" s="26">
        <f t="shared" si="0"/>
        <v>-0.23458433340649271</v>
      </c>
      <c r="O15" s="26">
        <f t="shared" si="1"/>
        <v>-0.60231531922646808</v>
      </c>
      <c r="P15" s="26">
        <f t="shared" si="13"/>
        <v>-0.41844982631648042</v>
      </c>
      <c r="Q15" s="26">
        <f t="shared" si="14"/>
        <v>-0.2605915464233734</v>
      </c>
      <c r="R15">
        <f t="shared" si="23"/>
        <v>43</v>
      </c>
      <c r="S15" s="27">
        <f t="shared" si="15"/>
        <v>47.668604942890823</v>
      </c>
      <c r="T15" s="27">
        <f t="shared" si="16"/>
        <v>47.207711312401237</v>
      </c>
      <c r="U15" s="27">
        <f t="shared" si="2"/>
        <v>51.775810121948204</v>
      </c>
      <c r="V15" s="27">
        <f t="shared" si="3"/>
        <v>45.028988831066222</v>
      </c>
      <c r="W15" s="27">
        <f t="shared" si="4"/>
        <v>47.654156665935076</v>
      </c>
      <c r="X15" s="27">
        <f t="shared" si="5"/>
        <v>43.976846807735321</v>
      </c>
      <c r="Y15" s="27">
        <f t="shared" si="6"/>
        <v>47.394084535766268</v>
      </c>
      <c r="Z15">
        <f t="shared" si="17"/>
        <v>37</v>
      </c>
      <c r="AA15">
        <f t="shared" si="18"/>
        <v>43</v>
      </c>
      <c r="AB15">
        <f t="shared" si="19"/>
        <v>33</v>
      </c>
      <c r="AC15">
        <f t="shared" si="20"/>
        <v>46</v>
      </c>
      <c r="AD15">
        <f t="shared" si="21"/>
        <v>40</v>
      </c>
      <c r="AE15">
        <f t="shared" si="22"/>
        <v>52</v>
      </c>
    </row>
    <row r="16" spans="1:31" x14ac:dyDescent="0.2">
      <c r="A16" s="3">
        <v>15</v>
      </c>
      <c r="B16">
        <v>1.1399999999999999</v>
      </c>
      <c r="C16">
        <v>1.99</v>
      </c>
      <c r="D16">
        <v>2.42</v>
      </c>
      <c r="E16">
        <v>3.04</v>
      </c>
      <c r="F16">
        <v>25.3</v>
      </c>
      <c r="G16">
        <v>1.85</v>
      </c>
      <c r="H16" s="26">
        <f t="shared" si="7"/>
        <v>-0.2331395057109176</v>
      </c>
      <c r="I16" s="26">
        <f t="shared" si="8"/>
        <v>-0.38006563496099893</v>
      </c>
      <c r="J16" s="26">
        <f t="shared" si="9"/>
        <v>-0.30660257033595828</v>
      </c>
      <c r="K16" s="26">
        <f t="shared" si="10"/>
        <v>1.0316703200305928</v>
      </c>
      <c r="L16" s="26">
        <f t="shared" si="11"/>
        <v>-1.3964914586189698</v>
      </c>
      <c r="M16" s="26">
        <f t="shared" si="12"/>
        <v>-0.18241056929418853</v>
      </c>
      <c r="N16" s="26">
        <f t="shared" si="0"/>
        <v>-0.40968570192066944</v>
      </c>
      <c r="O16" s="26">
        <f t="shared" si="1"/>
        <v>-1.0765593811016236</v>
      </c>
      <c r="P16" s="26">
        <f t="shared" si="13"/>
        <v>-0.74312254151114654</v>
      </c>
      <c r="Q16" s="26">
        <f t="shared" si="14"/>
        <v>-0.3691605627390917</v>
      </c>
      <c r="R16">
        <f t="shared" si="23"/>
        <v>48</v>
      </c>
      <c r="S16" s="27">
        <f t="shared" si="15"/>
        <v>47.668604942890823</v>
      </c>
      <c r="T16" s="27">
        <f t="shared" si="16"/>
        <v>46.199343650390013</v>
      </c>
      <c r="U16" s="27">
        <f t="shared" si="2"/>
        <v>60.316703200305923</v>
      </c>
      <c r="V16" s="27">
        <f t="shared" si="3"/>
        <v>36.0350854138103</v>
      </c>
      <c r="W16" s="27">
        <f t="shared" si="4"/>
        <v>45.903142980793305</v>
      </c>
      <c r="X16" s="27">
        <f t="shared" si="5"/>
        <v>39.234406188983762</v>
      </c>
      <c r="Y16" s="27">
        <f t="shared" si="6"/>
        <v>46.308394372609087</v>
      </c>
      <c r="Z16">
        <f t="shared" si="17"/>
        <v>37</v>
      </c>
      <c r="AA16">
        <f t="shared" si="18"/>
        <v>46</v>
      </c>
      <c r="AB16">
        <f t="shared" si="19"/>
        <v>8</v>
      </c>
      <c r="AC16">
        <f t="shared" si="20"/>
        <v>64</v>
      </c>
      <c r="AD16">
        <f t="shared" si="21"/>
        <v>46</v>
      </c>
      <c r="AE16">
        <f t="shared" si="22"/>
        <v>60</v>
      </c>
    </row>
    <row r="17" spans="1:31" x14ac:dyDescent="0.2">
      <c r="A17" s="3">
        <v>16</v>
      </c>
      <c r="B17">
        <v>1.19</v>
      </c>
      <c r="C17">
        <v>2.12</v>
      </c>
      <c r="D17">
        <v>2.68</v>
      </c>
      <c r="E17">
        <v>2.96</v>
      </c>
      <c r="F17">
        <v>16.5</v>
      </c>
      <c r="G17">
        <v>1.8</v>
      </c>
      <c r="H17" s="26">
        <f t="shared" si="7"/>
        <v>-1.1129112253747449</v>
      </c>
      <c r="I17" s="26">
        <f t="shared" si="8"/>
        <v>-1.6909435955755947</v>
      </c>
      <c r="J17" s="26">
        <f t="shared" si="9"/>
        <v>-1.4019274104751698</v>
      </c>
      <c r="K17" s="26">
        <f t="shared" si="10"/>
        <v>-0.6765082956409546</v>
      </c>
      <c r="L17" s="26">
        <f t="shared" si="11"/>
        <v>-1.0178007884187201</v>
      </c>
      <c r="M17" s="26">
        <f t="shared" si="12"/>
        <v>-0.84715454202983742</v>
      </c>
      <c r="N17" s="26">
        <f t="shared" si="0"/>
        <v>-1.9505777448454251</v>
      </c>
      <c r="O17" s="26">
        <f t="shared" si="1"/>
        <v>-1.2921248637721494</v>
      </c>
      <c r="P17" s="26">
        <f t="shared" si="13"/>
        <v>-1.6213513043087873</v>
      </c>
      <c r="Q17" s="26">
        <f t="shared" si="14"/>
        <v>-1.2487435582665745</v>
      </c>
      <c r="R17">
        <f t="shared" si="23"/>
        <v>66</v>
      </c>
      <c r="S17" s="27">
        <f t="shared" si="15"/>
        <v>38.870887746252549</v>
      </c>
      <c r="T17" s="27">
        <f t="shared" si="16"/>
        <v>33.090564044244054</v>
      </c>
      <c r="U17" s="27">
        <f t="shared" si="2"/>
        <v>43.234917043590457</v>
      </c>
      <c r="V17" s="27">
        <f t="shared" si="3"/>
        <v>39.821992115812797</v>
      </c>
      <c r="W17" s="27">
        <f t="shared" si="4"/>
        <v>30.49422255154575</v>
      </c>
      <c r="X17" s="27">
        <f t="shared" si="5"/>
        <v>37.07875136227851</v>
      </c>
      <c r="Y17" s="27">
        <f t="shared" si="6"/>
        <v>37.512564417334254</v>
      </c>
      <c r="Z17">
        <f t="shared" si="17"/>
        <v>61</v>
      </c>
      <c r="AA17">
        <f t="shared" si="18"/>
        <v>66</v>
      </c>
      <c r="AB17">
        <f t="shared" si="19"/>
        <v>52</v>
      </c>
      <c r="AC17">
        <f t="shared" si="20"/>
        <v>56</v>
      </c>
      <c r="AD17">
        <f t="shared" si="21"/>
        <v>68</v>
      </c>
      <c r="AE17">
        <f t="shared" si="22"/>
        <v>63</v>
      </c>
    </row>
    <row r="18" spans="1:31" x14ac:dyDescent="0.2">
      <c r="A18" s="3">
        <v>17</v>
      </c>
      <c r="B18">
        <v>1.31</v>
      </c>
      <c r="C18">
        <v>2.27</v>
      </c>
      <c r="D18">
        <v>2.77</v>
      </c>
      <c r="E18">
        <v>3.02</v>
      </c>
      <c r="F18">
        <v>21.8</v>
      </c>
      <c r="G18">
        <v>1.83</v>
      </c>
      <c r="H18" s="26">
        <f t="shared" si="7"/>
        <v>-3.2243633525679298</v>
      </c>
      <c r="I18" s="26">
        <f t="shared" si="8"/>
        <v>-3.203495088592434</v>
      </c>
      <c r="J18" s="26">
        <f t="shared" si="9"/>
        <v>-3.2139292205801819</v>
      </c>
      <c r="K18" s="26">
        <f t="shared" si="10"/>
        <v>-1.2678008933734117</v>
      </c>
      <c r="L18" s="26">
        <f t="shared" si="11"/>
        <v>-1.3018187910689074</v>
      </c>
      <c r="M18" s="26">
        <f t="shared" si="12"/>
        <v>-1.2848098422211596</v>
      </c>
      <c r="N18" s="26">
        <f t="shared" ref="N18:N69" si="24">STANDARDIZE(F18,F$70,F$71)</f>
        <v>-1.022540491720288</v>
      </c>
      <c r="O18" s="26">
        <f t="shared" ref="O18:O69" si="25">STANDARDIZE(G18,G$70,G$71)</f>
        <v>-1.1627855741698339</v>
      </c>
      <c r="P18" s="26">
        <f t="shared" si="13"/>
        <v>-1.0926630329450608</v>
      </c>
      <c r="Q18" s="26">
        <f t="shared" si="14"/>
        <v>-1.9601929067867685</v>
      </c>
      <c r="R18">
        <f t="shared" si="23"/>
        <v>68</v>
      </c>
      <c r="S18" s="27">
        <f t="shared" si="15"/>
        <v>17.7563664743207</v>
      </c>
      <c r="T18" s="27">
        <f t="shared" si="16"/>
        <v>17.965049114075661</v>
      </c>
      <c r="U18" s="27">
        <f t="shared" si="2"/>
        <v>37.32199106626588</v>
      </c>
      <c r="V18" s="27">
        <f t="shared" si="3"/>
        <v>36.981812089310928</v>
      </c>
      <c r="W18" s="27">
        <f t="shared" si="4"/>
        <v>39.77459508279712</v>
      </c>
      <c r="X18" s="27">
        <f t="shared" si="5"/>
        <v>38.37214425830166</v>
      </c>
      <c r="Y18" s="27">
        <f t="shared" ref="Y18:Y61" si="26">(Q18*10)+50</f>
        <v>30.398070932132313</v>
      </c>
      <c r="Z18">
        <f t="shared" si="17"/>
        <v>68</v>
      </c>
      <c r="AA18">
        <f t="shared" si="18"/>
        <v>68</v>
      </c>
      <c r="AB18">
        <f t="shared" si="19"/>
        <v>60</v>
      </c>
      <c r="AC18">
        <f t="shared" si="20"/>
        <v>62</v>
      </c>
      <c r="AD18">
        <f t="shared" si="21"/>
        <v>58</v>
      </c>
      <c r="AE18">
        <f t="shared" si="22"/>
        <v>62</v>
      </c>
    </row>
    <row r="19" spans="1:31" x14ac:dyDescent="0.2">
      <c r="A19" s="3">
        <v>18</v>
      </c>
      <c r="B19">
        <v>1.1599999999999999</v>
      </c>
      <c r="C19">
        <v>1.97</v>
      </c>
      <c r="D19">
        <v>2.64</v>
      </c>
      <c r="E19">
        <v>2.6</v>
      </c>
      <c r="F19">
        <v>33.1</v>
      </c>
      <c r="G19">
        <v>2.2000000000000002</v>
      </c>
      <c r="H19" s="26">
        <f t="shared" si="7"/>
        <v>-0.58504819357644844</v>
      </c>
      <c r="I19" s="26">
        <f t="shared" si="8"/>
        <v>-0.1783921025587534</v>
      </c>
      <c r="J19" s="26">
        <f t="shared" si="9"/>
        <v>-0.38172014806760091</v>
      </c>
      <c r="K19" s="26">
        <f t="shared" si="10"/>
        <v>-0.41371158553763959</v>
      </c>
      <c r="L19" s="26">
        <f t="shared" si="11"/>
        <v>0.68630722748240147</v>
      </c>
      <c r="M19" s="26">
        <f t="shared" si="12"/>
        <v>0.13629782097238094</v>
      </c>
      <c r="N19" s="26">
        <f t="shared" si="24"/>
        <v>0.95610497248990933</v>
      </c>
      <c r="O19" s="26">
        <f t="shared" si="25"/>
        <v>0.43239899759205525</v>
      </c>
      <c r="P19" s="26">
        <f t="shared" si="13"/>
        <v>0.69425198504098229</v>
      </c>
      <c r="Q19" s="26">
        <f t="shared" si="14"/>
        <v>8.1529623599538081E-2</v>
      </c>
      <c r="R19">
        <f t="shared" si="23"/>
        <v>29</v>
      </c>
      <c r="S19" s="27">
        <f t="shared" si="15"/>
        <v>44.149518064235515</v>
      </c>
      <c r="T19" s="27">
        <f t="shared" si="16"/>
        <v>48.216078974412468</v>
      </c>
      <c r="U19" s="27">
        <f t="shared" si="2"/>
        <v>45.862884144623607</v>
      </c>
      <c r="V19" s="27">
        <f t="shared" si="3"/>
        <v>56.863072274824013</v>
      </c>
      <c r="W19" s="27">
        <f t="shared" si="4"/>
        <v>59.561049724899092</v>
      </c>
      <c r="X19" s="27">
        <f t="shared" si="5"/>
        <v>54.323989975920554</v>
      </c>
      <c r="Y19" s="27">
        <f t="shared" si="26"/>
        <v>50.815296235995383</v>
      </c>
      <c r="Z19">
        <f t="shared" si="17"/>
        <v>51</v>
      </c>
      <c r="AA19">
        <f t="shared" si="18"/>
        <v>38</v>
      </c>
      <c r="AB19">
        <f t="shared" si="19"/>
        <v>48</v>
      </c>
      <c r="AC19">
        <f t="shared" si="20"/>
        <v>20</v>
      </c>
      <c r="AD19">
        <f t="shared" si="21"/>
        <v>12</v>
      </c>
      <c r="AE19">
        <f t="shared" si="22"/>
        <v>17</v>
      </c>
    </row>
    <row r="20" spans="1:31" x14ac:dyDescent="0.2">
      <c r="A20" s="3">
        <v>19</v>
      </c>
      <c r="B20">
        <v>1.1399999999999999</v>
      </c>
      <c r="C20">
        <v>1.91</v>
      </c>
      <c r="D20">
        <v>2.59</v>
      </c>
      <c r="E20">
        <v>2.8929999999999998</v>
      </c>
      <c r="F20">
        <v>27.4</v>
      </c>
      <c r="G20">
        <v>2.13</v>
      </c>
      <c r="H20" s="26">
        <f t="shared" si="7"/>
        <v>-0.2331395057109176</v>
      </c>
      <c r="I20" s="26">
        <f t="shared" si="8"/>
        <v>0.42662849464798319</v>
      </c>
      <c r="J20" s="26">
        <f t="shared" si="9"/>
        <v>9.6744494468532796E-2</v>
      </c>
      <c r="K20" s="26">
        <f t="shared" si="10"/>
        <v>-8.5215697908494425E-2</v>
      </c>
      <c r="L20" s="26">
        <f t="shared" si="11"/>
        <v>-0.70064735212601048</v>
      </c>
      <c r="M20" s="26">
        <f t="shared" si="12"/>
        <v>-0.39293152501725248</v>
      </c>
      <c r="N20" s="26">
        <f t="shared" si="24"/>
        <v>-4.1972828040898649E-2</v>
      </c>
      <c r="O20" s="26">
        <f t="shared" si="25"/>
        <v>0.1306073218533183</v>
      </c>
      <c r="P20" s="26">
        <f t="shared" si="13"/>
        <v>4.4317246906209827E-2</v>
      </c>
      <c r="Q20" s="26">
        <f t="shared" si="14"/>
        <v>-9.9990824729217415E-2</v>
      </c>
      <c r="R20">
        <f t="shared" si="23"/>
        <v>39</v>
      </c>
      <c r="S20" s="27">
        <f t="shared" si="15"/>
        <v>47.668604942890823</v>
      </c>
      <c r="T20" s="27">
        <f t="shared" si="16"/>
        <v>54.266284946479828</v>
      </c>
      <c r="U20" s="27">
        <f t="shared" si="2"/>
        <v>49.147843020915055</v>
      </c>
      <c r="V20" s="27">
        <f t="shared" si="3"/>
        <v>42.993526478739895</v>
      </c>
      <c r="W20" s="27">
        <f t="shared" si="4"/>
        <v>49.580271719591011</v>
      </c>
      <c r="X20" s="27">
        <f t="shared" si="5"/>
        <v>51.306073218533186</v>
      </c>
      <c r="Y20" s="27">
        <f t="shared" si="26"/>
        <v>49.000091752707824</v>
      </c>
      <c r="Z20">
        <f t="shared" si="17"/>
        <v>37</v>
      </c>
      <c r="AA20">
        <f t="shared" si="18"/>
        <v>21</v>
      </c>
      <c r="AB20">
        <f t="shared" si="19"/>
        <v>40</v>
      </c>
      <c r="AC20">
        <f t="shared" si="20"/>
        <v>51</v>
      </c>
      <c r="AD20">
        <f t="shared" si="21"/>
        <v>32</v>
      </c>
      <c r="AE20">
        <f t="shared" si="22"/>
        <v>24</v>
      </c>
    </row>
    <row r="21" spans="1:31" x14ac:dyDescent="0.2">
      <c r="A21" s="3">
        <v>20</v>
      </c>
      <c r="B21">
        <v>1.1200000000000001</v>
      </c>
      <c r="C21">
        <v>1.99</v>
      </c>
      <c r="D21">
        <v>2.5</v>
      </c>
      <c r="E21">
        <v>3.02</v>
      </c>
      <c r="F21">
        <v>23.1</v>
      </c>
      <c r="G21">
        <v>2.0299999999999998</v>
      </c>
      <c r="H21" s="26">
        <f t="shared" si="7"/>
        <v>0.11876918215460934</v>
      </c>
      <c r="I21" s="26">
        <f t="shared" si="8"/>
        <v>-0.38006563496099893</v>
      </c>
      <c r="J21" s="26">
        <f t="shared" si="9"/>
        <v>-0.13064822640319479</v>
      </c>
      <c r="K21" s="26">
        <f t="shared" si="10"/>
        <v>0.50607689982396276</v>
      </c>
      <c r="L21" s="26">
        <f t="shared" si="11"/>
        <v>-1.3018187910689074</v>
      </c>
      <c r="M21" s="26">
        <f t="shared" si="12"/>
        <v>-0.39787094562247233</v>
      </c>
      <c r="N21" s="26">
        <f t="shared" si="24"/>
        <v>-0.79490871265185814</v>
      </c>
      <c r="O21" s="26">
        <f t="shared" si="25"/>
        <v>-0.30052364348773308</v>
      </c>
      <c r="P21" s="26">
        <f t="shared" si="13"/>
        <v>-0.54771617806979567</v>
      </c>
      <c r="Q21" s="26">
        <f t="shared" si="14"/>
        <v>-0.33512373402707402</v>
      </c>
      <c r="R21">
        <f t="shared" si="23"/>
        <v>47</v>
      </c>
      <c r="S21" s="27">
        <f t="shared" si="15"/>
        <v>51.187691821546096</v>
      </c>
      <c r="T21" s="27">
        <f t="shared" si="16"/>
        <v>46.199343650390013</v>
      </c>
      <c r="U21" s="27">
        <f t="shared" si="2"/>
        <v>55.060768998239624</v>
      </c>
      <c r="V21" s="27">
        <f t="shared" si="3"/>
        <v>36.981812089310928</v>
      </c>
      <c r="W21" s="27">
        <f t="shared" si="4"/>
        <v>42.050912873481423</v>
      </c>
      <c r="X21" s="27">
        <f t="shared" si="5"/>
        <v>46.994763565122668</v>
      </c>
      <c r="Y21" s="27">
        <f t="shared" si="26"/>
        <v>46.648762659729258</v>
      </c>
      <c r="Z21">
        <f t="shared" si="17"/>
        <v>30</v>
      </c>
      <c r="AA21">
        <f t="shared" si="18"/>
        <v>46</v>
      </c>
      <c r="AB21">
        <f t="shared" si="19"/>
        <v>24</v>
      </c>
      <c r="AC21">
        <f t="shared" si="20"/>
        <v>62</v>
      </c>
      <c r="AD21">
        <f t="shared" si="21"/>
        <v>51</v>
      </c>
      <c r="AE21">
        <f t="shared" si="22"/>
        <v>42</v>
      </c>
    </row>
    <row r="22" spans="1:31" x14ac:dyDescent="0.2">
      <c r="A22" s="3">
        <v>21</v>
      </c>
      <c r="B22">
        <v>1.27</v>
      </c>
      <c r="C22">
        <v>2.17</v>
      </c>
      <c r="D22">
        <v>2.9</v>
      </c>
      <c r="E22">
        <v>2.9</v>
      </c>
      <c r="F22">
        <v>21.7</v>
      </c>
      <c r="G22">
        <v>1.68</v>
      </c>
      <c r="H22" s="26">
        <f t="shared" si="7"/>
        <v>-2.5205459768368681</v>
      </c>
      <c r="I22" s="26">
        <f t="shared" si="8"/>
        <v>-2.1951274265812062</v>
      </c>
      <c r="J22" s="26">
        <f t="shared" si="9"/>
        <v>-2.3578367017090374</v>
      </c>
      <c r="K22" s="26">
        <f t="shared" si="10"/>
        <v>-2.121890201209184</v>
      </c>
      <c r="L22" s="26">
        <f t="shared" si="11"/>
        <v>-0.73378278576853284</v>
      </c>
      <c r="M22" s="26">
        <f t="shared" si="12"/>
        <v>-1.4278364934888583</v>
      </c>
      <c r="N22" s="26">
        <f t="shared" si="24"/>
        <v>-1.0400506285717059</v>
      </c>
      <c r="O22" s="26">
        <f t="shared" si="25"/>
        <v>-1.809482022181411</v>
      </c>
      <c r="P22" s="26">
        <f t="shared" si="13"/>
        <v>-1.4247663253765586</v>
      </c>
      <c r="Q22" s="26">
        <f t="shared" si="14"/>
        <v>-1.7758190295433505</v>
      </c>
      <c r="R22">
        <f t="shared" si="23"/>
        <v>67</v>
      </c>
      <c r="S22" s="27">
        <f t="shared" si="15"/>
        <v>24.79454023163132</v>
      </c>
      <c r="T22" s="27">
        <f t="shared" si="16"/>
        <v>28.04872573418794</v>
      </c>
      <c r="U22" s="27">
        <f t="shared" si="2"/>
        <v>28.781097987908161</v>
      </c>
      <c r="V22" s="27">
        <f t="shared" si="3"/>
        <v>42.662172142314674</v>
      </c>
      <c r="W22" s="27">
        <f t="shared" si="4"/>
        <v>39.599493714282943</v>
      </c>
      <c r="X22" s="27">
        <f t="shared" si="5"/>
        <v>31.905179778185889</v>
      </c>
      <c r="Y22" s="27">
        <f t="shared" si="26"/>
        <v>32.241809704566492</v>
      </c>
      <c r="Z22">
        <f t="shared" si="17"/>
        <v>67</v>
      </c>
      <c r="AA22">
        <f t="shared" si="18"/>
        <v>67</v>
      </c>
      <c r="AB22">
        <f t="shared" si="19"/>
        <v>65</v>
      </c>
      <c r="AC22">
        <f t="shared" si="20"/>
        <v>52</v>
      </c>
      <c r="AD22">
        <f t="shared" si="21"/>
        <v>59</v>
      </c>
      <c r="AE22">
        <f t="shared" si="22"/>
        <v>68</v>
      </c>
    </row>
    <row r="23" spans="1:31" x14ac:dyDescent="0.2">
      <c r="A23" s="3">
        <v>22</v>
      </c>
      <c r="B23">
        <v>1.1200000000000001</v>
      </c>
      <c r="C23">
        <v>2.02</v>
      </c>
      <c r="D23">
        <v>2.512</v>
      </c>
      <c r="E23">
        <v>3.43</v>
      </c>
      <c r="F23">
        <v>29.2</v>
      </c>
      <c r="G23">
        <v>1.73</v>
      </c>
      <c r="H23" s="26">
        <f t="shared" si="7"/>
        <v>0.11876918215460934</v>
      </c>
      <c r="I23" s="26">
        <f t="shared" si="8"/>
        <v>-0.68257593356436719</v>
      </c>
      <c r="J23" s="26">
        <f t="shared" si="9"/>
        <v>-0.28190337570487894</v>
      </c>
      <c r="K23" s="26">
        <f t="shared" si="10"/>
        <v>0.42723788679296831</v>
      </c>
      <c r="L23" s="26">
        <f t="shared" si="11"/>
        <v>-3.2426084758451861</v>
      </c>
      <c r="M23" s="26">
        <f t="shared" si="12"/>
        <v>-1.4076852945261089</v>
      </c>
      <c r="N23" s="26">
        <f t="shared" si="24"/>
        <v>0.27320963528461961</v>
      </c>
      <c r="O23" s="26">
        <f t="shared" si="25"/>
        <v>-1.5939165395108854</v>
      </c>
      <c r="P23" s="26">
        <f t="shared" si="13"/>
        <v>-0.6603534521131329</v>
      </c>
      <c r="Q23" s="26">
        <f t="shared" si="14"/>
        <v>-0.79868411436490372</v>
      </c>
      <c r="R23">
        <f t="shared" si="23"/>
        <v>60</v>
      </c>
      <c r="S23" s="27">
        <f t="shared" si="15"/>
        <v>51.187691821546096</v>
      </c>
      <c r="T23" s="27">
        <f t="shared" si="16"/>
        <v>43.174240664356326</v>
      </c>
      <c r="U23" s="27">
        <f t="shared" si="2"/>
        <v>54.272378867929682</v>
      </c>
      <c r="V23" s="27">
        <f t="shared" si="3"/>
        <v>17.573915241548136</v>
      </c>
      <c r="W23" s="27">
        <f t="shared" si="4"/>
        <v>52.732096352846199</v>
      </c>
      <c r="X23" s="27">
        <f t="shared" si="5"/>
        <v>34.060834604891141</v>
      </c>
      <c r="Y23" s="27">
        <f t="shared" si="26"/>
        <v>42.013158856350962</v>
      </c>
      <c r="Z23">
        <f t="shared" si="17"/>
        <v>30</v>
      </c>
      <c r="AA23">
        <f t="shared" si="18"/>
        <v>53</v>
      </c>
      <c r="AB23">
        <f t="shared" si="19"/>
        <v>28</v>
      </c>
      <c r="AC23">
        <f t="shared" si="20"/>
        <v>68</v>
      </c>
      <c r="AD23">
        <f t="shared" si="21"/>
        <v>24</v>
      </c>
      <c r="AE23">
        <f t="shared" si="22"/>
        <v>65</v>
      </c>
    </row>
    <row r="24" spans="1:31" x14ac:dyDescent="0.2">
      <c r="A24" s="3">
        <v>23</v>
      </c>
      <c r="B24">
        <v>1.1499999999999999</v>
      </c>
      <c r="C24">
        <v>2.09</v>
      </c>
      <c r="D24">
        <v>2.5920000000000001</v>
      </c>
      <c r="E24">
        <v>2.9380000000000002</v>
      </c>
      <c r="F24">
        <v>24.5</v>
      </c>
      <c r="G24">
        <v>1.78</v>
      </c>
      <c r="H24" s="26">
        <f t="shared" si="7"/>
        <v>-0.40909384964368306</v>
      </c>
      <c r="I24" s="26">
        <f t="shared" si="8"/>
        <v>-1.3884332969722242</v>
      </c>
      <c r="J24" s="26">
        <f t="shared" si="9"/>
        <v>-0.89876357330795364</v>
      </c>
      <c r="K24" s="26">
        <f t="shared" si="10"/>
        <v>-9.8355533413661642E-2</v>
      </c>
      <c r="L24" s="26">
        <f t="shared" si="11"/>
        <v>-0.9136608541136525</v>
      </c>
      <c r="M24" s="26">
        <f t="shared" si="12"/>
        <v>-0.50600819376365702</v>
      </c>
      <c r="N24" s="26">
        <f t="shared" si="24"/>
        <v>-0.54976679673201101</v>
      </c>
      <c r="O24" s="26">
        <f t="shared" si="25"/>
        <v>-1.3783510568403596</v>
      </c>
      <c r="P24" s="26">
        <f t="shared" si="13"/>
        <v>-0.96405892678618532</v>
      </c>
      <c r="Q24" s="26">
        <f t="shared" si="14"/>
        <v>-0.76780414434840027</v>
      </c>
      <c r="R24">
        <f t="shared" si="23"/>
        <v>59</v>
      </c>
      <c r="S24" s="27">
        <f t="shared" si="15"/>
        <v>45.909061503563166</v>
      </c>
      <c r="T24" s="27">
        <f t="shared" si="16"/>
        <v>36.115667030277763</v>
      </c>
      <c r="U24" s="27">
        <f t="shared" si="2"/>
        <v>49.016444665863382</v>
      </c>
      <c r="V24" s="27">
        <f t="shared" si="3"/>
        <v>40.863391458863475</v>
      </c>
      <c r="W24" s="27">
        <f t="shared" si="4"/>
        <v>44.502332032679888</v>
      </c>
      <c r="X24" s="27">
        <f t="shared" si="5"/>
        <v>36.216489431596401</v>
      </c>
      <c r="Y24" s="27">
        <f t="shared" si="26"/>
        <v>42.321958556515995</v>
      </c>
      <c r="Z24">
        <f t="shared" si="17"/>
        <v>43</v>
      </c>
      <c r="AA24">
        <f t="shared" si="18"/>
        <v>62</v>
      </c>
      <c r="AB24">
        <f t="shared" si="19"/>
        <v>41</v>
      </c>
      <c r="AC24">
        <f t="shared" si="20"/>
        <v>54</v>
      </c>
      <c r="AD24">
        <f t="shared" si="21"/>
        <v>49</v>
      </c>
      <c r="AE24">
        <f t="shared" si="22"/>
        <v>64</v>
      </c>
    </row>
    <row r="25" spans="1:31" x14ac:dyDescent="0.2">
      <c r="A25" s="3">
        <v>24</v>
      </c>
      <c r="B25">
        <v>1.19</v>
      </c>
      <c r="C25">
        <v>2.1</v>
      </c>
      <c r="D25">
        <v>2.9</v>
      </c>
      <c r="E25">
        <v>2.851</v>
      </c>
      <c r="F25">
        <v>20.7</v>
      </c>
      <c r="G25">
        <v>2.08</v>
      </c>
      <c r="H25" s="26">
        <f t="shared" si="7"/>
        <v>-1.1129112253747449</v>
      </c>
      <c r="I25" s="26">
        <f t="shared" si="8"/>
        <v>-1.4892700631733493</v>
      </c>
      <c r="J25" s="26">
        <f t="shared" si="9"/>
        <v>-1.3010906442740471</v>
      </c>
      <c r="K25" s="26">
        <f t="shared" si="10"/>
        <v>-2.121890201209184</v>
      </c>
      <c r="L25" s="26">
        <f t="shared" si="11"/>
        <v>-0.50183475027088043</v>
      </c>
      <c r="M25" s="26">
        <f t="shared" si="12"/>
        <v>-1.3118624757400323</v>
      </c>
      <c r="N25" s="26">
        <f t="shared" si="24"/>
        <v>-1.2151519970858828</v>
      </c>
      <c r="O25" s="26">
        <f t="shared" si="25"/>
        <v>-8.4958160817206432E-2</v>
      </c>
      <c r="P25" s="26">
        <f t="shared" si="13"/>
        <v>-0.65005507895154468</v>
      </c>
      <c r="Q25" s="26">
        <f t="shared" si="14"/>
        <v>-1.1423711897431661</v>
      </c>
      <c r="R25">
        <f t="shared" si="23"/>
        <v>65</v>
      </c>
      <c r="S25" s="27">
        <f t="shared" si="15"/>
        <v>38.870887746252549</v>
      </c>
      <c r="T25" s="27">
        <f t="shared" si="16"/>
        <v>35.10729936826651</v>
      </c>
      <c r="U25" s="27">
        <f t="shared" si="2"/>
        <v>28.781097987908161</v>
      </c>
      <c r="V25" s="27">
        <f t="shared" si="3"/>
        <v>44.981652497291194</v>
      </c>
      <c r="W25" s="27">
        <f t="shared" si="4"/>
        <v>37.848480029141172</v>
      </c>
      <c r="X25" s="27">
        <f t="shared" si="5"/>
        <v>49.150418391827934</v>
      </c>
      <c r="Y25" s="27">
        <f t="shared" si="26"/>
        <v>38.576288102568341</v>
      </c>
      <c r="Z25">
        <f t="shared" si="17"/>
        <v>61</v>
      </c>
      <c r="AA25">
        <f t="shared" si="18"/>
        <v>64</v>
      </c>
      <c r="AB25">
        <f t="shared" si="19"/>
        <v>65</v>
      </c>
      <c r="AC25">
        <f t="shared" si="20"/>
        <v>49</v>
      </c>
      <c r="AD25">
        <f t="shared" si="21"/>
        <v>61</v>
      </c>
      <c r="AE25">
        <f t="shared" si="22"/>
        <v>35</v>
      </c>
    </row>
    <row r="26" spans="1:31" x14ac:dyDescent="0.2">
      <c r="A26" s="3">
        <v>25</v>
      </c>
      <c r="B26">
        <v>1.1599999999999999</v>
      </c>
      <c r="C26">
        <v>2.0299999999999998</v>
      </c>
      <c r="D26">
        <v>2.4649999999999999</v>
      </c>
      <c r="E26">
        <v>2.669</v>
      </c>
      <c r="F26">
        <v>31.5</v>
      </c>
      <c r="G26">
        <v>2</v>
      </c>
      <c r="H26" s="26">
        <f t="shared" si="7"/>
        <v>-0.58504819357644844</v>
      </c>
      <c r="I26" s="26">
        <f t="shared" si="8"/>
        <v>-0.78341269976548766</v>
      </c>
      <c r="J26" s="26">
        <f t="shared" si="9"/>
        <v>-0.68423044667096811</v>
      </c>
      <c r="K26" s="26">
        <f t="shared" si="10"/>
        <v>0.73602402116436416</v>
      </c>
      <c r="L26" s="26">
        <f t="shared" si="11"/>
        <v>0.35968652443468663</v>
      </c>
      <c r="M26" s="26">
        <f t="shared" si="12"/>
        <v>0.54785527279952539</v>
      </c>
      <c r="N26" s="26">
        <f t="shared" si="24"/>
        <v>0.67594278286722631</v>
      </c>
      <c r="O26" s="26">
        <f t="shared" si="25"/>
        <v>-0.42986293309004753</v>
      </c>
      <c r="P26" s="26">
        <f t="shared" si="13"/>
        <v>0.12303992488858939</v>
      </c>
      <c r="Q26" s="26">
        <f t="shared" si="14"/>
        <v>-2.0380708979643683E-2</v>
      </c>
      <c r="R26">
        <f t="shared" si="23"/>
        <v>33</v>
      </c>
      <c r="S26" s="27">
        <f t="shared" si="15"/>
        <v>44.149518064235515</v>
      </c>
      <c r="T26" s="27">
        <f t="shared" si="16"/>
        <v>42.165873002345123</v>
      </c>
      <c r="U26" s="27">
        <f t="shared" si="2"/>
        <v>57.360240211643642</v>
      </c>
      <c r="V26" s="27">
        <f t="shared" si="3"/>
        <v>53.596865244346866</v>
      </c>
      <c r="W26" s="27">
        <f t="shared" si="4"/>
        <v>56.759427828672266</v>
      </c>
      <c r="X26" s="27">
        <f t="shared" si="5"/>
        <v>45.701370669099525</v>
      </c>
      <c r="Y26" s="27">
        <f t="shared" si="26"/>
        <v>49.796192910203565</v>
      </c>
      <c r="Z26">
        <f t="shared" si="17"/>
        <v>51</v>
      </c>
      <c r="AA26">
        <f t="shared" si="18"/>
        <v>55</v>
      </c>
      <c r="AB26">
        <f t="shared" si="19"/>
        <v>17</v>
      </c>
      <c r="AC26">
        <f t="shared" si="20"/>
        <v>28</v>
      </c>
      <c r="AD26">
        <f t="shared" si="21"/>
        <v>16</v>
      </c>
      <c r="AE26">
        <f t="shared" si="22"/>
        <v>43</v>
      </c>
    </row>
    <row r="27" spans="1:31" x14ac:dyDescent="0.2">
      <c r="A27" s="3">
        <v>26</v>
      </c>
      <c r="B27">
        <v>1.1200000000000001</v>
      </c>
      <c r="C27">
        <v>1.931</v>
      </c>
      <c r="D27">
        <v>2.6259999999999999</v>
      </c>
      <c r="E27">
        <v>2.298</v>
      </c>
      <c r="F27">
        <v>30.5</v>
      </c>
      <c r="G27">
        <v>2</v>
      </c>
      <c r="H27" s="26">
        <f t="shared" si="7"/>
        <v>0.11876918215460934</v>
      </c>
      <c r="I27" s="26">
        <f t="shared" si="8"/>
        <v>0.21487128562562427</v>
      </c>
      <c r="J27" s="26">
        <f t="shared" si="9"/>
        <v>0.1668202338901168</v>
      </c>
      <c r="K27" s="26">
        <f t="shared" si="10"/>
        <v>-0.32173273700147792</v>
      </c>
      <c r="L27" s="26">
        <f t="shared" si="11"/>
        <v>2.1158645074883431</v>
      </c>
      <c r="M27" s="26">
        <f t="shared" si="12"/>
        <v>0.89706588524343256</v>
      </c>
      <c r="N27" s="26">
        <f t="shared" si="24"/>
        <v>0.50084141435304952</v>
      </c>
      <c r="O27" s="26">
        <f t="shared" si="25"/>
        <v>-0.42986293309004753</v>
      </c>
      <c r="P27" s="26">
        <f t="shared" si="13"/>
        <v>3.5489240631500996E-2</v>
      </c>
      <c r="Q27" s="26">
        <f t="shared" si="14"/>
        <v>0.40782960483295627</v>
      </c>
      <c r="R27">
        <f t="shared" si="23"/>
        <v>23</v>
      </c>
      <c r="S27" s="27">
        <f t="shared" si="15"/>
        <v>51.187691821546096</v>
      </c>
      <c r="T27" s="27">
        <f t="shared" si="16"/>
        <v>52.148712856256239</v>
      </c>
      <c r="U27" s="27">
        <f t="shared" si="2"/>
        <v>46.782672629985221</v>
      </c>
      <c r="V27" s="27">
        <f t="shared" si="3"/>
        <v>71.158645074883424</v>
      </c>
      <c r="W27" s="27">
        <f t="shared" si="4"/>
        <v>55.008414143530494</v>
      </c>
      <c r="X27" s="27">
        <f t="shared" si="5"/>
        <v>45.701370669099525</v>
      </c>
      <c r="Y27" s="27">
        <f t="shared" si="26"/>
        <v>54.078296048329562</v>
      </c>
      <c r="Z27">
        <f t="shared" si="17"/>
        <v>30</v>
      </c>
      <c r="AA27">
        <f t="shared" si="18"/>
        <v>31</v>
      </c>
      <c r="AB27">
        <f t="shared" si="19"/>
        <v>46</v>
      </c>
      <c r="AC27">
        <f t="shared" si="20"/>
        <v>1</v>
      </c>
      <c r="AD27">
        <f t="shared" si="21"/>
        <v>19</v>
      </c>
      <c r="AE27">
        <f t="shared" si="22"/>
        <v>43</v>
      </c>
    </row>
    <row r="28" spans="1:31" x14ac:dyDescent="0.2">
      <c r="A28" s="3">
        <v>27</v>
      </c>
      <c r="B28">
        <v>1.21</v>
      </c>
      <c r="C28">
        <v>2.04</v>
      </c>
      <c r="D28">
        <v>3.02</v>
      </c>
      <c r="E28">
        <v>2.85</v>
      </c>
      <c r="F28">
        <v>26.7</v>
      </c>
      <c r="G28">
        <v>2.0499999999999998</v>
      </c>
      <c r="H28" s="26">
        <f t="shared" si="7"/>
        <v>-1.4648199132402757</v>
      </c>
      <c r="I28" s="26">
        <f t="shared" si="8"/>
        <v>-0.88424946596661269</v>
      </c>
      <c r="J28" s="26">
        <f t="shared" si="9"/>
        <v>-1.1745346896034441</v>
      </c>
      <c r="K28" s="26">
        <f t="shared" si="10"/>
        <v>-2.9102803315191288</v>
      </c>
      <c r="L28" s="26">
        <f t="shared" si="11"/>
        <v>-0.49710111689337783</v>
      </c>
      <c r="M28" s="26">
        <f t="shared" si="12"/>
        <v>-1.7036907242062533</v>
      </c>
      <c r="N28" s="26">
        <f t="shared" si="24"/>
        <v>-0.16454378600082226</v>
      </c>
      <c r="O28" s="26">
        <f t="shared" si="25"/>
        <v>-0.21429745041952281</v>
      </c>
      <c r="P28" s="26">
        <f t="shared" si="13"/>
        <v>-0.18942061821017253</v>
      </c>
      <c r="Q28" s="26">
        <f t="shared" si="14"/>
        <v>-1.1266896847311796</v>
      </c>
      <c r="R28">
        <f t="shared" si="23"/>
        <v>64</v>
      </c>
      <c r="S28" s="27">
        <f t="shared" si="15"/>
        <v>35.351800867597241</v>
      </c>
      <c r="T28" s="27">
        <f t="shared" si="16"/>
        <v>41.15750534033387</v>
      </c>
      <c r="U28" s="27">
        <f t="shared" si="2"/>
        <v>20.897196684808712</v>
      </c>
      <c r="V28" s="27">
        <f t="shared" si="3"/>
        <v>45.028988831066222</v>
      </c>
      <c r="W28" s="27">
        <f t="shared" si="4"/>
        <v>48.354562139991778</v>
      </c>
      <c r="X28" s="27">
        <f t="shared" si="5"/>
        <v>47.85702549580477</v>
      </c>
      <c r="Y28" s="27">
        <f t="shared" si="26"/>
        <v>38.733103152688201</v>
      </c>
      <c r="Z28">
        <f t="shared" si="17"/>
        <v>64</v>
      </c>
      <c r="AA28">
        <f t="shared" si="18"/>
        <v>56</v>
      </c>
      <c r="AB28">
        <f t="shared" si="19"/>
        <v>68</v>
      </c>
      <c r="AC28">
        <f t="shared" si="20"/>
        <v>46</v>
      </c>
      <c r="AD28">
        <f t="shared" si="21"/>
        <v>37</v>
      </c>
      <c r="AE28">
        <f t="shared" si="22"/>
        <v>40</v>
      </c>
    </row>
    <row r="29" spans="1:31" x14ac:dyDescent="0.2">
      <c r="A29" s="3">
        <v>28</v>
      </c>
      <c r="B29">
        <v>1.07</v>
      </c>
      <c r="C29">
        <v>1.76</v>
      </c>
      <c r="D29">
        <v>2.4580000000000002</v>
      </c>
      <c r="E29">
        <v>2.85</v>
      </c>
      <c r="F29">
        <v>38.299999999999997</v>
      </c>
      <c r="G29">
        <v>2.4</v>
      </c>
      <c r="H29" s="26">
        <f t="shared" si="7"/>
        <v>0.99854090181843647</v>
      </c>
      <c r="I29" s="26">
        <f t="shared" si="8"/>
        <v>1.9391799876648224</v>
      </c>
      <c r="J29" s="26">
        <f t="shared" si="9"/>
        <v>1.4688604447416294</v>
      </c>
      <c r="K29" s="26">
        <f t="shared" si="10"/>
        <v>0.78201344543244211</v>
      </c>
      <c r="L29" s="26">
        <f t="shared" si="11"/>
        <v>-0.49710111689337783</v>
      </c>
      <c r="M29" s="26">
        <f t="shared" si="12"/>
        <v>0.14245616426953214</v>
      </c>
      <c r="N29" s="26">
        <f t="shared" si="24"/>
        <v>1.8666320887636276</v>
      </c>
      <c r="O29" s="26">
        <f t="shared" si="25"/>
        <v>1.2946609282741561</v>
      </c>
      <c r="P29" s="26">
        <f t="shared" si="13"/>
        <v>1.5806465085188919</v>
      </c>
      <c r="Q29" s="26">
        <f t="shared" si="14"/>
        <v>0.99940535550890863</v>
      </c>
      <c r="R29">
        <f t="shared" si="23"/>
        <v>6</v>
      </c>
      <c r="S29" s="27">
        <f t="shared" si="15"/>
        <v>59.985409018184363</v>
      </c>
      <c r="T29" s="27">
        <f t="shared" si="16"/>
        <v>69.391799876648221</v>
      </c>
      <c r="U29" s="27">
        <f t="shared" si="2"/>
        <v>57.820134454324418</v>
      </c>
      <c r="V29" s="27">
        <f t="shared" si="3"/>
        <v>45.028988831066222</v>
      </c>
      <c r="W29" s="27">
        <f t="shared" si="4"/>
        <v>68.666320887636275</v>
      </c>
      <c r="X29" s="27">
        <f t="shared" si="5"/>
        <v>62.946609282741562</v>
      </c>
      <c r="Y29" s="27">
        <f t="shared" si="26"/>
        <v>59.994053555089089</v>
      </c>
      <c r="Z29">
        <f t="shared" si="17"/>
        <v>13</v>
      </c>
      <c r="AA29">
        <f t="shared" si="18"/>
        <v>1</v>
      </c>
      <c r="AB29">
        <f t="shared" si="19"/>
        <v>14</v>
      </c>
      <c r="AC29">
        <f t="shared" si="20"/>
        <v>46</v>
      </c>
      <c r="AD29">
        <f t="shared" si="21"/>
        <v>4</v>
      </c>
      <c r="AE29">
        <f t="shared" si="22"/>
        <v>4</v>
      </c>
    </row>
    <row r="30" spans="1:31" x14ac:dyDescent="0.2">
      <c r="A30" s="3">
        <v>29</v>
      </c>
      <c r="B30">
        <v>1.1499999999999999</v>
      </c>
      <c r="C30">
        <v>1.97</v>
      </c>
      <c r="D30">
        <v>2.72</v>
      </c>
      <c r="E30">
        <v>3</v>
      </c>
      <c r="F30">
        <v>26.5</v>
      </c>
      <c r="G30">
        <v>1.85</v>
      </c>
      <c r="H30" s="26">
        <f t="shared" si="7"/>
        <v>-0.40909384964368306</v>
      </c>
      <c r="I30" s="26">
        <f t="shared" si="8"/>
        <v>-0.1783921025587534</v>
      </c>
      <c r="J30" s="26">
        <f t="shared" si="9"/>
        <v>-0.29374297610121824</v>
      </c>
      <c r="K30" s="26">
        <f t="shared" si="10"/>
        <v>-0.93930500574426956</v>
      </c>
      <c r="L30" s="26">
        <f t="shared" si="11"/>
        <v>-1.207146123518845</v>
      </c>
      <c r="M30" s="26">
        <f t="shared" si="12"/>
        <v>-1.0732255646315574</v>
      </c>
      <c r="N30" s="26">
        <f t="shared" si="24"/>
        <v>-0.19956405970365748</v>
      </c>
      <c r="O30" s="26">
        <f t="shared" si="25"/>
        <v>-1.0765593811016236</v>
      </c>
      <c r="P30" s="26">
        <f t="shared" si="13"/>
        <v>-0.63806172040264053</v>
      </c>
      <c r="Q30" s="26">
        <f t="shared" si="14"/>
        <v>-0.67212863287545099</v>
      </c>
      <c r="R30">
        <f t="shared" si="23"/>
        <v>57</v>
      </c>
      <c r="S30" s="27">
        <f t="shared" si="15"/>
        <v>45.909061503563166</v>
      </c>
      <c r="T30" s="27">
        <f t="shared" si="16"/>
        <v>48.216078974412468</v>
      </c>
      <c r="U30" s="27">
        <f t="shared" si="2"/>
        <v>40.606949942557307</v>
      </c>
      <c r="V30" s="27">
        <f t="shared" si="3"/>
        <v>37.928538764811549</v>
      </c>
      <c r="W30" s="27">
        <f t="shared" si="4"/>
        <v>48.004359402963424</v>
      </c>
      <c r="X30" s="27">
        <f t="shared" si="5"/>
        <v>39.234406188983762</v>
      </c>
      <c r="Y30" s="27">
        <f t="shared" si="26"/>
        <v>43.278713671245491</v>
      </c>
      <c r="Z30">
        <f t="shared" si="17"/>
        <v>43</v>
      </c>
      <c r="AA30">
        <f t="shared" si="18"/>
        <v>38</v>
      </c>
      <c r="AB30">
        <f t="shared" si="19"/>
        <v>58</v>
      </c>
      <c r="AC30">
        <f t="shared" si="20"/>
        <v>61</v>
      </c>
      <c r="AD30">
        <f t="shared" si="21"/>
        <v>39</v>
      </c>
      <c r="AE30">
        <f t="shared" si="22"/>
        <v>60</v>
      </c>
    </row>
    <row r="31" spans="1:31" x14ac:dyDescent="0.2">
      <c r="A31" s="3">
        <v>30</v>
      </c>
      <c r="B31">
        <v>1.093</v>
      </c>
      <c r="C31">
        <v>1.968</v>
      </c>
      <c r="D31">
        <v>2.629</v>
      </c>
      <c r="E31">
        <v>2.4239999999999999</v>
      </c>
      <c r="F31">
        <v>29.9</v>
      </c>
      <c r="G31">
        <v>2.1</v>
      </c>
      <c r="H31" s="26">
        <f t="shared" si="7"/>
        <v>0.59384591077307791</v>
      </c>
      <c r="I31" s="26">
        <f t="shared" si="8"/>
        <v>-0.15822474931852884</v>
      </c>
      <c r="J31" s="26">
        <f t="shared" si="9"/>
        <v>0.21781058072727455</v>
      </c>
      <c r="K31" s="26">
        <f t="shared" si="10"/>
        <v>-0.34144249025922724</v>
      </c>
      <c r="L31" s="26">
        <f t="shared" si="11"/>
        <v>1.5194267019229508</v>
      </c>
      <c r="M31" s="26">
        <f t="shared" si="12"/>
        <v>0.58899210583186179</v>
      </c>
      <c r="N31" s="26">
        <f t="shared" si="24"/>
        <v>0.39578059324454323</v>
      </c>
      <c r="O31" s="26">
        <f t="shared" si="25"/>
        <v>1.2680322510038526E-3</v>
      </c>
      <c r="P31" s="26">
        <f t="shared" si="13"/>
        <v>0.19852431274777355</v>
      </c>
      <c r="Q31" s="26">
        <f t="shared" si="14"/>
        <v>0.35218208564661946</v>
      </c>
      <c r="R31">
        <f t="shared" si="23"/>
        <v>24</v>
      </c>
      <c r="S31" s="27">
        <f t="shared" si="15"/>
        <v>55.938459107730779</v>
      </c>
      <c r="T31" s="27">
        <f t="shared" si="16"/>
        <v>48.417752506814715</v>
      </c>
      <c r="U31" s="27">
        <f t="shared" si="2"/>
        <v>46.585575097407727</v>
      </c>
      <c r="V31" s="27">
        <f t="shared" si="3"/>
        <v>65.194267019229514</v>
      </c>
      <c r="W31" s="27">
        <f t="shared" si="4"/>
        <v>53.957805932445432</v>
      </c>
      <c r="X31" s="27">
        <f t="shared" si="5"/>
        <v>50.012680322510036</v>
      </c>
      <c r="Y31" s="27">
        <f t="shared" si="26"/>
        <v>53.521820856466192</v>
      </c>
      <c r="Z31">
        <f t="shared" si="17"/>
        <v>19</v>
      </c>
      <c r="AA31">
        <f t="shared" si="18"/>
        <v>37</v>
      </c>
      <c r="AB31">
        <f t="shared" si="19"/>
        <v>47</v>
      </c>
      <c r="AC31">
        <f t="shared" si="20"/>
        <v>2</v>
      </c>
      <c r="AD31">
        <f t="shared" si="21"/>
        <v>22</v>
      </c>
      <c r="AE31">
        <f t="shared" si="22"/>
        <v>25</v>
      </c>
    </row>
    <row r="32" spans="1:31" x14ac:dyDescent="0.2">
      <c r="A32" s="3">
        <v>31</v>
      </c>
      <c r="B32">
        <v>1.1299999999999999</v>
      </c>
      <c r="C32">
        <v>2</v>
      </c>
      <c r="D32">
        <v>2.7080000000000002</v>
      </c>
      <c r="E32">
        <v>2.82</v>
      </c>
      <c r="F32">
        <v>20.7</v>
      </c>
      <c r="G32">
        <v>2.08</v>
      </c>
      <c r="H32" s="26">
        <f t="shared" si="7"/>
        <v>-5.718516177815218E-2</v>
      </c>
      <c r="I32" s="26">
        <f t="shared" si="8"/>
        <v>-0.48090240116212168</v>
      </c>
      <c r="J32" s="26">
        <f t="shared" si="9"/>
        <v>-0.26904378147013691</v>
      </c>
      <c r="K32" s="26">
        <f t="shared" si="10"/>
        <v>-0.86046599271327506</v>
      </c>
      <c r="L32" s="26">
        <f t="shared" si="11"/>
        <v>-0.35509211556828313</v>
      </c>
      <c r="M32" s="26">
        <f t="shared" si="12"/>
        <v>-0.60777905414077904</v>
      </c>
      <c r="N32" s="26">
        <f t="shared" si="24"/>
        <v>-1.2151519970858828</v>
      </c>
      <c r="O32" s="26">
        <f t="shared" si="25"/>
        <v>-8.4958160817206432E-2</v>
      </c>
      <c r="P32" s="26">
        <f t="shared" si="13"/>
        <v>-0.65005507895154468</v>
      </c>
      <c r="Q32" s="26">
        <f t="shared" si="14"/>
        <v>-0.49132233309197965</v>
      </c>
      <c r="R32">
        <f t="shared" si="23"/>
        <v>52</v>
      </c>
      <c r="S32" s="27">
        <f t="shared" si="15"/>
        <v>49.428148382218481</v>
      </c>
      <c r="T32" s="27">
        <f t="shared" si="16"/>
        <v>45.190975988378781</v>
      </c>
      <c r="U32" s="27">
        <f t="shared" si="2"/>
        <v>41.395340072867249</v>
      </c>
      <c r="V32" s="27">
        <f t="shared" si="3"/>
        <v>46.449078844317171</v>
      </c>
      <c r="W32" s="27">
        <f t="shared" si="4"/>
        <v>37.848480029141172</v>
      </c>
      <c r="X32" s="27">
        <f t="shared" si="5"/>
        <v>49.150418391827934</v>
      </c>
      <c r="Y32" s="27">
        <f t="shared" si="26"/>
        <v>45.086776669080201</v>
      </c>
      <c r="Z32">
        <f t="shared" si="17"/>
        <v>33</v>
      </c>
      <c r="AA32">
        <f t="shared" si="18"/>
        <v>50</v>
      </c>
      <c r="AB32">
        <f t="shared" si="19"/>
        <v>57</v>
      </c>
      <c r="AC32">
        <f t="shared" si="20"/>
        <v>44</v>
      </c>
      <c r="AD32">
        <f t="shared" si="21"/>
        <v>61</v>
      </c>
      <c r="AE32">
        <f t="shared" si="22"/>
        <v>35</v>
      </c>
    </row>
    <row r="33" spans="1:31" x14ac:dyDescent="0.2">
      <c r="A33" s="3">
        <v>32</v>
      </c>
      <c r="B33">
        <v>1.1499999999999999</v>
      </c>
      <c r="C33">
        <v>2.1</v>
      </c>
      <c r="D33">
        <v>2.78</v>
      </c>
      <c r="E33">
        <v>2.8330000000000002</v>
      </c>
      <c r="F33">
        <v>18</v>
      </c>
      <c r="G33">
        <v>2</v>
      </c>
      <c r="H33" s="26">
        <f t="shared" si="7"/>
        <v>-0.40909384964368306</v>
      </c>
      <c r="I33" s="26">
        <f t="shared" si="8"/>
        <v>-1.4892700631733493</v>
      </c>
      <c r="J33" s="26">
        <f t="shared" si="9"/>
        <v>-0.94918195640851621</v>
      </c>
      <c r="K33" s="26">
        <f t="shared" si="10"/>
        <v>-1.3335000708992391</v>
      </c>
      <c r="L33" s="26">
        <f t="shared" si="11"/>
        <v>-0.41662934947582531</v>
      </c>
      <c r="M33" s="26">
        <f t="shared" si="12"/>
        <v>-0.87506471018753218</v>
      </c>
      <c r="N33" s="26">
        <f t="shared" si="24"/>
        <v>-1.6879256920741599</v>
      </c>
      <c r="O33" s="26">
        <f t="shared" si="25"/>
        <v>-0.42986293309004753</v>
      </c>
      <c r="P33" s="26">
        <f t="shared" si="13"/>
        <v>-1.0588943125821038</v>
      </c>
      <c r="Q33" s="26">
        <f t="shared" si="14"/>
        <v>-0.94881607811904412</v>
      </c>
      <c r="R33">
        <f t="shared" si="23"/>
        <v>63</v>
      </c>
      <c r="S33" s="27">
        <f t="shared" si="15"/>
        <v>45.909061503563166</v>
      </c>
      <c r="T33" s="27">
        <f t="shared" si="16"/>
        <v>35.10729936826651</v>
      </c>
      <c r="U33" s="27">
        <f t="shared" si="2"/>
        <v>36.664999291007611</v>
      </c>
      <c r="V33" s="27">
        <f t="shared" si="3"/>
        <v>45.83370650524175</v>
      </c>
      <c r="W33" s="27">
        <f t="shared" si="4"/>
        <v>33.120743079258403</v>
      </c>
      <c r="X33" s="27">
        <f t="shared" si="5"/>
        <v>45.701370669099525</v>
      </c>
      <c r="Y33" s="27">
        <f t="shared" si="26"/>
        <v>40.511839218809556</v>
      </c>
      <c r="Z33">
        <f t="shared" si="17"/>
        <v>43</v>
      </c>
      <c r="AA33">
        <f t="shared" si="18"/>
        <v>64</v>
      </c>
      <c r="AB33">
        <f t="shared" si="19"/>
        <v>62</v>
      </c>
      <c r="AC33">
        <f t="shared" si="20"/>
        <v>45</v>
      </c>
      <c r="AD33">
        <f t="shared" si="21"/>
        <v>66</v>
      </c>
      <c r="AE33">
        <f t="shared" si="22"/>
        <v>43</v>
      </c>
    </row>
    <row r="34" spans="1:31" x14ac:dyDescent="0.2">
      <c r="A34" s="3">
        <v>33</v>
      </c>
      <c r="B34">
        <v>1.1499999999999999</v>
      </c>
      <c r="C34">
        <v>1.99</v>
      </c>
      <c r="D34">
        <v>2.544</v>
      </c>
      <c r="E34">
        <v>2.6619999999999999</v>
      </c>
      <c r="F34">
        <v>28.6</v>
      </c>
      <c r="G34">
        <v>2</v>
      </c>
      <c r="H34" s="26">
        <f t="shared" si="7"/>
        <v>-0.40909384964368306</v>
      </c>
      <c r="I34" s="26">
        <f t="shared" si="8"/>
        <v>-0.38006563496099893</v>
      </c>
      <c r="J34" s="26">
        <f t="shared" si="9"/>
        <v>-0.394579742302341</v>
      </c>
      <c r="K34" s="26">
        <f t="shared" si="10"/>
        <v>0.21700051871031634</v>
      </c>
      <c r="L34" s="26">
        <f t="shared" si="11"/>
        <v>0.39282195807720899</v>
      </c>
      <c r="M34" s="26">
        <f t="shared" si="12"/>
        <v>0.30491123839376266</v>
      </c>
      <c r="N34" s="26">
        <f t="shared" si="24"/>
        <v>0.16814881417611396</v>
      </c>
      <c r="O34" s="26">
        <f t="shared" si="25"/>
        <v>-0.42986293309004753</v>
      </c>
      <c r="P34" s="26">
        <f t="shared" si="13"/>
        <v>-0.1308570594569668</v>
      </c>
      <c r="Q34" s="26">
        <f t="shared" si="14"/>
        <v>-6.6339953829958581E-2</v>
      </c>
      <c r="R34">
        <f t="shared" si="23"/>
        <v>37</v>
      </c>
      <c r="S34" s="27">
        <f t="shared" si="15"/>
        <v>45.909061503563166</v>
      </c>
      <c r="T34" s="27">
        <f t="shared" si="16"/>
        <v>46.199343650390013</v>
      </c>
      <c r="U34" s="27">
        <f t="shared" ref="U34:U69" si="27">(K34*10)+50</f>
        <v>52.170005187103165</v>
      </c>
      <c r="V34" s="27">
        <f t="shared" ref="V34:V69" si="28">(L34*10)+50</f>
        <v>53.928219580772087</v>
      </c>
      <c r="W34" s="27">
        <f t="shared" ref="W34:W69" si="29">(N34*10)+50</f>
        <v>51.681488141761136</v>
      </c>
      <c r="X34" s="27">
        <f t="shared" ref="X34:X69" si="30">(O34*10)+50</f>
        <v>45.701370669099525</v>
      </c>
      <c r="Y34" s="27">
        <f t="shared" si="26"/>
        <v>49.336600461700414</v>
      </c>
      <c r="Z34">
        <f t="shared" si="17"/>
        <v>43</v>
      </c>
      <c r="AA34">
        <f t="shared" si="18"/>
        <v>46</v>
      </c>
      <c r="AB34">
        <f t="shared" si="19"/>
        <v>32</v>
      </c>
      <c r="AC34">
        <f t="shared" si="20"/>
        <v>27</v>
      </c>
      <c r="AD34">
        <f t="shared" si="21"/>
        <v>25</v>
      </c>
      <c r="AE34">
        <f t="shared" si="22"/>
        <v>43</v>
      </c>
    </row>
    <row r="35" spans="1:31" x14ac:dyDescent="0.2">
      <c r="A35" s="3">
        <v>34</v>
      </c>
      <c r="B35">
        <v>1.1399999999999999</v>
      </c>
      <c r="C35">
        <v>1.94</v>
      </c>
      <c r="D35">
        <v>2.7</v>
      </c>
      <c r="E35">
        <v>2.75</v>
      </c>
      <c r="F35">
        <v>27</v>
      </c>
      <c r="G35">
        <v>2.1</v>
      </c>
      <c r="H35" s="26">
        <f t="shared" si="7"/>
        <v>-0.2331395057109176</v>
      </c>
      <c r="I35" s="26">
        <f t="shared" si="8"/>
        <v>0.1241181960446149</v>
      </c>
      <c r="J35" s="26">
        <f t="shared" si="9"/>
        <v>-5.4510654833151352E-2</v>
      </c>
      <c r="K35" s="26">
        <f t="shared" si="10"/>
        <v>-0.80790665069261203</v>
      </c>
      <c r="L35" s="26">
        <f t="shared" si="11"/>
        <v>-2.3737779143065692E-2</v>
      </c>
      <c r="M35" s="26">
        <f t="shared" si="12"/>
        <v>-0.41582221491783888</v>
      </c>
      <c r="N35" s="26">
        <f t="shared" si="24"/>
        <v>-0.1120133754465691</v>
      </c>
      <c r="O35" s="26">
        <f t="shared" si="25"/>
        <v>1.2680322510038526E-3</v>
      </c>
      <c r="P35" s="26">
        <f t="shared" si="13"/>
        <v>-5.537267159778262E-2</v>
      </c>
      <c r="Q35" s="26">
        <f t="shared" si="14"/>
        <v>-0.19021799405606699</v>
      </c>
      <c r="R35">
        <f t="shared" si="23"/>
        <v>42</v>
      </c>
      <c r="S35" s="27">
        <f t="shared" si="15"/>
        <v>47.668604942890823</v>
      </c>
      <c r="T35" s="27">
        <f t="shared" si="16"/>
        <v>51.241181960446148</v>
      </c>
      <c r="U35" s="27">
        <f t="shared" si="27"/>
        <v>41.920933493073882</v>
      </c>
      <c r="V35" s="27">
        <f t="shared" si="28"/>
        <v>49.76262220856934</v>
      </c>
      <c r="W35" s="27">
        <f t="shared" si="29"/>
        <v>48.879866245534309</v>
      </c>
      <c r="X35" s="27">
        <f t="shared" si="30"/>
        <v>50.012680322510036</v>
      </c>
      <c r="Y35" s="27">
        <f t="shared" si="26"/>
        <v>48.097820059439329</v>
      </c>
      <c r="Z35">
        <f t="shared" si="17"/>
        <v>37</v>
      </c>
      <c r="AA35">
        <f t="shared" si="18"/>
        <v>32</v>
      </c>
      <c r="AB35">
        <f t="shared" si="19"/>
        <v>56</v>
      </c>
      <c r="AC35">
        <f t="shared" si="20"/>
        <v>39</v>
      </c>
      <c r="AD35">
        <f t="shared" si="21"/>
        <v>35</v>
      </c>
      <c r="AE35">
        <f t="shared" si="22"/>
        <v>25</v>
      </c>
    </row>
    <row r="36" spans="1:31" x14ac:dyDescent="0.2">
      <c r="A36" s="3">
        <v>35</v>
      </c>
      <c r="B36">
        <v>1.06</v>
      </c>
      <c r="C36">
        <v>1.83</v>
      </c>
      <c r="D36">
        <v>2.3199999999999998</v>
      </c>
      <c r="E36">
        <v>2.5</v>
      </c>
      <c r="F36">
        <v>32.6</v>
      </c>
      <c r="G36">
        <v>2.2999999999999998</v>
      </c>
      <c r="H36" s="26">
        <f t="shared" si="7"/>
        <v>1.1744952457512019</v>
      </c>
      <c r="I36" s="26">
        <f t="shared" si="8"/>
        <v>1.233322624256963</v>
      </c>
      <c r="J36" s="26">
        <f t="shared" si="9"/>
        <v>1.2039089350040824</v>
      </c>
      <c r="K36" s="26">
        <f t="shared" si="10"/>
        <v>1.6886620952888802</v>
      </c>
      <c r="L36" s="26">
        <f t="shared" si="11"/>
        <v>1.1596705652327135</v>
      </c>
      <c r="M36" s="26">
        <f t="shared" si="12"/>
        <v>1.424166330260797</v>
      </c>
      <c r="N36" s="26">
        <f t="shared" si="24"/>
        <v>0.86855428823282099</v>
      </c>
      <c r="O36" s="26">
        <f t="shared" si="25"/>
        <v>0.86352996293310469</v>
      </c>
      <c r="P36" s="26">
        <f t="shared" si="13"/>
        <v>0.8660421255829629</v>
      </c>
      <c r="Q36" s="26">
        <f t="shared" si="14"/>
        <v>1.2020387558700705</v>
      </c>
      <c r="R36">
        <f t="shared" si="23"/>
        <v>3</v>
      </c>
      <c r="S36" s="27">
        <f t="shared" si="15"/>
        <v>61.744952457512021</v>
      </c>
      <c r="T36" s="27">
        <f t="shared" si="16"/>
        <v>62.33322624256963</v>
      </c>
      <c r="U36" s="27">
        <f t="shared" si="27"/>
        <v>66.886620952888805</v>
      </c>
      <c r="V36" s="27">
        <f t="shared" si="28"/>
        <v>61.596705652327131</v>
      </c>
      <c r="W36" s="27">
        <f t="shared" si="29"/>
        <v>58.685542882328207</v>
      </c>
      <c r="X36" s="27">
        <f t="shared" si="30"/>
        <v>58.635299629331044</v>
      </c>
      <c r="Y36" s="27">
        <f t="shared" si="26"/>
        <v>62.020387558700705</v>
      </c>
      <c r="Z36">
        <f t="shared" si="17"/>
        <v>7</v>
      </c>
      <c r="AA36">
        <f t="shared" si="18"/>
        <v>9</v>
      </c>
      <c r="AB36">
        <f t="shared" si="19"/>
        <v>1</v>
      </c>
      <c r="AC36">
        <f t="shared" si="20"/>
        <v>7</v>
      </c>
      <c r="AD36">
        <f t="shared" si="21"/>
        <v>14</v>
      </c>
      <c r="AE36">
        <f t="shared" si="22"/>
        <v>7</v>
      </c>
    </row>
    <row r="37" spans="1:31" x14ac:dyDescent="0.2">
      <c r="A37" s="3">
        <v>36</v>
      </c>
      <c r="B37">
        <v>1.1100000000000001</v>
      </c>
      <c r="C37">
        <v>1.89</v>
      </c>
      <c r="D37">
        <v>2.39</v>
      </c>
      <c r="E37">
        <v>2.52</v>
      </c>
      <c r="F37">
        <v>28.5</v>
      </c>
      <c r="G37">
        <v>2.25</v>
      </c>
      <c r="H37" s="26">
        <f t="shared" si="7"/>
        <v>0.29472352608737479</v>
      </c>
      <c r="I37" s="26">
        <f t="shared" si="8"/>
        <v>0.62830202705022875</v>
      </c>
      <c r="J37" s="26">
        <f t="shared" si="9"/>
        <v>0.46151277656880174</v>
      </c>
      <c r="K37" s="26">
        <f t="shared" si="10"/>
        <v>1.2287678526080776</v>
      </c>
      <c r="L37" s="26">
        <f t="shared" si="11"/>
        <v>1.0649978976826511</v>
      </c>
      <c r="M37" s="26">
        <f t="shared" si="12"/>
        <v>1.1468828751453644</v>
      </c>
      <c r="N37" s="26">
        <f t="shared" si="24"/>
        <v>0.15063867732469602</v>
      </c>
      <c r="O37" s="26">
        <f t="shared" si="25"/>
        <v>0.64796448026258002</v>
      </c>
      <c r="P37" s="26">
        <f t="shared" si="13"/>
        <v>0.39930157879363803</v>
      </c>
      <c r="Q37" s="26">
        <f t="shared" si="14"/>
        <v>0.70297376409122181</v>
      </c>
      <c r="R37">
        <f t="shared" si="23"/>
        <v>15</v>
      </c>
      <c r="S37" s="27">
        <f t="shared" si="15"/>
        <v>52.947235260873747</v>
      </c>
      <c r="T37" s="27">
        <f t="shared" si="16"/>
        <v>56.283020270502291</v>
      </c>
      <c r="U37" s="27">
        <f t="shared" si="27"/>
        <v>62.287678526080775</v>
      </c>
      <c r="V37" s="27">
        <f t="shared" si="28"/>
        <v>60.64997897682651</v>
      </c>
      <c r="W37" s="27">
        <f t="shared" si="29"/>
        <v>51.506386773246959</v>
      </c>
      <c r="X37" s="27">
        <f t="shared" si="30"/>
        <v>56.479644802625799</v>
      </c>
      <c r="Y37" s="27">
        <f t="shared" si="26"/>
        <v>57.029737640912217</v>
      </c>
      <c r="Z37">
        <f t="shared" si="17"/>
        <v>25</v>
      </c>
      <c r="AA37">
        <f t="shared" si="18"/>
        <v>17</v>
      </c>
      <c r="AB37">
        <f t="shared" si="19"/>
        <v>5</v>
      </c>
      <c r="AC37">
        <f t="shared" si="20"/>
        <v>9</v>
      </c>
      <c r="AD37">
        <f t="shared" si="21"/>
        <v>27</v>
      </c>
      <c r="AE37">
        <f t="shared" si="22"/>
        <v>15</v>
      </c>
    </row>
    <row r="38" spans="1:31" x14ac:dyDescent="0.2">
      <c r="A38" s="3">
        <v>37</v>
      </c>
      <c r="B38">
        <v>1.05</v>
      </c>
      <c r="C38">
        <v>1.8</v>
      </c>
      <c r="D38">
        <v>2.37</v>
      </c>
      <c r="E38">
        <v>2.52</v>
      </c>
      <c r="F38">
        <v>42.8</v>
      </c>
      <c r="G38">
        <v>2.4</v>
      </c>
      <c r="H38" s="26">
        <f t="shared" si="7"/>
        <v>1.3504495896839674</v>
      </c>
      <c r="I38" s="26">
        <f t="shared" si="8"/>
        <v>1.5358329228603314</v>
      </c>
      <c r="J38" s="26">
        <f t="shared" si="9"/>
        <v>1.4431412562721495</v>
      </c>
      <c r="K38" s="26">
        <f t="shared" si="10"/>
        <v>1.3601662076597349</v>
      </c>
      <c r="L38" s="26">
        <f t="shared" si="11"/>
        <v>1.0649978976826511</v>
      </c>
      <c r="M38" s="26">
        <f t="shared" si="12"/>
        <v>1.212582052671193</v>
      </c>
      <c r="N38" s="26">
        <f t="shared" si="24"/>
        <v>2.6545882470774229</v>
      </c>
      <c r="O38" s="26">
        <f t="shared" si="25"/>
        <v>1.2946609282741561</v>
      </c>
      <c r="P38" s="26">
        <f t="shared" si="13"/>
        <v>1.9746245876757895</v>
      </c>
      <c r="Q38" s="26">
        <f t="shared" si="14"/>
        <v>1.489552387772701</v>
      </c>
      <c r="R38">
        <f t="shared" si="23"/>
        <v>2</v>
      </c>
      <c r="S38" s="27">
        <f t="shared" si="15"/>
        <v>63.504495896839671</v>
      </c>
      <c r="T38" s="27">
        <f t="shared" si="16"/>
        <v>65.35832922860331</v>
      </c>
      <c r="U38" s="27">
        <f t="shared" si="27"/>
        <v>63.60166207659735</v>
      </c>
      <c r="V38" s="27">
        <f t="shared" si="28"/>
        <v>60.64997897682651</v>
      </c>
      <c r="W38" s="27">
        <f t="shared" si="29"/>
        <v>76.545882470774231</v>
      </c>
      <c r="X38" s="27">
        <f t="shared" si="30"/>
        <v>62.946609282741562</v>
      </c>
      <c r="Y38" s="27">
        <f t="shared" si="26"/>
        <v>64.895523877727015</v>
      </c>
      <c r="Z38">
        <f t="shared" si="17"/>
        <v>4</v>
      </c>
      <c r="AA38">
        <f t="shared" si="18"/>
        <v>5</v>
      </c>
      <c r="AB38">
        <f t="shared" si="19"/>
        <v>3</v>
      </c>
      <c r="AC38">
        <f t="shared" si="20"/>
        <v>9</v>
      </c>
      <c r="AD38">
        <f t="shared" si="21"/>
        <v>1</v>
      </c>
      <c r="AE38">
        <f t="shared" si="22"/>
        <v>4</v>
      </c>
    </row>
    <row r="39" spans="1:31" x14ac:dyDescent="0.2">
      <c r="A39" s="3">
        <v>38</v>
      </c>
      <c r="B39">
        <v>1.05</v>
      </c>
      <c r="C39">
        <v>1.92</v>
      </c>
      <c r="D39">
        <v>2.37</v>
      </c>
      <c r="E39">
        <v>2.6</v>
      </c>
      <c r="F39">
        <v>26.7</v>
      </c>
      <c r="G39">
        <v>2.2000000000000002</v>
      </c>
      <c r="H39" s="26">
        <f t="shared" si="7"/>
        <v>1.3504495896839674</v>
      </c>
      <c r="I39" s="26">
        <f t="shared" si="8"/>
        <v>0.32579172844686044</v>
      </c>
      <c r="J39" s="26">
        <f t="shared" si="9"/>
        <v>0.838120659065414</v>
      </c>
      <c r="K39" s="26">
        <f t="shared" si="10"/>
        <v>1.3601662076597349</v>
      </c>
      <c r="L39" s="26">
        <f t="shared" si="11"/>
        <v>0.68630722748240147</v>
      </c>
      <c r="M39" s="26">
        <f t="shared" si="12"/>
        <v>1.0232367175710682</v>
      </c>
      <c r="N39" s="26">
        <f t="shared" si="24"/>
        <v>-0.16454378600082226</v>
      </c>
      <c r="O39" s="26">
        <f t="shared" si="25"/>
        <v>0.43239899759205525</v>
      </c>
      <c r="P39" s="26">
        <f t="shared" si="13"/>
        <v>0.13392760579561649</v>
      </c>
      <c r="Q39" s="26">
        <f t="shared" si="14"/>
        <v>0.73149091768758501</v>
      </c>
      <c r="R39">
        <f t="shared" si="23"/>
        <v>12</v>
      </c>
      <c r="S39" s="27">
        <f t="shared" si="15"/>
        <v>63.504495896839671</v>
      </c>
      <c r="T39" s="27">
        <f t="shared" si="16"/>
        <v>53.257917284468604</v>
      </c>
      <c r="U39" s="27">
        <f t="shared" si="27"/>
        <v>63.60166207659735</v>
      </c>
      <c r="V39" s="27">
        <f t="shared" si="28"/>
        <v>56.863072274824013</v>
      </c>
      <c r="W39" s="27">
        <f t="shared" si="29"/>
        <v>48.354562139991778</v>
      </c>
      <c r="X39" s="27">
        <f t="shared" si="30"/>
        <v>54.323989975920554</v>
      </c>
      <c r="Y39" s="27">
        <f t="shared" si="26"/>
        <v>57.314909176875851</v>
      </c>
      <c r="Z39">
        <f t="shared" si="17"/>
        <v>4</v>
      </c>
      <c r="AA39">
        <f t="shared" si="18"/>
        <v>24</v>
      </c>
      <c r="AB39">
        <f t="shared" si="19"/>
        <v>3</v>
      </c>
      <c r="AC39">
        <f t="shared" si="20"/>
        <v>20</v>
      </c>
      <c r="AD39">
        <f t="shared" si="21"/>
        <v>37</v>
      </c>
      <c r="AE39">
        <f t="shared" si="22"/>
        <v>17</v>
      </c>
    </row>
    <row r="40" spans="1:31" x14ac:dyDescent="0.2">
      <c r="A40" s="3">
        <v>39</v>
      </c>
      <c r="B40">
        <v>1.08</v>
      </c>
      <c r="C40">
        <v>1.91</v>
      </c>
      <c r="D40">
        <v>2.39</v>
      </c>
      <c r="E40">
        <v>2.58</v>
      </c>
      <c r="F40">
        <v>26.3</v>
      </c>
      <c r="G40">
        <v>2.1</v>
      </c>
      <c r="H40" s="26">
        <f t="shared" si="7"/>
        <v>0.82258655788567103</v>
      </c>
      <c r="I40" s="26">
        <f t="shared" si="8"/>
        <v>0.42662849464798319</v>
      </c>
      <c r="J40" s="26">
        <f t="shared" si="9"/>
        <v>0.62460752626682714</v>
      </c>
      <c r="K40" s="26">
        <f t="shared" si="10"/>
        <v>1.2287678526080776</v>
      </c>
      <c r="L40" s="26">
        <f t="shared" si="11"/>
        <v>0.7809798950324639</v>
      </c>
      <c r="M40" s="26">
        <f t="shared" si="12"/>
        <v>1.0048738738202707</v>
      </c>
      <c r="N40" s="26">
        <f t="shared" si="24"/>
        <v>-0.23458433340649271</v>
      </c>
      <c r="O40" s="26">
        <f t="shared" si="25"/>
        <v>1.2680322510038526E-3</v>
      </c>
      <c r="P40" s="26">
        <f t="shared" si="13"/>
        <v>-0.11665815057774442</v>
      </c>
      <c r="Q40" s="26">
        <f t="shared" si="14"/>
        <v>0.58189098738822564</v>
      </c>
      <c r="R40">
        <f t="shared" si="23"/>
        <v>19</v>
      </c>
      <c r="S40" s="27">
        <f t="shared" si="15"/>
        <v>58.225865578856713</v>
      </c>
      <c r="T40" s="27">
        <f t="shared" si="16"/>
        <v>54.266284946479828</v>
      </c>
      <c r="U40" s="27">
        <f t="shared" si="27"/>
        <v>62.287678526080775</v>
      </c>
      <c r="V40" s="27">
        <f t="shared" si="28"/>
        <v>57.809798950324641</v>
      </c>
      <c r="W40" s="27">
        <f t="shared" si="29"/>
        <v>47.654156665935076</v>
      </c>
      <c r="X40" s="27">
        <f t="shared" si="30"/>
        <v>50.012680322510036</v>
      </c>
      <c r="Y40" s="27">
        <f t="shared" si="26"/>
        <v>55.818909873882255</v>
      </c>
      <c r="Z40">
        <f t="shared" si="17"/>
        <v>16</v>
      </c>
      <c r="AA40">
        <f t="shared" si="18"/>
        <v>21</v>
      </c>
      <c r="AB40">
        <f t="shared" si="19"/>
        <v>5</v>
      </c>
      <c r="AC40">
        <f t="shared" si="20"/>
        <v>16</v>
      </c>
      <c r="AD40">
        <f t="shared" si="21"/>
        <v>40</v>
      </c>
      <c r="AE40">
        <f t="shared" si="22"/>
        <v>25</v>
      </c>
    </row>
    <row r="41" spans="1:31" x14ac:dyDescent="0.2">
      <c r="A41" s="3">
        <v>40</v>
      </c>
      <c r="B41">
        <v>1.1100000000000001</v>
      </c>
      <c r="C41">
        <v>1.93</v>
      </c>
      <c r="D41">
        <v>2.4500000000000002</v>
      </c>
      <c r="E41">
        <v>2.52</v>
      </c>
      <c r="F41">
        <v>33.5</v>
      </c>
      <c r="G41">
        <v>2.2999999999999998</v>
      </c>
      <c r="H41" s="26">
        <f t="shared" si="7"/>
        <v>0.29472352608737479</v>
      </c>
      <c r="I41" s="26">
        <f t="shared" si="8"/>
        <v>0.22495496224573766</v>
      </c>
      <c r="J41" s="26">
        <f t="shared" si="9"/>
        <v>0.25983924416655624</v>
      </c>
      <c r="K41" s="26">
        <f t="shared" si="10"/>
        <v>0.83457278745310504</v>
      </c>
      <c r="L41" s="26">
        <f t="shared" si="11"/>
        <v>1.0649978976826511</v>
      </c>
      <c r="M41" s="26">
        <f t="shared" si="12"/>
        <v>0.94978534256787805</v>
      </c>
      <c r="N41" s="26">
        <f t="shared" si="24"/>
        <v>1.0261455198955798</v>
      </c>
      <c r="O41" s="26">
        <f t="shared" si="25"/>
        <v>0.86352996293310469</v>
      </c>
      <c r="P41" s="26">
        <f t="shared" si="13"/>
        <v>0.94483774141434229</v>
      </c>
      <c r="Q41" s="26">
        <f t="shared" si="14"/>
        <v>0.68981865537899845</v>
      </c>
      <c r="R41">
        <f t="shared" si="23"/>
        <v>16</v>
      </c>
      <c r="S41" s="27">
        <f t="shared" si="15"/>
        <v>52.947235260873747</v>
      </c>
      <c r="T41" s="27">
        <f t="shared" si="16"/>
        <v>52.24954962245738</v>
      </c>
      <c r="U41" s="27">
        <f t="shared" si="27"/>
        <v>58.34572787453105</v>
      </c>
      <c r="V41" s="27">
        <f t="shared" si="28"/>
        <v>60.64997897682651</v>
      </c>
      <c r="W41" s="27">
        <f t="shared" si="29"/>
        <v>60.261455198955801</v>
      </c>
      <c r="X41" s="27">
        <f t="shared" si="30"/>
        <v>58.635299629331044</v>
      </c>
      <c r="Y41" s="27">
        <f t="shared" si="26"/>
        <v>56.898186553789984</v>
      </c>
      <c r="Z41">
        <f t="shared" si="17"/>
        <v>25</v>
      </c>
      <c r="AA41">
        <f t="shared" si="18"/>
        <v>27</v>
      </c>
      <c r="AB41">
        <f t="shared" si="19"/>
        <v>13</v>
      </c>
      <c r="AC41">
        <f t="shared" si="20"/>
        <v>9</v>
      </c>
      <c r="AD41">
        <f t="shared" si="21"/>
        <v>11</v>
      </c>
      <c r="AE41">
        <f t="shared" si="22"/>
        <v>7</v>
      </c>
    </row>
    <row r="42" spans="1:31" x14ac:dyDescent="0.2">
      <c r="A42" s="3">
        <v>41</v>
      </c>
      <c r="B42">
        <v>1.06</v>
      </c>
      <c r="C42">
        <v>1.84</v>
      </c>
      <c r="D42">
        <v>2.46</v>
      </c>
      <c r="E42">
        <v>2.5</v>
      </c>
      <c r="F42">
        <v>28.1</v>
      </c>
      <c r="G42">
        <v>2</v>
      </c>
      <c r="H42" s="26">
        <f t="shared" si="7"/>
        <v>1.1744952457512019</v>
      </c>
      <c r="I42" s="26">
        <f t="shared" si="8"/>
        <v>1.1324858580558403</v>
      </c>
      <c r="J42" s="26">
        <f t="shared" si="9"/>
        <v>1.1534905519035212</v>
      </c>
      <c r="K42" s="26">
        <f t="shared" si="10"/>
        <v>0.76887360992727782</v>
      </c>
      <c r="L42" s="26">
        <f t="shared" si="11"/>
        <v>1.1596705652327135</v>
      </c>
      <c r="M42" s="26">
        <f t="shared" si="12"/>
        <v>0.96427208757999572</v>
      </c>
      <c r="N42" s="26">
        <f t="shared" si="24"/>
        <v>8.0598129919025582E-2</v>
      </c>
      <c r="O42" s="26">
        <f t="shared" si="25"/>
        <v>-0.42986293309004753</v>
      </c>
      <c r="P42" s="26">
        <f t="shared" si="13"/>
        <v>-0.17463240158551097</v>
      </c>
      <c r="Q42" s="26">
        <f t="shared" si="14"/>
        <v>0.75050288940994114</v>
      </c>
      <c r="R42">
        <f t="shared" si="23"/>
        <v>11</v>
      </c>
      <c r="S42" s="27">
        <f t="shared" si="15"/>
        <v>61.744952457512021</v>
      </c>
      <c r="T42" s="27">
        <f t="shared" si="16"/>
        <v>61.324858580558406</v>
      </c>
      <c r="U42" s="27">
        <f t="shared" si="27"/>
        <v>57.688736099272781</v>
      </c>
      <c r="V42" s="27">
        <f t="shared" si="28"/>
        <v>61.596705652327131</v>
      </c>
      <c r="W42" s="27">
        <f t="shared" si="29"/>
        <v>50.805981299190258</v>
      </c>
      <c r="X42" s="27">
        <f t="shared" si="30"/>
        <v>45.701370669099525</v>
      </c>
      <c r="Y42" s="27">
        <f t="shared" si="26"/>
        <v>57.505028894099411</v>
      </c>
      <c r="Z42">
        <f t="shared" si="17"/>
        <v>7</v>
      </c>
      <c r="AA42">
        <f t="shared" si="18"/>
        <v>10</v>
      </c>
      <c r="AB42">
        <f t="shared" si="19"/>
        <v>15</v>
      </c>
      <c r="AC42">
        <f t="shared" si="20"/>
        <v>7</v>
      </c>
      <c r="AD42">
        <f t="shared" si="21"/>
        <v>30</v>
      </c>
      <c r="AE42">
        <f t="shared" si="22"/>
        <v>43</v>
      </c>
    </row>
    <row r="43" spans="1:31" x14ac:dyDescent="0.2">
      <c r="A43" s="3">
        <v>42</v>
      </c>
      <c r="B43">
        <v>1.01</v>
      </c>
      <c r="C43">
        <v>1.79</v>
      </c>
      <c r="D43">
        <v>2.3199999999999998</v>
      </c>
      <c r="E43">
        <v>2.44</v>
      </c>
      <c r="F43">
        <v>41.8</v>
      </c>
      <c r="G43">
        <v>2.4</v>
      </c>
      <c r="H43" s="26">
        <f t="shared" si="7"/>
        <v>2.054266965415029</v>
      </c>
      <c r="I43" s="26">
        <f t="shared" si="8"/>
        <v>1.636669689061454</v>
      </c>
      <c r="J43" s="26">
        <f t="shared" si="9"/>
        <v>1.8454683272382415</v>
      </c>
      <c r="K43" s="26">
        <f t="shared" si="10"/>
        <v>1.6886620952888802</v>
      </c>
      <c r="L43" s="26">
        <f t="shared" si="11"/>
        <v>1.4436885678829008</v>
      </c>
      <c r="M43" s="26">
        <f t="shared" si="12"/>
        <v>1.5661753315858906</v>
      </c>
      <c r="N43" s="26">
        <f t="shared" si="24"/>
        <v>2.4794868785632462</v>
      </c>
      <c r="O43" s="26">
        <f t="shared" si="25"/>
        <v>1.2946609282741561</v>
      </c>
      <c r="P43" s="26">
        <f t="shared" si="13"/>
        <v>1.8870739034187012</v>
      </c>
      <c r="Q43" s="26">
        <f t="shared" si="14"/>
        <v>1.751134847913725</v>
      </c>
      <c r="R43">
        <f t="shared" si="23"/>
        <v>1</v>
      </c>
      <c r="S43" s="27">
        <f t="shared" si="15"/>
        <v>70.542669654150288</v>
      </c>
      <c r="T43" s="27">
        <f t="shared" si="16"/>
        <v>66.366696890614548</v>
      </c>
      <c r="U43" s="27">
        <f t="shared" si="27"/>
        <v>66.886620952888805</v>
      </c>
      <c r="V43" s="27">
        <f t="shared" si="28"/>
        <v>64.436885678829015</v>
      </c>
      <c r="W43" s="27">
        <f t="shared" si="29"/>
        <v>74.79486878563246</v>
      </c>
      <c r="X43" s="27">
        <f t="shared" si="30"/>
        <v>62.946609282741562</v>
      </c>
      <c r="Y43" s="27">
        <f t="shared" si="26"/>
        <v>67.511348479137254</v>
      </c>
      <c r="Z43">
        <f t="shared" si="17"/>
        <v>1</v>
      </c>
      <c r="AA43">
        <f t="shared" si="18"/>
        <v>3</v>
      </c>
      <c r="AB43">
        <f t="shared" si="19"/>
        <v>1</v>
      </c>
      <c r="AC43">
        <f t="shared" si="20"/>
        <v>3</v>
      </c>
      <c r="AD43">
        <f t="shared" si="21"/>
        <v>2</v>
      </c>
      <c r="AE43">
        <f t="shared" si="22"/>
        <v>4</v>
      </c>
    </row>
    <row r="44" spans="1:31" x14ac:dyDescent="0.2">
      <c r="A44" s="3">
        <v>43</v>
      </c>
      <c r="B44">
        <v>1.1000000000000001</v>
      </c>
      <c r="C44">
        <v>1.95</v>
      </c>
      <c r="D44">
        <v>2.5</v>
      </c>
      <c r="E44">
        <v>2.54</v>
      </c>
      <c r="F44">
        <v>22.5</v>
      </c>
      <c r="G44">
        <v>2.95</v>
      </c>
      <c r="H44" s="26">
        <f t="shared" si="7"/>
        <v>0.47067787002014022</v>
      </c>
      <c r="I44" s="26">
        <f t="shared" si="8"/>
        <v>2.3281429843492133E-2</v>
      </c>
      <c r="J44" s="26">
        <f t="shared" si="9"/>
        <v>0.24697964993181618</v>
      </c>
      <c r="K44" s="26">
        <f t="shared" si="10"/>
        <v>0.50607689982396276</v>
      </c>
      <c r="L44" s="26">
        <f t="shared" si="11"/>
        <v>0.97032523013258876</v>
      </c>
      <c r="M44" s="26">
        <f t="shared" si="12"/>
        <v>0.73820106497827576</v>
      </c>
      <c r="N44" s="26">
        <f t="shared" si="24"/>
        <v>-0.89996953376036448</v>
      </c>
      <c r="O44" s="26">
        <f t="shared" si="25"/>
        <v>3.6658812376499377</v>
      </c>
      <c r="P44" s="26">
        <f t="shared" si="13"/>
        <v>1.3829558519447867</v>
      </c>
      <c r="Q44" s="26">
        <f t="shared" si="14"/>
        <v>0.71518173107748106</v>
      </c>
      <c r="R44">
        <f t="shared" si="23"/>
        <v>13</v>
      </c>
      <c r="S44" s="27">
        <f t="shared" si="15"/>
        <v>54.706778700201404</v>
      </c>
      <c r="T44" s="27">
        <f t="shared" si="16"/>
        <v>50.232814298434924</v>
      </c>
      <c r="U44" s="27">
        <f t="shared" si="27"/>
        <v>55.060768998239624</v>
      </c>
      <c r="V44" s="27">
        <f t="shared" si="28"/>
        <v>59.70325230132589</v>
      </c>
      <c r="W44" s="27">
        <f t="shared" si="29"/>
        <v>41.000304662396353</v>
      </c>
      <c r="X44" s="27">
        <f t="shared" si="30"/>
        <v>86.658812376499384</v>
      </c>
      <c r="Y44" s="27">
        <f t="shared" si="26"/>
        <v>57.15181731077481</v>
      </c>
      <c r="Z44">
        <f t="shared" si="17"/>
        <v>20</v>
      </c>
      <c r="AA44">
        <f t="shared" si="18"/>
        <v>34</v>
      </c>
      <c r="AB44">
        <f t="shared" si="19"/>
        <v>24</v>
      </c>
      <c r="AC44">
        <f t="shared" si="20"/>
        <v>12</v>
      </c>
      <c r="AD44">
        <f t="shared" si="21"/>
        <v>55</v>
      </c>
      <c r="AE44">
        <f t="shared" si="22"/>
        <v>1</v>
      </c>
    </row>
    <row r="45" spans="1:31" x14ac:dyDescent="0.2">
      <c r="A45" s="3">
        <v>44</v>
      </c>
      <c r="B45">
        <v>1.1499999999999999</v>
      </c>
      <c r="C45">
        <v>1.91</v>
      </c>
      <c r="D45">
        <v>2.6</v>
      </c>
      <c r="E45">
        <v>2.65</v>
      </c>
      <c r="F45">
        <v>21.6</v>
      </c>
      <c r="G45">
        <v>2</v>
      </c>
      <c r="H45" s="26">
        <f t="shared" si="7"/>
        <v>-0.40909384964368306</v>
      </c>
      <c r="I45" s="26">
        <f t="shared" si="8"/>
        <v>0.42662849464798319</v>
      </c>
      <c r="J45" s="26">
        <f t="shared" si="9"/>
        <v>8.7673225021500656E-3</v>
      </c>
      <c r="K45" s="26">
        <f t="shared" si="10"/>
        <v>-0.15091487543432464</v>
      </c>
      <c r="L45" s="26">
        <f t="shared" si="11"/>
        <v>0.44962555860724646</v>
      </c>
      <c r="M45" s="26">
        <f t="shared" si="12"/>
        <v>0.14935534158646091</v>
      </c>
      <c r="N45" s="26">
        <f t="shared" si="24"/>
        <v>-1.0575607654231234</v>
      </c>
      <c r="O45" s="26">
        <f t="shared" si="25"/>
        <v>-0.42986293309004753</v>
      </c>
      <c r="P45" s="26">
        <f t="shared" si="13"/>
        <v>-0.74371184925658551</v>
      </c>
      <c r="Q45" s="26">
        <f t="shared" si="14"/>
        <v>-0.12663196328091725</v>
      </c>
      <c r="R45">
        <f t="shared" si="23"/>
        <v>40</v>
      </c>
      <c r="S45" s="27">
        <f t="shared" si="15"/>
        <v>45.909061503563166</v>
      </c>
      <c r="T45" s="27">
        <f t="shared" si="16"/>
        <v>54.266284946479828</v>
      </c>
      <c r="U45" s="27">
        <f t="shared" si="27"/>
        <v>48.490851245656756</v>
      </c>
      <c r="V45" s="27">
        <f t="shared" si="28"/>
        <v>54.496255586072465</v>
      </c>
      <c r="W45" s="27">
        <f t="shared" si="29"/>
        <v>39.424392345768766</v>
      </c>
      <c r="X45" s="27">
        <f t="shared" si="30"/>
        <v>45.701370669099525</v>
      </c>
      <c r="Y45" s="27">
        <f t="shared" si="26"/>
        <v>48.733680367190829</v>
      </c>
      <c r="Z45">
        <f t="shared" si="17"/>
        <v>43</v>
      </c>
      <c r="AA45">
        <f t="shared" si="18"/>
        <v>21</v>
      </c>
      <c r="AB45">
        <f t="shared" si="19"/>
        <v>42</v>
      </c>
      <c r="AC45">
        <f t="shared" si="20"/>
        <v>23</v>
      </c>
      <c r="AD45">
        <f t="shared" si="21"/>
        <v>60</v>
      </c>
      <c r="AE45">
        <f t="shared" si="22"/>
        <v>43</v>
      </c>
    </row>
    <row r="46" spans="1:31" x14ac:dyDescent="0.2">
      <c r="A46" s="3">
        <v>45</v>
      </c>
      <c r="B46">
        <v>1.05</v>
      </c>
      <c r="C46">
        <v>1.82</v>
      </c>
      <c r="D46">
        <v>2.5099999999999998</v>
      </c>
      <c r="E46">
        <v>2.75</v>
      </c>
      <c r="F46">
        <v>27.1</v>
      </c>
      <c r="G46">
        <v>2.15</v>
      </c>
      <c r="H46" s="26">
        <f t="shared" si="7"/>
        <v>1.3504495896839674</v>
      </c>
      <c r="I46" s="26">
        <f t="shared" si="8"/>
        <v>1.3341593904580857</v>
      </c>
      <c r="J46" s="26">
        <f t="shared" si="9"/>
        <v>1.3423044900710266</v>
      </c>
      <c r="K46" s="26">
        <f t="shared" si="10"/>
        <v>0.44037772229813554</v>
      </c>
      <c r="L46" s="26">
        <f t="shared" si="11"/>
        <v>-2.3737779143065692E-2</v>
      </c>
      <c r="M46" s="26">
        <f t="shared" si="12"/>
        <v>0.20831997157753493</v>
      </c>
      <c r="N46" s="26">
        <f t="shared" si="24"/>
        <v>-9.4503238595151182E-2</v>
      </c>
      <c r="O46" s="26">
        <f t="shared" si="25"/>
        <v>0.21683351492152858</v>
      </c>
      <c r="P46" s="26">
        <f t="shared" si="13"/>
        <v>6.11651381631887E-2</v>
      </c>
      <c r="Q46" s="26">
        <f t="shared" si="14"/>
        <v>0.59677545765900786</v>
      </c>
      <c r="R46">
        <f t="shared" si="23"/>
        <v>18</v>
      </c>
      <c r="S46" s="27">
        <f t="shared" si="15"/>
        <v>63.504495896839671</v>
      </c>
      <c r="T46" s="27">
        <f t="shared" si="16"/>
        <v>63.341593904580861</v>
      </c>
      <c r="U46" s="27">
        <f t="shared" si="27"/>
        <v>54.403777222981354</v>
      </c>
      <c r="V46" s="27">
        <f t="shared" si="28"/>
        <v>49.76262220856934</v>
      </c>
      <c r="W46" s="27">
        <f t="shared" si="29"/>
        <v>49.054967614048486</v>
      </c>
      <c r="X46" s="27">
        <f t="shared" si="30"/>
        <v>52.168335149215288</v>
      </c>
      <c r="Y46" s="27">
        <f t="shared" si="26"/>
        <v>55.967754576590082</v>
      </c>
      <c r="Z46">
        <f t="shared" si="17"/>
        <v>4</v>
      </c>
      <c r="AA46">
        <f t="shared" si="18"/>
        <v>8</v>
      </c>
      <c r="AB46">
        <f t="shared" si="19"/>
        <v>26</v>
      </c>
      <c r="AC46">
        <f t="shared" si="20"/>
        <v>39</v>
      </c>
      <c r="AD46">
        <f t="shared" si="21"/>
        <v>34</v>
      </c>
      <c r="AE46">
        <f t="shared" si="22"/>
        <v>23</v>
      </c>
    </row>
    <row r="47" spans="1:31" x14ac:dyDescent="0.2">
      <c r="A47" s="3">
        <v>46</v>
      </c>
      <c r="B47">
        <v>1.1299999999999999</v>
      </c>
      <c r="C47">
        <v>1.88</v>
      </c>
      <c r="D47">
        <v>2.42</v>
      </c>
      <c r="E47">
        <v>2.57</v>
      </c>
      <c r="F47">
        <v>36</v>
      </c>
      <c r="G47">
        <v>2.2999999999999998</v>
      </c>
      <c r="H47" s="26">
        <f t="shared" si="7"/>
        <v>-5.718516177815218E-2</v>
      </c>
      <c r="I47" s="26">
        <f t="shared" si="8"/>
        <v>0.72913879325135145</v>
      </c>
      <c r="J47" s="26">
        <f t="shared" si="9"/>
        <v>0.33597681573659965</v>
      </c>
      <c r="K47" s="26">
        <f t="shared" si="10"/>
        <v>1.0316703200305928</v>
      </c>
      <c r="L47" s="26">
        <f t="shared" si="11"/>
        <v>0.82831622880749611</v>
      </c>
      <c r="M47" s="26">
        <f t="shared" si="12"/>
        <v>0.92999327441904445</v>
      </c>
      <c r="N47" s="26">
        <f t="shared" si="24"/>
        <v>1.4638989411810217</v>
      </c>
      <c r="O47" s="26">
        <f t="shared" si="25"/>
        <v>0.86352996293310469</v>
      </c>
      <c r="P47" s="26">
        <f t="shared" si="13"/>
        <v>1.1637144520570633</v>
      </c>
      <c r="Q47" s="26">
        <f t="shared" si="14"/>
        <v>0.7656673968226323</v>
      </c>
      <c r="R47">
        <f t="shared" si="23"/>
        <v>8</v>
      </c>
      <c r="S47" s="27">
        <f t="shared" si="15"/>
        <v>49.428148382218481</v>
      </c>
      <c r="T47" s="27">
        <f t="shared" si="16"/>
        <v>57.291387932513516</v>
      </c>
      <c r="U47" s="27">
        <f t="shared" si="27"/>
        <v>60.316703200305923</v>
      </c>
      <c r="V47" s="27">
        <f t="shared" si="28"/>
        <v>58.283162288074962</v>
      </c>
      <c r="W47" s="27">
        <f t="shared" si="29"/>
        <v>64.638989411810215</v>
      </c>
      <c r="X47" s="27">
        <f t="shared" si="30"/>
        <v>58.635299629331044</v>
      </c>
      <c r="Y47" s="27">
        <f t="shared" si="26"/>
        <v>57.656673968226322</v>
      </c>
      <c r="Z47">
        <f t="shared" si="17"/>
        <v>33</v>
      </c>
      <c r="AA47">
        <f t="shared" si="18"/>
        <v>16</v>
      </c>
      <c r="AB47">
        <f t="shared" si="19"/>
        <v>8</v>
      </c>
      <c r="AC47">
        <f t="shared" si="20"/>
        <v>14</v>
      </c>
      <c r="AD47">
        <f t="shared" si="21"/>
        <v>6</v>
      </c>
      <c r="AE47">
        <f t="shared" si="22"/>
        <v>7</v>
      </c>
    </row>
    <row r="48" spans="1:31" x14ac:dyDescent="0.2">
      <c r="A48" s="3">
        <v>47</v>
      </c>
      <c r="B48">
        <v>1.02</v>
      </c>
      <c r="C48">
        <v>1.79</v>
      </c>
      <c r="D48">
        <v>2.5499999999999998</v>
      </c>
      <c r="E48">
        <v>2.4500000000000002</v>
      </c>
      <c r="F48">
        <v>33.700000000000003</v>
      </c>
      <c r="G48">
        <v>2.1</v>
      </c>
      <c r="H48" s="26">
        <f t="shared" si="7"/>
        <v>1.8783126214822636</v>
      </c>
      <c r="I48" s="26">
        <f t="shared" si="8"/>
        <v>1.636669689061454</v>
      </c>
      <c r="J48" s="26">
        <f t="shared" si="9"/>
        <v>1.7574911552718588</v>
      </c>
      <c r="K48" s="26">
        <f t="shared" si="10"/>
        <v>0.17758101219482056</v>
      </c>
      <c r="L48" s="26">
        <f t="shared" si="11"/>
        <v>1.3963522341078687</v>
      </c>
      <c r="M48" s="26">
        <f t="shared" si="12"/>
        <v>0.78696662315134458</v>
      </c>
      <c r="N48" s="26">
        <f t="shared" si="24"/>
        <v>1.0611657935984156</v>
      </c>
      <c r="O48" s="26">
        <f t="shared" si="25"/>
        <v>1.2680322510038526E-3</v>
      </c>
      <c r="P48" s="26">
        <f t="shared" si="13"/>
        <v>0.53121691292470974</v>
      </c>
      <c r="Q48" s="26">
        <f t="shared" si="14"/>
        <v>1.0869758951398785</v>
      </c>
      <c r="R48">
        <f t="shared" si="23"/>
        <v>5</v>
      </c>
      <c r="S48" s="27">
        <f t="shared" si="15"/>
        <v>68.78312621482263</v>
      </c>
      <c r="T48" s="27">
        <f t="shared" si="16"/>
        <v>66.366696890614548</v>
      </c>
      <c r="U48" s="27">
        <f t="shared" si="27"/>
        <v>51.775810121948204</v>
      </c>
      <c r="V48" s="27">
        <f t="shared" si="28"/>
        <v>63.963522341078686</v>
      </c>
      <c r="W48" s="27">
        <f t="shared" si="29"/>
        <v>60.611657935984155</v>
      </c>
      <c r="X48" s="27">
        <f t="shared" si="30"/>
        <v>50.012680322510036</v>
      </c>
      <c r="Y48" s="27">
        <f t="shared" si="26"/>
        <v>60.869758951398786</v>
      </c>
      <c r="Z48">
        <f t="shared" si="17"/>
        <v>2</v>
      </c>
      <c r="AA48">
        <f t="shared" si="18"/>
        <v>3</v>
      </c>
      <c r="AB48">
        <f t="shared" si="19"/>
        <v>33</v>
      </c>
      <c r="AC48">
        <f t="shared" si="20"/>
        <v>4</v>
      </c>
      <c r="AD48">
        <f t="shared" si="21"/>
        <v>10</v>
      </c>
      <c r="AE48">
        <f t="shared" si="22"/>
        <v>25</v>
      </c>
    </row>
    <row r="49" spans="1:31" x14ac:dyDescent="0.2">
      <c r="A49" s="3">
        <v>48</v>
      </c>
      <c r="B49">
        <v>1.1000000000000001</v>
      </c>
      <c r="C49">
        <v>1.89</v>
      </c>
      <c r="D49">
        <v>2.52</v>
      </c>
      <c r="E49">
        <v>2.58</v>
      </c>
      <c r="F49">
        <v>28.6</v>
      </c>
      <c r="G49">
        <v>2.1</v>
      </c>
      <c r="H49" s="26">
        <f t="shared" si="7"/>
        <v>0.47067787002014022</v>
      </c>
      <c r="I49" s="26">
        <f t="shared" si="8"/>
        <v>0.62830202705022875</v>
      </c>
      <c r="J49" s="26">
        <f t="shared" si="9"/>
        <v>0.54948994853518451</v>
      </c>
      <c r="K49" s="26">
        <f t="shared" si="10"/>
        <v>0.37467854477230533</v>
      </c>
      <c r="L49" s="26">
        <f t="shared" si="11"/>
        <v>0.7809798950324639</v>
      </c>
      <c r="M49" s="26">
        <f t="shared" si="12"/>
        <v>0.57782921990238467</v>
      </c>
      <c r="N49" s="26">
        <f t="shared" si="24"/>
        <v>0.16814881417611396</v>
      </c>
      <c r="O49" s="26">
        <f t="shared" si="25"/>
        <v>1.2680322510038526E-3</v>
      </c>
      <c r="P49" s="26">
        <f t="shared" si="13"/>
        <v>8.4708423213558912E-2</v>
      </c>
      <c r="Q49" s="26">
        <f t="shared" si="14"/>
        <v>0.44392179396747816</v>
      </c>
      <c r="R49">
        <f t="shared" si="23"/>
        <v>22</v>
      </c>
      <c r="S49" s="27">
        <f t="shared" si="15"/>
        <v>54.706778700201404</v>
      </c>
      <c r="T49" s="27">
        <f t="shared" si="16"/>
        <v>56.283020270502291</v>
      </c>
      <c r="U49" s="27">
        <f t="shared" si="27"/>
        <v>53.746785447723056</v>
      </c>
      <c r="V49" s="27">
        <f t="shared" si="28"/>
        <v>57.809798950324641</v>
      </c>
      <c r="W49" s="27">
        <f t="shared" si="29"/>
        <v>51.681488141761136</v>
      </c>
      <c r="X49" s="27">
        <f t="shared" si="30"/>
        <v>50.012680322510036</v>
      </c>
      <c r="Y49" s="27">
        <f t="shared" si="26"/>
        <v>54.439217939674784</v>
      </c>
      <c r="Z49">
        <f t="shared" si="17"/>
        <v>20</v>
      </c>
      <c r="AA49">
        <f t="shared" si="18"/>
        <v>17</v>
      </c>
      <c r="AB49">
        <f t="shared" si="19"/>
        <v>29</v>
      </c>
      <c r="AC49">
        <f t="shared" si="20"/>
        <v>16</v>
      </c>
      <c r="AD49">
        <f t="shared" si="21"/>
        <v>25</v>
      </c>
      <c r="AE49">
        <f t="shared" si="22"/>
        <v>25</v>
      </c>
    </row>
    <row r="50" spans="1:31" x14ac:dyDescent="0.2">
      <c r="A50" s="3">
        <v>49</v>
      </c>
      <c r="B50">
        <v>1.1599999999999999</v>
      </c>
      <c r="C50">
        <v>1.93</v>
      </c>
      <c r="D50">
        <v>2.42</v>
      </c>
      <c r="E50">
        <v>2.99</v>
      </c>
      <c r="F50">
        <v>26.2</v>
      </c>
      <c r="G50">
        <v>2</v>
      </c>
      <c r="H50" s="26">
        <f t="shared" si="7"/>
        <v>-0.58504819357644844</v>
      </c>
      <c r="I50" s="26">
        <f t="shared" si="8"/>
        <v>0.22495496224573766</v>
      </c>
      <c r="J50" s="26">
        <f t="shared" si="9"/>
        <v>-0.1800466156653554</v>
      </c>
      <c r="K50" s="26">
        <f t="shared" si="10"/>
        <v>1.0316703200305928</v>
      </c>
      <c r="L50" s="26">
        <f t="shared" si="11"/>
        <v>-1.1598097897438149</v>
      </c>
      <c r="M50" s="26">
        <f t="shared" si="12"/>
        <v>-6.4069734856611049E-2</v>
      </c>
      <c r="N50" s="26">
        <f t="shared" si="24"/>
        <v>-0.25209447025791065</v>
      </c>
      <c r="O50" s="26">
        <f t="shared" si="25"/>
        <v>-0.42986293309004753</v>
      </c>
      <c r="P50" s="26">
        <f t="shared" si="13"/>
        <v>-0.34097870167397909</v>
      </c>
      <c r="Q50" s="26">
        <f t="shared" si="14"/>
        <v>-0.17678830686423219</v>
      </c>
      <c r="R50">
        <f t="shared" si="23"/>
        <v>41</v>
      </c>
      <c r="S50" s="27">
        <f t="shared" si="15"/>
        <v>44.149518064235515</v>
      </c>
      <c r="T50" s="27">
        <f t="shared" si="16"/>
        <v>52.24954962245738</v>
      </c>
      <c r="U50" s="27">
        <f t="shared" si="27"/>
        <v>60.316703200305923</v>
      </c>
      <c r="V50" s="27">
        <f t="shared" si="28"/>
        <v>38.401902102561849</v>
      </c>
      <c r="W50" s="27">
        <f t="shared" si="29"/>
        <v>47.479055297420892</v>
      </c>
      <c r="X50" s="27">
        <f t="shared" si="30"/>
        <v>45.701370669099525</v>
      </c>
      <c r="Y50" s="27">
        <f t="shared" si="26"/>
        <v>48.23211693135768</v>
      </c>
      <c r="Z50">
        <f t="shared" si="17"/>
        <v>51</v>
      </c>
      <c r="AA50">
        <f t="shared" si="18"/>
        <v>27</v>
      </c>
      <c r="AB50">
        <f t="shared" si="19"/>
        <v>8</v>
      </c>
      <c r="AC50">
        <f t="shared" si="20"/>
        <v>60</v>
      </c>
      <c r="AD50">
        <f t="shared" si="21"/>
        <v>42</v>
      </c>
      <c r="AE50">
        <f t="shared" si="22"/>
        <v>43</v>
      </c>
    </row>
    <row r="51" spans="1:31" x14ac:dyDescent="0.2">
      <c r="A51" s="3">
        <v>50</v>
      </c>
      <c r="B51">
        <v>1.18</v>
      </c>
      <c r="C51">
        <v>2.0699999999999998</v>
      </c>
      <c r="D51">
        <v>2.64</v>
      </c>
      <c r="E51">
        <v>2.58</v>
      </c>
      <c r="F51">
        <v>19.3</v>
      </c>
      <c r="G51">
        <v>1.9</v>
      </c>
      <c r="H51" s="26">
        <f t="shared" si="7"/>
        <v>-0.93695688144197931</v>
      </c>
      <c r="I51" s="26">
        <f t="shared" si="8"/>
        <v>-1.1867597645699788</v>
      </c>
      <c r="J51" s="26">
        <f t="shared" si="9"/>
        <v>-1.061858323005979</v>
      </c>
      <c r="K51" s="26">
        <f t="shared" si="10"/>
        <v>-0.41371158553763959</v>
      </c>
      <c r="L51" s="26">
        <f t="shared" si="11"/>
        <v>0.7809798950324639</v>
      </c>
      <c r="M51" s="26">
        <f t="shared" si="12"/>
        <v>0.18363415474741215</v>
      </c>
      <c r="N51" s="26">
        <f t="shared" si="24"/>
        <v>-1.46029391300573</v>
      </c>
      <c r="O51" s="26">
        <f t="shared" si="25"/>
        <v>-0.86099389843109897</v>
      </c>
      <c r="P51" s="26">
        <f t="shared" si="13"/>
        <v>-1.1606439057184144</v>
      </c>
      <c r="Q51" s="26">
        <f t="shared" si="14"/>
        <v>-0.61949503952656615</v>
      </c>
      <c r="R51">
        <f t="shared" si="23"/>
        <v>55</v>
      </c>
      <c r="S51" s="27">
        <f t="shared" si="15"/>
        <v>40.630431185580207</v>
      </c>
      <c r="T51" s="27">
        <f t="shared" si="16"/>
        <v>38.132402354300211</v>
      </c>
      <c r="U51" s="27">
        <f t="shared" si="27"/>
        <v>45.862884144623607</v>
      </c>
      <c r="V51" s="27">
        <f t="shared" si="28"/>
        <v>57.809798950324641</v>
      </c>
      <c r="W51" s="27">
        <f t="shared" si="29"/>
        <v>35.397060869942699</v>
      </c>
      <c r="X51" s="27">
        <f t="shared" si="30"/>
        <v>41.390061015689014</v>
      </c>
      <c r="Y51" s="27">
        <f t="shared" si="26"/>
        <v>43.805049604734336</v>
      </c>
      <c r="Z51">
        <f t="shared" si="17"/>
        <v>60</v>
      </c>
      <c r="AA51">
        <f t="shared" si="18"/>
        <v>60</v>
      </c>
      <c r="AB51">
        <f t="shared" si="19"/>
        <v>48</v>
      </c>
      <c r="AC51">
        <f t="shared" si="20"/>
        <v>16</v>
      </c>
      <c r="AD51">
        <f t="shared" si="21"/>
        <v>64</v>
      </c>
      <c r="AE51">
        <f t="shared" si="22"/>
        <v>57</v>
      </c>
    </row>
    <row r="52" spans="1:31" x14ac:dyDescent="0.2">
      <c r="A52" s="3">
        <v>51</v>
      </c>
      <c r="B52">
        <v>1.23</v>
      </c>
      <c r="C52">
        <v>2.0499999999999998</v>
      </c>
      <c r="D52">
        <v>2.4300000000000002</v>
      </c>
      <c r="E52">
        <v>2.62</v>
      </c>
      <c r="F52">
        <v>22.6</v>
      </c>
      <c r="G52">
        <v>1.98</v>
      </c>
      <c r="H52" s="26">
        <f t="shared" si="7"/>
        <v>-1.8167286011058064</v>
      </c>
      <c r="I52" s="26">
        <f t="shared" si="8"/>
        <v>-0.98508623216773328</v>
      </c>
      <c r="J52" s="26">
        <f t="shared" si="9"/>
        <v>-1.4009074166367699</v>
      </c>
      <c r="K52" s="26">
        <f t="shared" si="10"/>
        <v>0.96597114250476257</v>
      </c>
      <c r="L52" s="26">
        <f t="shared" si="11"/>
        <v>0.59163455993233904</v>
      </c>
      <c r="M52" s="26">
        <f t="shared" si="12"/>
        <v>0.77880285121855075</v>
      </c>
      <c r="N52" s="26">
        <f t="shared" si="24"/>
        <v>-0.88245939690894659</v>
      </c>
      <c r="O52" s="26">
        <f t="shared" si="25"/>
        <v>-0.51608912615825786</v>
      </c>
      <c r="P52" s="26">
        <f t="shared" si="13"/>
        <v>-0.69927426153360228</v>
      </c>
      <c r="Q52" s="26">
        <f t="shared" si="14"/>
        <v>-0.40810777741523274</v>
      </c>
      <c r="R52">
        <f t="shared" si="23"/>
        <v>49</v>
      </c>
      <c r="S52" s="27">
        <f t="shared" si="15"/>
        <v>31.832713988941936</v>
      </c>
      <c r="T52" s="27">
        <f t="shared" si="16"/>
        <v>40.149137678322667</v>
      </c>
      <c r="U52" s="27">
        <f t="shared" si="27"/>
        <v>59.659711425047625</v>
      </c>
      <c r="V52" s="27">
        <f t="shared" si="28"/>
        <v>55.916345599323392</v>
      </c>
      <c r="W52" s="27">
        <f t="shared" si="29"/>
        <v>41.175406030910537</v>
      </c>
      <c r="X52" s="27">
        <f t="shared" si="30"/>
        <v>44.839108738417423</v>
      </c>
      <c r="Y52" s="27">
        <f t="shared" si="26"/>
        <v>45.918922225847673</v>
      </c>
      <c r="Z52">
        <f t="shared" si="17"/>
        <v>65</v>
      </c>
      <c r="AA52">
        <f t="shared" si="18"/>
        <v>57</v>
      </c>
      <c r="AB52">
        <f t="shared" si="19"/>
        <v>12</v>
      </c>
      <c r="AC52">
        <f t="shared" si="20"/>
        <v>22</v>
      </c>
      <c r="AD52">
        <f t="shared" si="21"/>
        <v>54</v>
      </c>
      <c r="AE52">
        <f t="shared" si="22"/>
        <v>51</v>
      </c>
    </row>
    <row r="53" spans="1:31" x14ac:dyDescent="0.2">
      <c r="A53" s="3">
        <v>52</v>
      </c>
      <c r="B53">
        <v>1.1100000000000001</v>
      </c>
      <c r="C53">
        <v>1.86</v>
      </c>
      <c r="D53">
        <v>2.4900000000000002</v>
      </c>
      <c r="E53">
        <v>2.56</v>
      </c>
      <c r="F53">
        <v>34.799999999999997</v>
      </c>
      <c r="G53">
        <v>2.2999999999999998</v>
      </c>
      <c r="H53" s="26">
        <f t="shared" si="7"/>
        <v>0.29472352608737479</v>
      </c>
      <c r="I53" s="26">
        <f t="shared" si="8"/>
        <v>0.93081232565359473</v>
      </c>
      <c r="J53" s="26">
        <f t="shared" si="9"/>
        <v>0.61276792587048479</v>
      </c>
      <c r="K53" s="26">
        <f t="shared" si="10"/>
        <v>0.57177607734979008</v>
      </c>
      <c r="L53" s="26">
        <f t="shared" si="11"/>
        <v>0.87565256258252633</v>
      </c>
      <c r="M53" s="26">
        <f t="shared" si="12"/>
        <v>0.7237143199661582</v>
      </c>
      <c r="N53" s="26">
        <f t="shared" si="24"/>
        <v>1.253777298964009</v>
      </c>
      <c r="O53" s="26">
        <f t="shared" si="25"/>
        <v>0.86352996293310469</v>
      </c>
      <c r="P53" s="26">
        <f t="shared" si="13"/>
        <v>1.0586536309485568</v>
      </c>
      <c r="Q53" s="26">
        <f t="shared" si="14"/>
        <v>0.76584424992588029</v>
      </c>
      <c r="R53">
        <f t="shared" si="23"/>
        <v>7</v>
      </c>
      <c r="S53" s="27">
        <f t="shared" si="15"/>
        <v>52.947235260873747</v>
      </c>
      <c r="T53" s="27">
        <f t="shared" si="16"/>
        <v>59.30812325653595</v>
      </c>
      <c r="U53" s="27">
        <f t="shared" si="27"/>
        <v>55.717760773497901</v>
      </c>
      <c r="V53" s="27">
        <f t="shared" si="28"/>
        <v>58.756525625825262</v>
      </c>
      <c r="W53" s="27">
        <f t="shared" si="29"/>
        <v>62.537772989640089</v>
      </c>
      <c r="X53" s="27">
        <f t="shared" si="30"/>
        <v>58.635299629331044</v>
      </c>
      <c r="Y53" s="27">
        <f t="shared" si="26"/>
        <v>57.658442499258804</v>
      </c>
      <c r="Z53">
        <f t="shared" si="17"/>
        <v>25</v>
      </c>
      <c r="AA53">
        <f t="shared" si="18"/>
        <v>11</v>
      </c>
      <c r="AB53">
        <f t="shared" si="19"/>
        <v>21</v>
      </c>
      <c r="AC53">
        <f t="shared" si="20"/>
        <v>13</v>
      </c>
      <c r="AD53">
        <f t="shared" si="21"/>
        <v>7</v>
      </c>
      <c r="AE53">
        <f t="shared" si="22"/>
        <v>7</v>
      </c>
    </row>
    <row r="54" spans="1:31" x14ac:dyDescent="0.2">
      <c r="A54" s="3">
        <v>53</v>
      </c>
      <c r="B54">
        <v>1.1499999999999999</v>
      </c>
      <c r="C54">
        <v>1.96</v>
      </c>
      <c r="D54">
        <v>2.556</v>
      </c>
      <c r="E54">
        <v>2.8660000000000001</v>
      </c>
      <c r="F54">
        <v>28.2</v>
      </c>
      <c r="G54">
        <v>2.2999999999999998</v>
      </c>
      <c r="H54" s="26">
        <f t="shared" si="7"/>
        <v>-0.40909384964368306</v>
      </c>
      <c r="I54" s="26">
        <f t="shared" si="8"/>
        <v>-7.7555336357630622E-2</v>
      </c>
      <c r="J54" s="26">
        <f t="shared" si="9"/>
        <v>-0.24332459300065684</v>
      </c>
      <c r="K54" s="26">
        <f t="shared" si="10"/>
        <v>0.13816150567932184</v>
      </c>
      <c r="L54" s="26">
        <f t="shared" si="11"/>
        <v>-0.5728392509334278</v>
      </c>
      <c r="M54" s="26">
        <f t="shared" si="12"/>
        <v>-0.21733887262705298</v>
      </c>
      <c r="N54" s="26">
        <f t="shared" si="24"/>
        <v>9.8108266770442876E-2</v>
      </c>
      <c r="O54" s="26">
        <f t="shared" si="25"/>
        <v>0.86352996293310469</v>
      </c>
      <c r="P54" s="26">
        <f t="shared" si="13"/>
        <v>0.48081911485177375</v>
      </c>
      <c r="Q54" s="26">
        <f t="shared" si="14"/>
        <v>-5.2544020897447738E-2</v>
      </c>
      <c r="R54">
        <f t="shared" si="23"/>
        <v>36</v>
      </c>
      <c r="S54" s="27">
        <f t="shared" si="15"/>
        <v>45.909061503563166</v>
      </c>
      <c r="T54" s="27">
        <f t="shared" si="16"/>
        <v>49.224446636423693</v>
      </c>
      <c r="U54" s="27">
        <f t="shared" si="27"/>
        <v>51.381615056793216</v>
      </c>
      <c r="V54" s="27">
        <f t="shared" si="28"/>
        <v>44.271607490665723</v>
      </c>
      <c r="W54" s="27">
        <f t="shared" si="29"/>
        <v>50.981082667704428</v>
      </c>
      <c r="X54" s="27">
        <f t="shared" si="30"/>
        <v>58.635299629331044</v>
      </c>
      <c r="Y54" s="27">
        <f t="shared" si="26"/>
        <v>49.47455979102552</v>
      </c>
      <c r="Z54">
        <f t="shared" si="17"/>
        <v>43</v>
      </c>
      <c r="AA54">
        <f t="shared" si="18"/>
        <v>36</v>
      </c>
      <c r="AB54">
        <f t="shared" si="19"/>
        <v>37</v>
      </c>
      <c r="AC54">
        <f t="shared" si="20"/>
        <v>50</v>
      </c>
      <c r="AD54">
        <f t="shared" si="21"/>
        <v>29</v>
      </c>
      <c r="AE54">
        <f t="shared" si="22"/>
        <v>7</v>
      </c>
    </row>
    <row r="55" spans="1:31" x14ac:dyDescent="0.2">
      <c r="A55" s="3">
        <v>54</v>
      </c>
      <c r="B55">
        <v>1.17</v>
      </c>
      <c r="C55">
        <v>2.0499999999999998</v>
      </c>
      <c r="D55">
        <v>2.589</v>
      </c>
      <c r="E55">
        <v>2.8</v>
      </c>
      <c r="F55">
        <v>24.7</v>
      </c>
      <c r="G55">
        <v>1.7</v>
      </c>
      <c r="H55" s="26">
        <f t="shared" si="7"/>
        <v>-0.76100253750921387</v>
      </c>
      <c r="I55" s="26">
        <f t="shared" si="8"/>
        <v>-0.98508623216773328</v>
      </c>
      <c r="J55" s="26">
        <f t="shared" si="9"/>
        <v>-0.87304438483847357</v>
      </c>
      <c r="K55" s="26">
        <f t="shared" si="10"/>
        <v>-7.8645780155912282E-2</v>
      </c>
      <c r="L55" s="26">
        <f t="shared" si="11"/>
        <v>-0.2604194480182207</v>
      </c>
      <c r="M55" s="26">
        <f t="shared" si="12"/>
        <v>-0.16953261408706649</v>
      </c>
      <c r="N55" s="26">
        <f t="shared" si="24"/>
        <v>-0.51474652302917578</v>
      </c>
      <c r="O55" s="26">
        <f t="shared" si="25"/>
        <v>-1.7232558291132007</v>
      </c>
      <c r="P55" s="26">
        <f t="shared" si="13"/>
        <v>-1.1190011760711882</v>
      </c>
      <c r="Q55" s="26">
        <f t="shared" si="14"/>
        <v>-0.67071666861487444</v>
      </c>
      <c r="R55">
        <f t="shared" si="23"/>
        <v>56</v>
      </c>
      <c r="S55" s="27">
        <f t="shared" si="15"/>
        <v>42.389974624907865</v>
      </c>
      <c r="T55" s="27">
        <f t="shared" si="16"/>
        <v>40.149137678322667</v>
      </c>
      <c r="U55" s="27">
        <f t="shared" si="27"/>
        <v>49.213542198440877</v>
      </c>
      <c r="V55" s="27">
        <f t="shared" si="28"/>
        <v>47.395805519817792</v>
      </c>
      <c r="W55" s="27">
        <f t="shared" si="29"/>
        <v>44.852534769708242</v>
      </c>
      <c r="X55" s="27">
        <f t="shared" si="30"/>
        <v>32.767441708867992</v>
      </c>
      <c r="Y55" s="27">
        <f t="shared" si="26"/>
        <v>43.292833313851254</v>
      </c>
      <c r="Z55">
        <f t="shared" si="17"/>
        <v>57</v>
      </c>
      <c r="AA55">
        <f t="shared" si="18"/>
        <v>57</v>
      </c>
      <c r="AB55">
        <f t="shared" si="19"/>
        <v>39</v>
      </c>
      <c r="AC55">
        <f t="shared" si="20"/>
        <v>42</v>
      </c>
      <c r="AD55">
        <f t="shared" si="21"/>
        <v>48</v>
      </c>
      <c r="AE55">
        <f t="shared" si="22"/>
        <v>66</v>
      </c>
    </row>
    <row r="56" spans="1:31" x14ac:dyDescent="0.2">
      <c r="A56" s="3">
        <v>55</v>
      </c>
      <c r="B56">
        <v>1.1599999999999999</v>
      </c>
      <c r="C56">
        <v>2.0699999999999998</v>
      </c>
      <c r="D56">
        <v>2.87</v>
      </c>
      <c r="E56">
        <v>2.7370000000000001</v>
      </c>
      <c r="F56">
        <v>22.1</v>
      </c>
      <c r="G56">
        <v>1.92</v>
      </c>
      <c r="H56" s="26">
        <f t="shared" si="7"/>
        <v>-0.58504819357644844</v>
      </c>
      <c r="I56" s="26">
        <f t="shared" si="8"/>
        <v>-1.1867597645699788</v>
      </c>
      <c r="J56" s="26">
        <f t="shared" si="9"/>
        <v>-0.88590397907321361</v>
      </c>
      <c r="K56" s="26">
        <f t="shared" si="10"/>
        <v>-1.9247926686316992</v>
      </c>
      <c r="L56" s="26">
        <f t="shared" si="11"/>
        <v>3.7799454764474355E-2</v>
      </c>
      <c r="M56" s="26">
        <f t="shared" si="12"/>
        <v>-0.94349660693361237</v>
      </c>
      <c r="N56" s="26">
        <f t="shared" si="24"/>
        <v>-0.97001008116603493</v>
      </c>
      <c r="O56" s="26">
        <f t="shared" si="25"/>
        <v>-0.77476770536288864</v>
      </c>
      <c r="P56" s="26">
        <f t="shared" si="13"/>
        <v>-0.87238889326446178</v>
      </c>
      <c r="Q56" s="26">
        <f t="shared" si="14"/>
        <v>-0.90412244306867517</v>
      </c>
      <c r="R56">
        <f t="shared" si="23"/>
        <v>62</v>
      </c>
      <c r="S56" s="27">
        <f t="shared" si="15"/>
        <v>44.149518064235515</v>
      </c>
      <c r="T56" s="27">
        <f t="shared" si="16"/>
        <v>38.132402354300211</v>
      </c>
      <c r="U56" s="27">
        <f t="shared" si="27"/>
        <v>30.75207331368301</v>
      </c>
      <c r="V56" s="27">
        <f t="shared" si="28"/>
        <v>50.377994547644747</v>
      </c>
      <c r="W56" s="27">
        <f t="shared" si="29"/>
        <v>40.299899188339651</v>
      </c>
      <c r="X56" s="27">
        <f t="shared" si="30"/>
        <v>42.252322946371116</v>
      </c>
      <c r="Y56" s="27">
        <f t="shared" si="26"/>
        <v>40.958775569313246</v>
      </c>
      <c r="Z56">
        <f t="shared" si="17"/>
        <v>51</v>
      </c>
      <c r="AA56">
        <f t="shared" si="18"/>
        <v>60</v>
      </c>
      <c r="AB56">
        <f t="shared" si="19"/>
        <v>64</v>
      </c>
      <c r="AC56">
        <f t="shared" si="20"/>
        <v>38</v>
      </c>
      <c r="AD56">
        <f t="shared" si="21"/>
        <v>57</v>
      </c>
      <c r="AE56">
        <f t="shared" si="22"/>
        <v>56</v>
      </c>
    </row>
    <row r="57" spans="1:31" x14ac:dyDescent="0.2">
      <c r="A57" s="3">
        <v>56</v>
      </c>
      <c r="B57">
        <v>1.1000000000000001</v>
      </c>
      <c r="C57">
        <v>1.93</v>
      </c>
      <c r="D57">
        <v>2.5680000000000001</v>
      </c>
      <c r="E57">
        <v>3.2170000000000001</v>
      </c>
      <c r="F57">
        <v>30.2</v>
      </c>
      <c r="G57">
        <v>1.95</v>
      </c>
      <c r="H57" s="26">
        <f t="shared" si="7"/>
        <v>0.47067787002014022</v>
      </c>
      <c r="I57" s="26">
        <f t="shared" si="8"/>
        <v>0.22495496224573766</v>
      </c>
      <c r="J57" s="26">
        <f t="shared" si="9"/>
        <v>0.34781641613293895</v>
      </c>
      <c r="K57" s="26">
        <f t="shared" si="10"/>
        <v>5.9322492648327348E-2</v>
      </c>
      <c r="L57" s="26">
        <f t="shared" si="11"/>
        <v>-2.2343445664370218</v>
      </c>
      <c r="M57" s="26">
        <f t="shared" si="12"/>
        <v>-1.0875110368943472</v>
      </c>
      <c r="N57" s="26">
        <f t="shared" si="24"/>
        <v>0.4483110037987964</v>
      </c>
      <c r="O57" s="26">
        <f t="shared" si="25"/>
        <v>-0.64542841576057319</v>
      </c>
      <c r="P57" s="26">
        <f t="shared" si="13"/>
        <v>-9.8558705980888395E-2</v>
      </c>
      <c r="Q57" s="26">
        <f t="shared" si="14"/>
        <v>-0.30202515928075024</v>
      </c>
      <c r="R57">
        <f t="shared" si="23"/>
        <v>46</v>
      </c>
      <c r="S57" s="27">
        <f t="shared" si="15"/>
        <v>54.706778700201404</v>
      </c>
      <c r="T57" s="27">
        <f t="shared" si="16"/>
        <v>52.24954962245738</v>
      </c>
      <c r="U57" s="27">
        <f t="shared" si="27"/>
        <v>50.593224926483273</v>
      </c>
      <c r="V57" s="27">
        <f t="shared" si="28"/>
        <v>27.656554335629782</v>
      </c>
      <c r="W57" s="27">
        <f t="shared" si="29"/>
        <v>54.483110037987963</v>
      </c>
      <c r="X57" s="27">
        <f t="shared" si="30"/>
        <v>43.545715842394266</v>
      </c>
      <c r="Y57" s="27">
        <f t="shared" si="26"/>
        <v>46.979748407192496</v>
      </c>
      <c r="Z57">
        <f t="shared" si="17"/>
        <v>20</v>
      </c>
      <c r="AA57">
        <f t="shared" si="18"/>
        <v>27</v>
      </c>
      <c r="AB57">
        <f t="shared" si="19"/>
        <v>38</v>
      </c>
      <c r="AC57">
        <f t="shared" si="20"/>
        <v>67</v>
      </c>
      <c r="AD57">
        <f t="shared" si="21"/>
        <v>21</v>
      </c>
      <c r="AE57">
        <f t="shared" si="22"/>
        <v>53</v>
      </c>
    </row>
    <row r="58" spans="1:31" x14ac:dyDescent="0.2">
      <c r="A58" s="3">
        <v>57</v>
      </c>
      <c r="B58">
        <v>1.0900000000000001</v>
      </c>
      <c r="C58">
        <v>1.95</v>
      </c>
      <c r="D58">
        <v>2.9239999999999999</v>
      </c>
      <c r="E58">
        <v>2.9710000000000001</v>
      </c>
      <c r="F58">
        <v>25.2</v>
      </c>
      <c r="G58">
        <v>2</v>
      </c>
      <c r="H58" s="26">
        <f t="shared" si="7"/>
        <v>0.6466322139529056</v>
      </c>
      <c r="I58" s="26">
        <f t="shared" si="8"/>
        <v>2.3281429843492133E-2</v>
      </c>
      <c r="J58" s="26">
        <f t="shared" si="9"/>
        <v>0.33495682189819886</v>
      </c>
      <c r="K58" s="26">
        <f t="shared" si="10"/>
        <v>-2.2795682272711728</v>
      </c>
      <c r="L58" s="26">
        <f t="shared" si="11"/>
        <v>-1.069870755571255</v>
      </c>
      <c r="M58" s="26">
        <f t="shared" si="12"/>
        <v>-1.674719491421214</v>
      </c>
      <c r="N58" s="26">
        <f t="shared" si="24"/>
        <v>-0.42719583877208739</v>
      </c>
      <c r="O58" s="26">
        <f t="shared" si="25"/>
        <v>-0.42986293309004753</v>
      </c>
      <c r="P58" s="26">
        <f t="shared" si="13"/>
        <v>-0.42852938593106749</v>
      </c>
      <c r="Q58" s="26">
        <f t="shared" si="14"/>
        <v>-0.60954334755389761</v>
      </c>
      <c r="R58">
        <f t="shared" si="23"/>
        <v>53</v>
      </c>
      <c r="S58" s="27">
        <f t="shared" si="15"/>
        <v>56.466322139529055</v>
      </c>
      <c r="T58" s="27">
        <f t="shared" si="16"/>
        <v>50.232814298434924</v>
      </c>
      <c r="U58" s="27">
        <f t="shared" si="27"/>
        <v>27.20431772728827</v>
      </c>
      <c r="V58" s="27">
        <f t="shared" si="28"/>
        <v>39.301292444287448</v>
      </c>
      <c r="W58" s="27">
        <f t="shared" si="29"/>
        <v>45.728041612279128</v>
      </c>
      <c r="X58" s="27">
        <f t="shared" si="30"/>
        <v>45.701370669099525</v>
      </c>
      <c r="Y58" s="27">
        <f t="shared" si="26"/>
        <v>43.904566524461025</v>
      </c>
      <c r="Z58">
        <f t="shared" si="17"/>
        <v>17</v>
      </c>
      <c r="AA58">
        <f t="shared" si="18"/>
        <v>34</v>
      </c>
      <c r="AB58">
        <f t="shared" si="19"/>
        <v>67</v>
      </c>
      <c r="AC58">
        <f t="shared" si="20"/>
        <v>57</v>
      </c>
      <c r="AD58">
        <f t="shared" si="21"/>
        <v>47</v>
      </c>
      <c r="AE58">
        <f t="shared" si="22"/>
        <v>43</v>
      </c>
    </row>
    <row r="59" spans="1:31" x14ac:dyDescent="0.2">
      <c r="A59" s="3">
        <v>58</v>
      </c>
      <c r="B59">
        <v>1.06</v>
      </c>
      <c r="C59">
        <v>2.06</v>
      </c>
      <c r="D59">
        <v>2.83</v>
      </c>
      <c r="E59">
        <v>2.4860000000000002</v>
      </c>
      <c r="F59">
        <v>22.8</v>
      </c>
      <c r="G59">
        <v>2.25</v>
      </c>
      <c r="H59" s="26">
        <f t="shared" si="7"/>
        <v>1.1744952457512019</v>
      </c>
      <c r="I59" s="26">
        <f t="shared" si="8"/>
        <v>-1.0859229983688583</v>
      </c>
      <c r="J59" s="26">
        <f t="shared" si="9"/>
        <v>4.4286123691171797E-2</v>
      </c>
      <c r="K59" s="26">
        <f t="shared" si="10"/>
        <v>-1.6619959585283843</v>
      </c>
      <c r="L59" s="26">
        <f t="shared" si="11"/>
        <v>1.2259414325177562</v>
      </c>
      <c r="M59" s="26">
        <f t="shared" si="12"/>
        <v>-0.21802726300531405</v>
      </c>
      <c r="N59" s="26">
        <f t="shared" si="24"/>
        <v>-0.84743912320611137</v>
      </c>
      <c r="O59" s="26">
        <f t="shared" si="25"/>
        <v>0.64796448026258002</v>
      </c>
      <c r="P59" s="26">
        <f t="shared" si="13"/>
        <v>-9.9737321471765672E-2</v>
      </c>
      <c r="Q59" s="26">
        <f t="shared" si="14"/>
        <v>-9.008725761074475E-2</v>
      </c>
      <c r="R59">
        <f t="shared" si="23"/>
        <v>38</v>
      </c>
      <c r="S59" s="27">
        <f t="shared" si="15"/>
        <v>61.744952457512021</v>
      </c>
      <c r="T59" s="27">
        <f t="shared" si="16"/>
        <v>39.140770016311421</v>
      </c>
      <c r="U59" s="27">
        <f t="shared" si="27"/>
        <v>33.380040414716156</v>
      </c>
      <c r="V59" s="27">
        <f t="shared" si="28"/>
        <v>62.259414325177559</v>
      </c>
      <c r="W59" s="27">
        <f t="shared" si="29"/>
        <v>41.525608767938884</v>
      </c>
      <c r="X59" s="27">
        <f t="shared" si="30"/>
        <v>56.479644802625799</v>
      </c>
      <c r="Y59" s="27">
        <f t="shared" si="26"/>
        <v>49.099127423892554</v>
      </c>
      <c r="Z59">
        <f t="shared" si="17"/>
        <v>7</v>
      </c>
      <c r="AA59">
        <f t="shared" si="18"/>
        <v>59</v>
      </c>
      <c r="AB59">
        <f t="shared" si="19"/>
        <v>63</v>
      </c>
      <c r="AC59">
        <f t="shared" si="20"/>
        <v>6</v>
      </c>
      <c r="AD59">
        <f t="shared" si="21"/>
        <v>52</v>
      </c>
      <c r="AE59">
        <f t="shared" si="22"/>
        <v>15</v>
      </c>
    </row>
    <row r="60" spans="1:31" x14ac:dyDescent="0.2">
      <c r="A60" s="3">
        <v>59</v>
      </c>
      <c r="B60">
        <v>1.06</v>
      </c>
      <c r="C60">
        <v>1.97</v>
      </c>
      <c r="D60">
        <v>2.6240000000000001</v>
      </c>
      <c r="E60">
        <v>2.464</v>
      </c>
      <c r="F60">
        <v>32.5</v>
      </c>
      <c r="G60">
        <v>2.17</v>
      </c>
      <c r="H60" s="26">
        <f t="shared" si="7"/>
        <v>1.1744952457512019</v>
      </c>
      <c r="I60" s="26">
        <f t="shared" si="8"/>
        <v>-0.1783921025587534</v>
      </c>
      <c r="J60" s="26">
        <f t="shared" si="9"/>
        <v>0.49805157159622426</v>
      </c>
      <c r="K60" s="26">
        <f t="shared" si="10"/>
        <v>-0.30859290149631363</v>
      </c>
      <c r="L60" s="26">
        <f t="shared" si="11"/>
        <v>1.330081366822826</v>
      </c>
      <c r="M60" s="26">
        <f t="shared" si="12"/>
        <v>0.51074423266325619</v>
      </c>
      <c r="N60" s="26">
        <f t="shared" si="24"/>
        <v>0.8510441513814031</v>
      </c>
      <c r="O60" s="26">
        <f t="shared" si="25"/>
        <v>0.30305970798973886</v>
      </c>
      <c r="P60" s="26">
        <f t="shared" si="13"/>
        <v>0.57705192968557095</v>
      </c>
      <c r="Q60" s="26">
        <f t="shared" si="14"/>
        <v>0.52256140901869785</v>
      </c>
      <c r="R60">
        <f t="shared" si="23"/>
        <v>20</v>
      </c>
      <c r="S60" s="27">
        <f t="shared" si="15"/>
        <v>61.744952457512021</v>
      </c>
      <c r="T60" s="27">
        <f t="shared" si="16"/>
        <v>48.216078974412468</v>
      </c>
      <c r="U60" s="27">
        <f t="shared" si="27"/>
        <v>46.914070985036865</v>
      </c>
      <c r="V60" s="27">
        <f t="shared" si="28"/>
        <v>63.300813668228258</v>
      </c>
      <c r="W60" s="27">
        <f t="shared" si="29"/>
        <v>58.51044151381403</v>
      </c>
      <c r="X60" s="27">
        <f t="shared" si="30"/>
        <v>53.03059707989739</v>
      </c>
      <c r="Y60" s="27">
        <f t="shared" si="26"/>
        <v>55.22561409018698</v>
      </c>
      <c r="Z60">
        <f t="shared" si="17"/>
        <v>7</v>
      </c>
      <c r="AA60">
        <f t="shared" si="18"/>
        <v>38</v>
      </c>
      <c r="AB60">
        <f t="shared" si="19"/>
        <v>45</v>
      </c>
      <c r="AC60">
        <f t="shared" si="20"/>
        <v>5</v>
      </c>
      <c r="AD60">
        <f t="shared" si="21"/>
        <v>15</v>
      </c>
      <c r="AE60">
        <f t="shared" si="22"/>
        <v>22</v>
      </c>
    </row>
    <row r="61" spans="1:31" x14ac:dyDescent="0.2">
      <c r="A61" s="3">
        <v>60</v>
      </c>
      <c r="B61">
        <v>1.113</v>
      </c>
      <c r="C61">
        <v>1.8979999999999999</v>
      </c>
      <c r="D61">
        <v>2.7789999999999999</v>
      </c>
      <c r="E61">
        <v>2.5880000000000001</v>
      </c>
      <c r="F61">
        <v>26.2</v>
      </c>
      <c r="G61">
        <v>2.2999999999999998</v>
      </c>
      <c r="H61" s="26">
        <f t="shared" si="7"/>
        <v>0.2419372229075471</v>
      </c>
      <c r="I61" s="26">
        <f t="shared" si="8"/>
        <v>0.54763261408933051</v>
      </c>
      <c r="J61" s="26">
        <f t="shared" si="9"/>
        <v>0.39478491849843877</v>
      </c>
      <c r="K61" s="26">
        <f t="shared" si="10"/>
        <v>-1.3269301531466569</v>
      </c>
      <c r="L61" s="26">
        <f t="shared" si="11"/>
        <v>0.74311082801243888</v>
      </c>
      <c r="M61" s="26">
        <f t="shared" si="12"/>
        <v>-0.29190966256710899</v>
      </c>
      <c r="N61" s="26">
        <f t="shared" si="24"/>
        <v>-0.25209447025791065</v>
      </c>
      <c r="O61" s="26">
        <f t="shared" si="25"/>
        <v>0.86352996293310469</v>
      </c>
      <c r="P61" s="26">
        <f t="shared" si="13"/>
        <v>0.30571774633759702</v>
      </c>
      <c r="Q61" s="26">
        <f t="shared" si="14"/>
        <v>0.11500765755864795</v>
      </c>
      <c r="R61">
        <f t="shared" si="23"/>
        <v>28</v>
      </c>
      <c r="S61" s="27">
        <f t="shared" si="15"/>
        <v>52.419372229075471</v>
      </c>
      <c r="T61" s="27">
        <f t="shared" si="16"/>
        <v>55.476326140893306</v>
      </c>
      <c r="U61" s="27">
        <f t="shared" si="27"/>
        <v>36.730698468533433</v>
      </c>
      <c r="V61" s="27">
        <f t="shared" si="28"/>
        <v>57.431108280124391</v>
      </c>
      <c r="W61" s="27">
        <f t="shared" si="29"/>
        <v>47.479055297420892</v>
      </c>
      <c r="X61" s="27">
        <f t="shared" si="30"/>
        <v>58.635299629331044</v>
      </c>
      <c r="Y61" s="27">
        <f t="shared" si="26"/>
        <v>51.150076575586482</v>
      </c>
      <c r="Z61">
        <f t="shared" si="17"/>
        <v>29</v>
      </c>
      <c r="AA61">
        <f t="shared" si="18"/>
        <v>19</v>
      </c>
      <c r="AB61">
        <f t="shared" si="19"/>
        <v>61</v>
      </c>
      <c r="AC61">
        <f t="shared" si="20"/>
        <v>19</v>
      </c>
      <c r="AD61">
        <f t="shared" si="21"/>
        <v>42</v>
      </c>
      <c r="AE61">
        <f t="shared" si="22"/>
        <v>7</v>
      </c>
    </row>
    <row r="62" spans="1:31" x14ac:dyDescent="0.2">
      <c r="A62" s="3">
        <v>61</v>
      </c>
      <c r="B62">
        <v>1.1499999999999999</v>
      </c>
      <c r="C62">
        <v>2</v>
      </c>
      <c r="D62">
        <v>2.74</v>
      </c>
      <c r="E62">
        <v>2.65</v>
      </c>
      <c r="F62">
        <v>20.3</v>
      </c>
      <c r="G62">
        <v>2.1</v>
      </c>
      <c r="H62" s="26">
        <f t="shared" si="7"/>
        <v>-0.40909384964368306</v>
      </c>
      <c r="I62" s="26">
        <f t="shared" si="8"/>
        <v>-0.48090240116212168</v>
      </c>
      <c r="J62" s="26">
        <f t="shared" si="9"/>
        <v>-0.4449981254029024</v>
      </c>
      <c r="K62" s="26">
        <f t="shared" si="10"/>
        <v>-1.0707033607959271</v>
      </c>
      <c r="L62" s="26">
        <f t="shared" si="11"/>
        <v>0.44962555860724646</v>
      </c>
      <c r="M62" s="26">
        <f t="shared" si="12"/>
        <v>-0.31053890109434035</v>
      </c>
      <c r="N62" s="26">
        <f t="shared" si="24"/>
        <v>-1.2851925444915533</v>
      </c>
      <c r="O62" s="26">
        <f t="shared" si="25"/>
        <v>1.2680322510038526E-3</v>
      </c>
      <c r="P62" s="26">
        <f t="shared" si="13"/>
        <v>-0.64196225612027469</v>
      </c>
      <c r="Q62" s="26">
        <f t="shared" si="14"/>
        <v>-0.44381694896653473</v>
      </c>
      <c r="R62">
        <f t="shared" si="23"/>
        <v>50</v>
      </c>
      <c r="S62" s="27">
        <f t="shared" si="15"/>
        <v>45.909061503563166</v>
      </c>
      <c r="T62" s="27">
        <f t="shared" si="16"/>
        <v>45.190975988378781</v>
      </c>
      <c r="U62" s="27">
        <f t="shared" si="27"/>
        <v>39.292966392040725</v>
      </c>
      <c r="V62" s="27">
        <f t="shared" si="28"/>
        <v>54.496255586072465</v>
      </c>
      <c r="W62" s="27">
        <f t="shared" si="29"/>
        <v>37.148074555084463</v>
      </c>
      <c r="X62" s="27">
        <f t="shared" si="30"/>
        <v>50.012680322510036</v>
      </c>
      <c r="Y62" s="27">
        <f t="shared" ref="Y62:Y70" si="31">(Q62*10)+50</f>
        <v>45.561830510334651</v>
      </c>
      <c r="Z62">
        <f t="shared" si="17"/>
        <v>43</v>
      </c>
      <c r="AA62">
        <f t="shared" si="18"/>
        <v>50</v>
      </c>
      <c r="AB62">
        <f t="shared" si="19"/>
        <v>59</v>
      </c>
      <c r="AC62">
        <f t="shared" si="20"/>
        <v>23</v>
      </c>
      <c r="AD62">
        <f t="shared" si="21"/>
        <v>63</v>
      </c>
      <c r="AE62">
        <f t="shared" si="22"/>
        <v>25</v>
      </c>
    </row>
    <row r="63" spans="1:31" x14ac:dyDescent="0.2">
      <c r="A63" s="3">
        <v>62</v>
      </c>
      <c r="B63">
        <v>1.0680000000000001</v>
      </c>
      <c r="C63">
        <v>1.77</v>
      </c>
      <c r="D63">
        <v>2.5350000000000001</v>
      </c>
      <c r="E63">
        <v>2.7290000000000001</v>
      </c>
      <c r="F63">
        <v>39.799999999999997</v>
      </c>
      <c r="G63">
        <v>2.6</v>
      </c>
      <c r="H63" s="26">
        <f t="shared" si="7"/>
        <v>1.0337317706049896</v>
      </c>
      <c r="I63" s="26">
        <f t="shared" si="8"/>
        <v>1.8383432214636997</v>
      </c>
      <c r="J63" s="26">
        <f t="shared" si="9"/>
        <v>1.4360374960343445</v>
      </c>
      <c r="K63" s="26">
        <f t="shared" si="10"/>
        <v>0.27612977848356146</v>
      </c>
      <c r="L63" s="26">
        <f t="shared" si="11"/>
        <v>7.5668521784499329E-2</v>
      </c>
      <c r="M63" s="26">
        <f t="shared" si="12"/>
        <v>0.1758991501340304</v>
      </c>
      <c r="N63" s="26">
        <f t="shared" si="24"/>
        <v>2.1292841415348929</v>
      </c>
      <c r="O63" s="26">
        <f t="shared" si="25"/>
        <v>2.1569228589562588</v>
      </c>
      <c r="P63" s="26">
        <f t="shared" si="13"/>
        <v>2.1431035002455756</v>
      </c>
      <c r="Q63" s="26">
        <f t="shared" si="14"/>
        <v>1.1402521173745346</v>
      </c>
      <c r="R63">
        <f t="shared" si="23"/>
        <v>4</v>
      </c>
      <c r="S63" s="27">
        <f t="shared" si="15"/>
        <v>60.337317706049895</v>
      </c>
      <c r="T63" s="27">
        <f t="shared" si="16"/>
        <v>68.383432214636997</v>
      </c>
      <c r="U63" s="27">
        <f t="shared" si="27"/>
        <v>52.761297784835612</v>
      </c>
      <c r="V63" s="27">
        <f t="shared" si="28"/>
        <v>50.756685217844996</v>
      </c>
      <c r="W63" s="27">
        <f t="shared" si="29"/>
        <v>71.292841415348931</v>
      </c>
      <c r="X63" s="27">
        <f t="shared" si="30"/>
        <v>71.569228589562584</v>
      </c>
      <c r="Y63" s="27">
        <f t="shared" si="31"/>
        <v>61.402521173745342</v>
      </c>
      <c r="Z63">
        <f t="shared" si="17"/>
        <v>12</v>
      </c>
      <c r="AA63">
        <f t="shared" si="18"/>
        <v>2</v>
      </c>
      <c r="AB63">
        <f t="shared" si="19"/>
        <v>31</v>
      </c>
      <c r="AC63">
        <f t="shared" si="20"/>
        <v>36</v>
      </c>
      <c r="AD63">
        <f t="shared" si="21"/>
        <v>3</v>
      </c>
      <c r="AE63">
        <f t="shared" si="22"/>
        <v>3</v>
      </c>
    </row>
    <row r="64" spans="1:31" x14ac:dyDescent="0.2">
      <c r="A64" s="3">
        <v>63</v>
      </c>
      <c r="B64">
        <v>1.1599999999999999</v>
      </c>
      <c r="C64">
        <v>2.0099999999999998</v>
      </c>
      <c r="D64">
        <v>2.69</v>
      </c>
      <c r="E64">
        <v>2.98</v>
      </c>
      <c r="F64">
        <v>30.4</v>
      </c>
      <c r="G64">
        <v>1.9</v>
      </c>
      <c r="H64" s="26">
        <f t="shared" si="7"/>
        <v>-0.58504819357644844</v>
      </c>
      <c r="I64" s="26">
        <f t="shared" si="8"/>
        <v>-0.58173916736324216</v>
      </c>
      <c r="J64" s="26">
        <f t="shared" si="9"/>
        <v>-0.5833936804698453</v>
      </c>
      <c r="K64" s="26">
        <f t="shared" si="10"/>
        <v>-0.74220747316678182</v>
      </c>
      <c r="L64" s="26">
        <f t="shared" si="11"/>
        <v>-1.1124734559687826</v>
      </c>
      <c r="M64" s="26">
        <f t="shared" si="12"/>
        <v>-0.92734046456778219</v>
      </c>
      <c r="N64" s="26">
        <f t="shared" si="24"/>
        <v>0.48333127750163163</v>
      </c>
      <c r="O64" s="26">
        <f t="shared" si="25"/>
        <v>-0.86099389843109897</v>
      </c>
      <c r="P64" s="26">
        <f t="shared" si="13"/>
        <v>-0.18883131046473367</v>
      </c>
      <c r="Q64" s="26">
        <f t="shared" si="14"/>
        <v>-0.61373313200529367</v>
      </c>
      <c r="R64">
        <f t="shared" si="23"/>
        <v>54</v>
      </c>
      <c r="S64" s="27">
        <f t="shared" si="15"/>
        <v>44.149518064235515</v>
      </c>
      <c r="T64" s="27">
        <f t="shared" si="16"/>
        <v>44.182608326367578</v>
      </c>
      <c r="U64" s="27">
        <f t="shared" si="27"/>
        <v>42.57792526833218</v>
      </c>
      <c r="V64" s="27">
        <f t="shared" si="28"/>
        <v>38.875265440312177</v>
      </c>
      <c r="W64" s="27">
        <f t="shared" si="29"/>
        <v>54.833312775016317</v>
      </c>
      <c r="X64" s="27">
        <f t="shared" si="30"/>
        <v>41.390061015689014</v>
      </c>
      <c r="Y64" s="27">
        <f t="shared" si="31"/>
        <v>43.862668679947063</v>
      </c>
      <c r="Z64">
        <f t="shared" si="17"/>
        <v>51</v>
      </c>
      <c r="AA64">
        <f t="shared" si="18"/>
        <v>52</v>
      </c>
      <c r="AB64">
        <f t="shared" si="19"/>
        <v>54</v>
      </c>
      <c r="AC64">
        <f t="shared" si="20"/>
        <v>58</v>
      </c>
      <c r="AD64">
        <f t="shared" si="21"/>
        <v>20</v>
      </c>
      <c r="AE64">
        <f t="shared" si="22"/>
        <v>57</v>
      </c>
    </row>
    <row r="65" spans="1:31" x14ac:dyDescent="0.2">
      <c r="A65" s="3">
        <v>64</v>
      </c>
      <c r="B65">
        <v>1.165</v>
      </c>
      <c r="C65">
        <v>1.99</v>
      </c>
      <c r="D65">
        <v>2.4710000000000001</v>
      </c>
      <c r="E65">
        <v>2.6819999999999999</v>
      </c>
      <c r="F65">
        <v>29.4</v>
      </c>
      <c r="G65">
        <v>2.1</v>
      </c>
      <c r="H65" s="26">
        <f t="shared" si="7"/>
        <v>-0.6730253655428331</v>
      </c>
      <c r="I65" s="26">
        <f t="shared" si="8"/>
        <v>-0.38006563496099893</v>
      </c>
      <c r="J65" s="26">
        <f t="shared" si="9"/>
        <v>-0.52654550025191604</v>
      </c>
      <c r="K65" s="26">
        <f t="shared" si="10"/>
        <v>0.69660451464886541</v>
      </c>
      <c r="L65" s="26">
        <f t="shared" si="11"/>
        <v>0.29814929052714656</v>
      </c>
      <c r="M65" s="26">
        <f t="shared" si="12"/>
        <v>0.49737690258800599</v>
      </c>
      <c r="N65" s="26">
        <f t="shared" si="24"/>
        <v>0.30822990898745484</v>
      </c>
      <c r="O65" s="26">
        <f t="shared" si="25"/>
        <v>1.2680322510038526E-3</v>
      </c>
      <c r="P65" s="26">
        <f t="shared" si="13"/>
        <v>0.15474897061922935</v>
      </c>
      <c r="Q65" s="26">
        <f t="shared" si="14"/>
        <v>2.7749018530841052E-2</v>
      </c>
      <c r="R65">
        <f t="shared" si="23"/>
        <v>31</v>
      </c>
      <c r="S65" s="27">
        <f t="shared" si="15"/>
        <v>43.269746344571672</v>
      </c>
      <c r="T65" s="27">
        <f t="shared" si="16"/>
        <v>46.199343650390013</v>
      </c>
      <c r="U65" s="27">
        <f t="shared" si="27"/>
        <v>56.966045146488653</v>
      </c>
      <c r="V65" s="27">
        <f t="shared" si="28"/>
        <v>52.981492905271466</v>
      </c>
      <c r="W65" s="27">
        <f t="shared" si="29"/>
        <v>53.082299089874546</v>
      </c>
      <c r="X65" s="27">
        <f t="shared" si="30"/>
        <v>50.012680322510036</v>
      </c>
      <c r="Y65" s="27">
        <f t="shared" si="31"/>
        <v>50.277490185308409</v>
      </c>
      <c r="Z65">
        <f t="shared" si="17"/>
        <v>56</v>
      </c>
      <c r="AA65">
        <f t="shared" si="18"/>
        <v>46</v>
      </c>
      <c r="AB65">
        <f t="shared" si="19"/>
        <v>19</v>
      </c>
      <c r="AC65">
        <f t="shared" si="20"/>
        <v>30</v>
      </c>
      <c r="AD65">
        <f t="shared" si="21"/>
        <v>23</v>
      </c>
      <c r="AE65">
        <f t="shared" si="22"/>
        <v>25</v>
      </c>
    </row>
    <row r="66" spans="1:31" x14ac:dyDescent="0.2">
      <c r="A66" s="3">
        <v>65</v>
      </c>
      <c r="B66">
        <v>1.07</v>
      </c>
      <c r="C66">
        <v>1.97</v>
      </c>
      <c r="D66">
        <v>2.6440000000000001</v>
      </c>
      <c r="E66">
        <v>3.0939999999999999</v>
      </c>
      <c r="F66">
        <v>22.7</v>
      </c>
      <c r="G66">
        <v>2.2000000000000002</v>
      </c>
      <c r="H66" s="26">
        <f t="shared" si="7"/>
        <v>0.99854090181843647</v>
      </c>
      <c r="I66" s="26">
        <f t="shared" si="8"/>
        <v>-0.1783921025587534</v>
      </c>
      <c r="J66" s="26">
        <f t="shared" si="9"/>
        <v>0.41007439962984155</v>
      </c>
      <c r="K66" s="26">
        <f t="shared" si="10"/>
        <v>-0.43999125654797111</v>
      </c>
      <c r="L66" s="26">
        <f t="shared" si="11"/>
        <v>-1.6521076610041374</v>
      </c>
      <c r="M66" s="26">
        <f t="shared" si="12"/>
        <v>-1.0460494587760543</v>
      </c>
      <c r="N66" s="26">
        <f t="shared" si="24"/>
        <v>-0.86494926005752926</v>
      </c>
      <c r="O66" s="26">
        <f t="shared" si="25"/>
        <v>0.43239899759205525</v>
      </c>
      <c r="P66" s="26">
        <f t="shared" si="13"/>
        <v>-0.21627513123273701</v>
      </c>
      <c r="Q66" s="26">
        <f t="shared" si="14"/>
        <v>-0.29255942998801399</v>
      </c>
      <c r="R66">
        <f t="shared" si="23"/>
        <v>45</v>
      </c>
      <c r="S66" s="27">
        <f t="shared" si="15"/>
        <v>59.985409018184363</v>
      </c>
      <c r="T66" s="27">
        <f t="shared" si="16"/>
        <v>48.216078974412468</v>
      </c>
      <c r="U66" s="27">
        <f t="shared" si="27"/>
        <v>45.60008743452029</v>
      </c>
      <c r="V66" s="27">
        <f t="shared" si="28"/>
        <v>33.478923389958624</v>
      </c>
      <c r="W66" s="27">
        <f t="shared" si="29"/>
        <v>41.350507399424707</v>
      </c>
      <c r="X66" s="27">
        <f t="shared" si="30"/>
        <v>54.323989975920554</v>
      </c>
      <c r="Y66" s="27">
        <f t="shared" si="31"/>
        <v>47.074405700119861</v>
      </c>
      <c r="Z66">
        <f t="shared" si="17"/>
        <v>13</v>
      </c>
      <c r="AA66">
        <f t="shared" si="18"/>
        <v>38</v>
      </c>
      <c r="AB66">
        <f t="shared" si="19"/>
        <v>50</v>
      </c>
      <c r="AC66">
        <f t="shared" si="20"/>
        <v>66</v>
      </c>
      <c r="AD66">
        <f t="shared" si="21"/>
        <v>53</v>
      </c>
      <c r="AE66">
        <f t="shared" si="22"/>
        <v>17</v>
      </c>
    </row>
    <row r="67" spans="1:31" x14ac:dyDescent="0.2">
      <c r="A67" s="3">
        <v>66</v>
      </c>
      <c r="B67">
        <v>1.1000000000000001</v>
      </c>
      <c r="C67">
        <v>2.09</v>
      </c>
      <c r="D67">
        <v>2.6</v>
      </c>
      <c r="E67">
        <v>3.0569999999999999</v>
      </c>
      <c r="F67">
        <v>17.5</v>
      </c>
      <c r="G67">
        <v>2.0699999999999998</v>
      </c>
      <c r="H67" s="26">
        <f t="shared" ref="H67:H69" si="32">(STANDARDIZE(B67,B$70,B$71))*-1</f>
        <v>0.47067787002014022</v>
      </c>
      <c r="I67" s="26">
        <f t="shared" ref="I67:I69" si="33">(STANDARDIZE(C67,C$70,C$71))*-1</f>
        <v>-1.3884332969722242</v>
      </c>
      <c r="J67" s="26">
        <f t="shared" ref="J67:J69" si="34">AVERAGE(H67,I67)</f>
        <v>-0.458877713476042</v>
      </c>
      <c r="K67" s="26">
        <f t="shared" ref="K67:K69" si="35">(STANDARDIZE(D67,D$70,D$71))*-1</f>
        <v>-0.15091487543432464</v>
      </c>
      <c r="L67" s="26">
        <f t="shared" ref="L67:L69" si="36">(STANDARDIZE(E67,E$70,E$71))*-1</f>
        <v>-1.4769632260365224</v>
      </c>
      <c r="M67" s="26">
        <f t="shared" ref="M67:M69" si="37">AVERAGE(K67,L67)</f>
        <v>-0.8139390507354235</v>
      </c>
      <c r="N67" s="26">
        <f t="shared" si="24"/>
        <v>-1.7754763763312482</v>
      </c>
      <c r="O67" s="26">
        <f t="shared" si="25"/>
        <v>-0.12807125735131253</v>
      </c>
      <c r="P67" s="26">
        <f t="shared" ref="P67:P69" si="38">AVERAGE(N67,O67)</f>
        <v>-0.95177381684128037</v>
      </c>
      <c r="Q67" s="26">
        <f t="shared" ref="Q67:Q69" si="39">AVERAGE(H67:O67)</f>
        <v>-0.71524974078961967</v>
      </c>
      <c r="R67">
        <f t="shared" si="23"/>
        <v>58</v>
      </c>
      <c r="S67" s="27">
        <f t="shared" ref="S67:S69" si="40">(H67*10)+50</f>
        <v>54.706778700201404</v>
      </c>
      <c r="T67" s="27">
        <f t="shared" ref="T67:T69" si="41">(I67*10)+50</f>
        <v>36.115667030277763</v>
      </c>
      <c r="U67" s="27">
        <f t="shared" si="27"/>
        <v>48.490851245656756</v>
      </c>
      <c r="V67" s="27">
        <f t="shared" si="28"/>
        <v>35.230367739634772</v>
      </c>
      <c r="W67" s="27">
        <f t="shared" si="29"/>
        <v>32.245236236687518</v>
      </c>
      <c r="X67" s="27">
        <f t="shared" si="30"/>
        <v>48.719287426486872</v>
      </c>
      <c r="Y67" s="27">
        <f t="shared" si="31"/>
        <v>42.847502592103801</v>
      </c>
      <c r="Z67">
        <f t="shared" ref="Z67:Z69" si="42">_xlfn.RANK.EQ(B67,B$2:B$69, 1)</f>
        <v>20</v>
      </c>
      <c r="AA67">
        <f t="shared" ref="AA67:AA69" si="43">_xlfn.RANK.EQ(C67,C$2:C$69,1)</f>
        <v>62</v>
      </c>
      <c r="AB67">
        <f t="shared" ref="AB67:AB69" si="44">_xlfn.RANK.EQ(D67,D$2:D$69,1)</f>
        <v>42</v>
      </c>
      <c r="AC67">
        <f t="shared" ref="AC67:AC69" si="45">_xlfn.RANK.EQ(E67,E$2:E$69,1)</f>
        <v>65</v>
      </c>
      <c r="AD67">
        <f t="shared" ref="AD67:AD69" si="46">RANK(F67,F$2:F$69)</f>
        <v>67</v>
      </c>
      <c r="AE67">
        <f t="shared" ref="AE67:AE69" si="47">RANK(G67,G$2:G$69)</f>
        <v>39</v>
      </c>
    </row>
    <row r="68" spans="1:31" x14ac:dyDescent="0.2">
      <c r="A68" s="3">
        <v>67</v>
      </c>
      <c r="B68">
        <v>1.1000000000000001</v>
      </c>
      <c r="C68">
        <v>1.94</v>
      </c>
      <c r="D68">
        <v>2.5539999999999998</v>
      </c>
      <c r="E68">
        <v>2.65</v>
      </c>
      <c r="F68">
        <v>26.2</v>
      </c>
      <c r="G68">
        <v>2.08</v>
      </c>
      <c r="H68" s="26">
        <f t="shared" si="32"/>
        <v>0.47067787002014022</v>
      </c>
      <c r="I68" s="26">
        <f t="shared" si="33"/>
        <v>0.1241181960446149</v>
      </c>
      <c r="J68" s="26">
        <f t="shared" si="34"/>
        <v>0.29739803303237755</v>
      </c>
      <c r="K68" s="26">
        <f t="shared" si="35"/>
        <v>0.15130134118448904</v>
      </c>
      <c r="L68" s="26">
        <f t="shared" si="36"/>
        <v>0.44962555860724646</v>
      </c>
      <c r="M68" s="26">
        <f t="shared" si="37"/>
        <v>0.30046344989586776</v>
      </c>
      <c r="N68" s="26">
        <f t="shared" si="24"/>
        <v>-0.25209447025791065</v>
      </c>
      <c r="O68" s="26">
        <f t="shared" si="25"/>
        <v>-8.4958160817206432E-2</v>
      </c>
      <c r="P68" s="26">
        <f t="shared" si="38"/>
        <v>-0.16852631553755854</v>
      </c>
      <c r="Q68" s="26">
        <f t="shared" si="39"/>
        <v>0.18206647721370234</v>
      </c>
      <c r="R68">
        <f t="shared" ref="R68:R69" si="48">RANK(Q68,Q$2:Q$69)</f>
        <v>27</v>
      </c>
      <c r="S68" s="27">
        <f t="shared" si="40"/>
        <v>54.706778700201404</v>
      </c>
      <c r="T68" s="27">
        <f t="shared" si="41"/>
        <v>51.241181960446148</v>
      </c>
      <c r="U68" s="27">
        <f t="shared" si="27"/>
        <v>51.513013411844888</v>
      </c>
      <c r="V68" s="27">
        <f t="shared" si="28"/>
        <v>54.496255586072465</v>
      </c>
      <c r="W68" s="27">
        <f t="shared" si="29"/>
        <v>47.479055297420892</v>
      </c>
      <c r="X68" s="27">
        <f t="shared" si="30"/>
        <v>49.150418391827934</v>
      </c>
      <c r="Y68" s="27">
        <f t="shared" si="31"/>
        <v>51.820664772137022</v>
      </c>
      <c r="Z68">
        <f t="shared" si="42"/>
        <v>20</v>
      </c>
      <c r="AA68">
        <f t="shared" si="43"/>
        <v>32</v>
      </c>
      <c r="AB68">
        <f t="shared" si="44"/>
        <v>36</v>
      </c>
      <c r="AC68">
        <f t="shared" si="45"/>
        <v>23</v>
      </c>
      <c r="AD68">
        <f t="shared" si="46"/>
        <v>42</v>
      </c>
      <c r="AE68">
        <f t="shared" si="47"/>
        <v>35</v>
      </c>
    </row>
    <row r="69" spans="1:31" x14ac:dyDescent="0.2">
      <c r="A69" s="3">
        <v>68</v>
      </c>
      <c r="B69">
        <v>1.04</v>
      </c>
      <c r="C69">
        <v>1.86</v>
      </c>
      <c r="D69">
        <v>2.69</v>
      </c>
      <c r="E69">
        <v>2.57</v>
      </c>
      <c r="F69">
        <v>28.5</v>
      </c>
      <c r="G69">
        <v>2.1</v>
      </c>
      <c r="H69" s="26">
        <f t="shared" si="32"/>
        <v>1.5264039336167328</v>
      </c>
      <c r="I69" s="26">
        <f t="shared" si="33"/>
        <v>0.93081232565359473</v>
      </c>
      <c r="J69" s="26">
        <f t="shared" si="34"/>
        <v>1.2286081296351639</v>
      </c>
      <c r="K69" s="26">
        <f t="shared" si="35"/>
        <v>-0.74220747316678182</v>
      </c>
      <c r="L69" s="26">
        <f t="shared" si="36"/>
        <v>0.82831622880749611</v>
      </c>
      <c r="M69" s="26">
        <f t="shared" si="37"/>
        <v>4.3054377820357148E-2</v>
      </c>
      <c r="N69" s="26">
        <f t="shared" si="24"/>
        <v>0.15063867732469602</v>
      </c>
      <c r="O69" s="26">
        <f t="shared" si="25"/>
        <v>1.2680322510038526E-3</v>
      </c>
      <c r="P69" s="26">
        <f t="shared" si="38"/>
        <v>7.5953354787849939E-2</v>
      </c>
      <c r="Q69" s="26">
        <f t="shared" si="39"/>
        <v>0.49586177899278283</v>
      </c>
      <c r="R69">
        <f t="shared" si="48"/>
        <v>21</v>
      </c>
      <c r="S69" s="27">
        <f t="shared" si="40"/>
        <v>65.264039336167329</v>
      </c>
      <c r="T69" s="27">
        <f t="shared" si="41"/>
        <v>59.30812325653595</v>
      </c>
      <c r="U69" s="27">
        <f t="shared" si="27"/>
        <v>42.57792526833218</v>
      </c>
      <c r="V69" s="27">
        <f t="shared" si="28"/>
        <v>58.283162288074962</v>
      </c>
      <c r="W69" s="27">
        <f t="shared" si="29"/>
        <v>51.506386773246959</v>
      </c>
      <c r="X69" s="27">
        <f t="shared" si="30"/>
        <v>50.012680322510036</v>
      </c>
      <c r="Y69" s="27">
        <f t="shared" si="31"/>
        <v>54.958617789927828</v>
      </c>
      <c r="Z69">
        <f t="shared" si="42"/>
        <v>3</v>
      </c>
      <c r="AA69">
        <f t="shared" si="43"/>
        <v>11</v>
      </c>
      <c r="AB69">
        <f t="shared" si="44"/>
        <v>54</v>
      </c>
      <c r="AC69">
        <f t="shared" si="45"/>
        <v>14</v>
      </c>
      <c r="AD69">
        <f t="shared" si="46"/>
        <v>27</v>
      </c>
      <c r="AE69">
        <f t="shared" si="47"/>
        <v>25</v>
      </c>
    </row>
    <row r="70" spans="1:31" x14ac:dyDescent="0.2">
      <c r="A70" s="3" t="s">
        <v>15</v>
      </c>
      <c r="B70" s="27">
        <f>AVERAGE(B2:B69)</f>
        <v>1.1267499999999997</v>
      </c>
      <c r="C70" s="27">
        <f t="shared" ref="C70:G70" si="49">AVERAGE(C2:C69)</f>
        <v>1.9523088235294115</v>
      </c>
      <c r="D70" s="27">
        <f t="shared" si="49"/>
        <v>2.5770294117647068</v>
      </c>
      <c r="E70" s="27">
        <f t="shared" si="49"/>
        <v>2.7449852941176474</v>
      </c>
      <c r="F70" s="27">
        <f t="shared" si="49"/>
        <v>27.639705882352942</v>
      </c>
      <c r="G70" s="27">
        <f t="shared" si="49"/>
        <v>2.0997058823529411</v>
      </c>
      <c r="J70" s="26"/>
      <c r="M70" s="26"/>
      <c r="P70" s="26"/>
      <c r="Q70" s="26"/>
      <c r="U70" s="27"/>
      <c r="V70" s="27"/>
      <c r="W70" s="27"/>
      <c r="X70" s="27"/>
      <c r="Y70" s="27">
        <f t="shared" si="31"/>
        <v>50</v>
      </c>
    </row>
    <row r="71" spans="1:31" x14ac:dyDescent="0.2">
      <c r="A71" s="3" t="s">
        <v>16</v>
      </c>
      <c r="B71" s="27">
        <f>_xlfn.STDEV.S(B2:B69)</f>
        <v>5.6832924817253425E-2</v>
      </c>
      <c r="C71" s="27">
        <f t="shared" ref="C71:G71" si="50">_xlfn.STDEV.S(C2:C69)</f>
        <v>9.9170177473309973E-2</v>
      </c>
      <c r="D71" s="27">
        <f t="shared" si="50"/>
        <v>0.15220890696947681</v>
      </c>
      <c r="E71" s="27">
        <f t="shared" si="50"/>
        <v>0.21125421431084235</v>
      </c>
      <c r="F71" s="27">
        <f t="shared" si="50"/>
        <v>5.7109776381846888</v>
      </c>
      <c r="G71" s="27">
        <f t="shared" si="50"/>
        <v>0.23194808083639706</v>
      </c>
      <c r="J71" s="26"/>
      <c r="M71" s="26"/>
      <c r="P71" s="26"/>
      <c r="U71" s="27"/>
      <c r="V71" s="27"/>
      <c r="W71" s="27"/>
      <c r="X71" s="27"/>
      <c r="Y71" s="27"/>
    </row>
    <row r="72" spans="1:31" x14ac:dyDescent="0.2">
      <c r="A72" s="3" t="s">
        <v>57</v>
      </c>
      <c r="B72">
        <f>MAX(B2:B69)</f>
        <v>1.31</v>
      </c>
      <c r="C72">
        <f t="shared" ref="C72:G72" si="51">MAX(C2:C69)</f>
        <v>2.27</v>
      </c>
      <c r="D72">
        <f t="shared" si="51"/>
        <v>3.02</v>
      </c>
      <c r="E72">
        <f t="shared" si="51"/>
        <v>3.43</v>
      </c>
      <c r="F72">
        <f t="shared" si="51"/>
        <v>42.8</v>
      </c>
      <c r="G72">
        <f t="shared" si="51"/>
        <v>2.95</v>
      </c>
    </row>
    <row r="73" spans="1:31" x14ac:dyDescent="0.2">
      <c r="A73" s="3" t="s">
        <v>58</v>
      </c>
      <c r="B73">
        <f>MIN(B2:B69)</f>
        <v>1.01</v>
      </c>
      <c r="C73">
        <f t="shared" ref="C73:G73" si="52">MIN(C2:C69)</f>
        <v>1.76</v>
      </c>
      <c r="D73">
        <f t="shared" si="52"/>
        <v>2.3199999999999998</v>
      </c>
      <c r="E73">
        <f t="shared" si="52"/>
        <v>2.298</v>
      </c>
      <c r="F73">
        <f t="shared" si="52"/>
        <v>16.5</v>
      </c>
      <c r="G73">
        <f t="shared" si="52"/>
        <v>1.68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86C6-75FA-D849-A9A4-FBF250CFB79D}">
  <dimension ref="A1:I69"/>
  <sheetViews>
    <sheetView workbookViewId="0">
      <selection activeCell="L2" sqref="L2"/>
    </sheetView>
  </sheetViews>
  <sheetFormatPr baseColWidth="10" defaultRowHeight="15" x14ac:dyDescent="0.2"/>
  <cols>
    <col min="2" max="2" width="10.83203125" style="26"/>
  </cols>
  <sheetData>
    <row r="1" spans="1:9" x14ac:dyDescent="0.2">
      <c r="A1" s="25" t="s">
        <v>14</v>
      </c>
      <c r="B1" s="26" t="s">
        <v>24</v>
      </c>
      <c r="C1" s="3" t="s">
        <v>32</v>
      </c>
      <c r="D1" s="3" t="s">
        <v>37</v>
      </c>
      <c r="E1" s="3" t="s">
        <v>38</v>
      </c>
      <c r="F1" s="3" t="s">
        <v>39</v>
      </c>
      <c r="I1" s="3" t="s">
        <v>40</v>
      </c>
    </row>
    <row r="2" spans="1:9" x14ac:dyDescent="0.2">
      <c r="A2" s="3">
        <f>'Cleaned Data'!A43</f>
        <v>42</v>
      </c>
      <c r="B2" s="26">
        <f>VLOOKUP($A2,'Cleaned Data'!$A$2:$Y$69,17,TRUE)</f>
        <v>1.751134847913725</v>
      </c>
      <c r="C2" t="str">
        <f t="shared" ref="C2:C33" si="0">IF(B2&lt;=PERCENTILE($B$2:$B$69,0.33),"Low",
  IF(B2&lt;=PERCENTILE($B$2:$B$69,0.66),"Mid","High"))</f>
        <v>High</v>
      </c>
      <c r="D2" s="3" t="e">
        <f t="shared" ref="D2:D33" si="1">IF(B2&lt;=$I$2,B2,NA())</f>
        <v>#N/A</v>
      </c>
      <c r="E2" s="3" t="e">
        <f t="shared" ref="E2:E33" si="2">IF(AND(B2&gt;$I$2,B2&lt;=$I$3),B2,NA())</f>
        <v>#N/A</v>
      </c>
      <c r="F2" s="3">
        <f t="shared" ref="F2:F33" si="3">IF(B2&gt;$I$3,B2,NA())</f>
        <v>1.751134847913725</v>
      </c>
      <c r="I2" s="3">
        <f>_xlfn.PERCENTILE.INC($B$2:$B$69,0.33)</f>
        <v>-0.30098392905854926</v>
      </c>
    </row>
    <row r="3" spans="1:9" x14ac:dyDescent="0.2">
      <c r="A3" s="3">
        <f>'Cleaned Data'!A38</f>
        <v>37</v>
      </c>
      <c r="B3" s="26">
        <f>VLOOKUP($A3,'Cleaned Data'!$A$2:$Y$69,17,TRUE)</f>
        <v>1.489552387772701</v>
      </c>
      <c r="C3" t="str">
        <f t="shared" si="0"/>
        <v>High</v>
      </c>
      <c r="D3" s="3" t="e">
        <f t="shared" si="1"/>
        <v>#N/A</v>
      </c>
      <c r="E3" s="3" t="e">
        <f t="shared" si="2"/>
        <v>#N/A</v>
      </c>
      <c r="F3" s="3">
        <f t="shared" si="3"/>
        <v>1.489552387772701</v>
      </c>
      <c r="I3" s="3">
        <f>_xlfn.PERCENTILE.INC($B$2:$B$69,0.66)</f>
        <v>0.36442453986761347</v>
      </c>
    </row>
    <row r="4" spans="1:9" x14ac:dyDescent="0.2">
      <c r="A4" s="3">
        <f>'Cleaned Data'!A36</f>
        <v>35</v>
      </c>
      <c r="B4" s="26">
        <f>VLOOKUP($A4,'Cleaned Data'!$A$2:$Y$69,17,TRUE)</f>
        <v>1.2020387558700705</v>
      </c>
      <c r="C4" t="str">
        <f t="shared" si="0"/>
        <v>High</v>
      </c>
      <c r="D4" s="3" t="e">
        <f t="shared" si="1"/>
        <v>#N/A</v>
      </c>
      <c r="E4" s="3" t="e">
        <f t="shared" si="2"/>
        <v>#N/A</v>
      </c>
      <c r="F4" s="3">
        <f t="shared" si="3"/>
        <v>1.2020387558700705</v>
      </c>
    </row>
    <row r="5" spans="1:9" x14ac:dyDescent="0.2">
      <c r="A5" s="3">
        <f>'Cleaned Data'!A63</f>
        <v>62</v>
      </c>
      <c r="B5" s="26">
        <f>VLOOKUP($A5,'Cleaned Data'!$A$2:$Y$69,17,TRUE)</f>
        <v>1.1402521173745346</v>
      </c>
      <c r="C5" t="str">
        <f t="shared" si="0"/>
        <v>High</v>
      </c>
      <c r="D5" s="3" t="e">
        <f t="shared" si="1"/>
        <v>#N/A</v>
      </c>
      <c r="E5" s="3" t="e">
        <f t="shared" si="2"/>
        <v>#N/A</v>
      </c>
      <c r="F5" s="3">
        <f t="shared" si="3"/>
        <v>1.1402521173745346</v>
      </c>
    </row>
    <row r="6" spans="1:9" x14ac:dyDescent="0.2">
      <c r="A6" s="3">
        <f>'Cleaned Data'!A48</f>
        <v>47</v>
      </c>
      <c r="B6" s="26">
        <f>VLOOKUP($A6,'Cleaned Data'!$A$2:$Y$69,17,TRUE)</f>
        <v>1.0869758951398785</v>
      </c>
      <c r="C6" t="str">
        <f t="shared" si="0"/>
        <v>High</v>
      </c>
      <c r="D6" s="3" t="e">
        <f t="shared" si="1"/>
        <v>#N/A</v>
      </c>
      <c r="E6" s="3" t="e">
        <f t="shared" si="2"/>
        <v>#N/A</v>
      </c>
      <c r="F6" s="3">
        <f t="shared" si="3"/>
        <v>1.0869758951398785</v>
      </c>
    </row>
    <row r="7" spans="1:9" x14ac:dyDescent="0.2">
      <c r="A7" s="3">
        <f>'Cleaned Data'!A29</f>
        <v>28</v>
      </c>
      <c r="B7" s="26">
        <f>VLOOKUP($A7,'Cleaned Data'!$A$2:$Y$69,17,TRUE)</f>
        <v>0.99940535550890863</v>
      </c>
      <c r="C7" t="str">
        <f t="shared" si="0"/>
        <v>High</v>
      </c>
      <c r="D7" s="3" t="e">
        <f t="shared" si="1"/>
        <v>#N/A</v>
      </c>
      <c r="E7" s="3" t="e">
        <f t="shared" si="2"/>
        <v>#N/A</v>
      </c>
      <c r="F7" s="3">
        <f t="shared" si="3"/>
        <v>0.99940535550890863</v>
      </c>
    </row>
    <row r="8" spans="1:9" x14ac:dyDescent="0.2">
      <c r="A8" s="3">
        <f>'Cleaned Data'!A53</f>
        <v>52</v>
      </c>
      <c r="B8" s="26">
        <f>VLOOKUP($A8,'Cleaned Data'!$A$2:$Y$69,17,TRUE)</f>
        <v>0.76584424992588029</v>
      </c>
      <c r="C8" t="str">
        <f t="shared" si="0"/>
        <v>High</v>
      </c>
      <c r="D8" s="3" t="e">
        <f t="shared" si="1"/>
        <v>#N/A</v>
      </c>
      <c r="E8" s="3" t="e">
        <f t="shared" si="2"/>
        <v>#N/A</v>
      </c>
      <c r="F8" s="3">
        <f t="shared" si="3"/>
        <v>0.76584424992588029</v>
      </c>
    </row>
    <row r="9" spans="1:9" x14ac:dyDescent="0.2">
      <c r="A9" s="3">
        <f>'Cleaned Data'!A47</f>
        <v>46</v>
      </c>
      <c r="B9" s="26">
        <f>VLOOKUP($A9,'Cleaned Data'!$A$2:$Y$69,17,TRUE)</f>
        <v>0.7656673968226323</v>
      </c>
      <c r="C9" t="str">
        <f t="shared" si="0"/>
        <v>High</v>
      </c>
      <c r="D9" s="3" t="e">
        <f t="shared" si="1"/>
        <v>#N/A</v>
      </c>
      <c r="E9" s="3" t="e">
        <f t="shared" si="2"/>
        <v>#N/A</v>
      </c>
      <c r="F9" s="3">
        <f t="shared" si="3"/>
        <v>0.7656673968226323</v>
      </c>
    </row>
    <row r="10" spans="1:9" x14ac:dyDescent="0.2">
      <c r="A10" s="3">
        <f>'Cleaned Data'!A9</f>
        <v>8</v>
      </c>
      <c r="B10" s="26">
        <f>VLOOKUP($A10,'Cleaned Data'!$A$2:$Y$69,17,TRUE)</f>
        <v>0.76070896127284415</v>
      </c>
      <c r="C10" t="str">
        <f t="shared" si="0"/>
        <v>High</v>
      </c>
      <c r="D10" s="3" t="e">
        <f t="shared" si="1"/>
        <v>#N/A</v>
      </c>
      <c r="E10" s="3" t="e">
        <f t="shared" si="2"/>
        <v>#N/A</v>
      </c>
      <c r="F10" s="3">
        <f t="shared" si="3"/>
        <v>0.76070896127284415</v>
      </c>
    </row>
    <row r="11" spans="1:9" x14ac:dyDescent="0.2">
      <c r="A11" s="3">
        <f>'Cleaned Data'!A2</f>
        <v>1</v>
      </c>
      <c r="B11" s="26">
        <f>VLOOKUP($A11,'Cleaned Data'!$A$2:$Y$69,17,TRUE)</f>
        <v>0.75183100489159671</v>
      </c>
      <c r="C11" t="str">
        <f t="shared" si="0"/>
        <v>High</v>
      </c>
      <c r="D11" s="3" t="e">
        <f t="shared" si="1"/>
        <v>#N/A</v>
      </c>
      <c r="E11" s="3" t="e">
        <f t="shared" si="2"/>
        <v>#N/A</v>
      </c>
      <c r="F11" s="3">
        <f t="shared" si="3"/>
        <v>0.75183100489159671</v>
      </c>
    </row>
    <row r="12" spans="1:9" x14ac:dyDescent="0.2">
      <c r="A12" s="3">
        <f>'Cleaned Data'!A42</f>
        <v>41</v>
      </c>
      <c r="B12" s="26">
        <f>VLOOKUP($A12,'Cleaned Data'!$A$2:$Y$69,17,TRUE)</f>
        <v>0.75050288940994114</v>
      </c>
      <c r="C12" t="str">
        <f t="shared" si="0"/>
        <v>High</v>
      </c>
      <c r="D12" s="3" t="e">
        <f t="shared" si="1"/>
        <v>#N/A</v>
      </c>
      <c r="E12" s="3" t="e">
        <f t="shared" si="2"/>
        <v>#N/A</v>
      </c>
      <c r="F12" s="3">
        <f t="shared" si="3"/>
        <v>0.75050288940994114</v>
      </c>
    </row>
    <row r="13" spans="1:9" x14ac:dyDescent="0.2">
      <c r="A13" s="3">
        <f>'Cleaned Data'!A39</f>
        <v>38</v>
      </c>
      <c r="B13" s="26">
        <f>VLOOKUP($A13,'Cleaned Data'!$A$2:$Y$69,17,TRUE)</f>
        <v>0.73149091768758501</v>
      </c>
      <c r="C13" t="str">
        <f t="shared" si="0"/>
        <v>High</v>
      </c>
      <c r="D13" s="3" t="e">
        <f t="shared" si="1"/>
        <v>#N/A</v>
      </c>
      <c r="E13" s="3" t="e">
        <f t="shared" si="2"/>
        <v>#N/A</v>
      </c>
      <c r="F13" s="3">
        <f t="shared" si="3"/>
        <v>0.73149091768758501</v>
      </c>
    </row>
    <row r="14" spans="1:9" x14ac:dyDescent="0.2">
      <c r="A14" s="3">
        <f>'Cleaned Data'!A44</f>
        <v>43</v>
      </c>
      <c r="B14" s="26">
        <f>VLOOKUP($A14,'Cleaned Data'!$A$2:$Y$69,17,TRUE)</f>
        <v>0.71518173107748106</v>
      </c>
      <c r="C14" t="str">
        <f t="shared" si="0"/>
        <v>High</v>
      </c>
      <c r="D14" s="3" t="e">
        <f t="shared" si="1"/>
        <v>#N/A</v>
      </c>
      <c r="E14" s="3" t="e">
        <f t="shared" si="2"/>
        <v>#N/A</v>
      </c>
      <c r="F14" s="3">
        <f t="shared" si="3"/>
        <v>0.71518173107748106</v>
      </c>
    </row>
    <row r="15" spans="1:9" x14ac:dyDescent="0.2">
      <c r="A15" s="3">
        <f>'Cleaned Data'!A14</f>
        <v>13</v>
      </c>
      <c r="B15" s="26">
        <f>VLOOKUP($A15,'Cleaned Data'!$A$2:$Y$69,17,TRUE)</f>
        <v>0.71354373694593876</v>
      </c>
      <c r="C15" t="str">
        <f t="shared" si="0"/>
        <v>High</v>
      </c>
      <c r="D15" s="3" t="e">
        <f t="shared" si="1"/>
        <v>#N/A</v>
      </c>
      <c r="E15" s="3" t="e">
        <f t="shared" si="2"/>
        <v>#N/A</v>
      </c>
      <c r="F15" s="3">
        <f t="shared" si="3"/>
        <v>0.71354373694593876</v>
      </c>
    </row>
    <row r="16" spans="1:9" x14ac:dyDescent="0.2">
      <c r="A16" s="3">
        <f>'Cleaned Data'!A37</f>
        <v>36</v>
      </c>
      <c r="B16" s="26">
        <f>VLOOKUP($A16,'Cleaned Data'!$A$2:$Y$69,17,TRUE)</f>
        <v>0.70297376409122181</v>
      </c>
      <c r="C16" t="str">
        <f t="shared" si="0"/>
        <v>High</v>
      </c>
      <c r="D16" s="3" t="e">
        <f t="shared" si="1"/>
        <v>#N/A</v>
      </c>
      <c r="E16" s="3" t="e">
        <f t="shared" si="2"/>
        <v>#N/A</v>
      </c>
      <c r="F16" s="3">
        <f t="shared" si="3"/>
        <v>0.70297376409122181</v>
      </c>
    </row>
    <row r="17" spans="1:6" x14ac:dyDescent="0.2">
      <c r="A17" s="3">
        <f>'Cleaned Data'!A41</f>
        <v>40</v>
      </c>
      <c r="B17" s="26">
        <f>VLOOKUP($A17,'Cleaned Data'!$A$2:$Y$69,17,TRUE)</f>
        <v>0.68981865537899845</v>
      </c>
      <c r="C17" t="str">
        <f t="shared" si="0"/>
        <v>High</v>
      </c>
      <c r="D17" s="3" t="e">
        <f t="shared" si="1"/>
        <v>#N/A</v>
      </c>
      <c r="E17" s="3" t="e">
        <f t="shared" si="2"/>
        <v>#N/A</v>
      </c>
      <c r="F17" s="3">
        <f t="shared" si="3"/>
        <v>0.68981865537899845</v>
      </c>
    </row>
    <row r="18" spans="1:6" x14ac:dyDescent="0.2">
      <c r="A18" s="3">
        <f>'Cleaned Data'!A4</f>
        <v>3</v>
      </c>
      <c r="B18" s="26">
        <f>VLOOKUP($A18,'Cleaned Data'!$A$2:$Y$69,17,TRUE)</f>
        <v>0.59899149661204754</v>
      </c>
      <c r="C18" t="str">
        <f t="shared" si="0"/>
        <v>High</v>
      </c>
      <c r="D18" s="3" t="e">
        <f t="shared" si="1"/>
        <v>#N/A</v>
      </c>
      <c r="E18" s="3" t="e">
        <f t="shared" si="2"/>
        <v>#N/A</v>
      </c>
      <c r="F18" s="3">
        <f t="shared" si="3"/>
        <v>0.59899149661204754</v>
      </c>
    </row>
    <row r="19" spans="1:6" x14ac:dyDescent="0.2">
      <c r="A19" s="3">
        <f>'Cleaned Data'!A46</f>
        <v>45</v>
      </c>
      <c r="B19" s="26">
        <f>VLOOKUP($A19,'Cleaned Data'!$A$2:$Y$69,17,TRUE)</f>
        <v>0.59677545765900786</v>
      </c>
      <c r="C19" t="str">
        <f t="shared" si="0"/>
        <v>High</v>
      </c>
      <c r="D19" s="3" t="e">
        <f t="shared" si="1"/>
        <v>#N/A</v>
      </c>
      <c r="E19" s="3" t="e">
        <f t="shared" si="2"/>
        <v>#N/A</v>
      </c>
      <c r="F19" s="3">
        <f t="shared" si="3"/>
        <v>0.59677545765900786</v>
      </c>
    </row>
    <row r="20" spans="1:6" x14ac:dyDescent="0.2">
      <c r="A20" s="3">
        <f>'Cleaned Data'!A40</f>
        <v>39</v>
      </c>
      <c r="B20" s="26">
        <f>VLOOKUP($A20,'Cleaned Data'!$A$2:$Y$69,17,TRUE)</f>
        <v>0.58189098738822564</v>
      </c>
      <c r="C20" t="str">
        <f t="shared" si="0"/>
        <v>High</v>
      </c>
      <c r="D20" s="3" t="e">
        <f t="shared" si="1"/>
        <v>#N/A</v>
      </c>
      <c r="E20" s="3" t="e">
        <f t="shared" si="2"/>
        <v>#N/A</v>
      </c>
      <c r="F20" s="3">
        <f t="shared" si="3"/>
        <v>0.58189098738822564</v>
      </c>
    </row>
    <row r="21" spans="1:6" x14ac:dyDescent="0.2">
      <c r="A21" s="3">
        <f>'Cleaned Data'!A60</f>
        <v>59</v>
      </c>
      <c r="B21" s="26">
        <f>VLOOKUP($A21,'Cleaned Data'!$A$2:$Y$69,17,TRUE)</f>
        <v>0.52256140901869785</v>
      </c>
      <c r="C21" t="str">
        <f t="shared" si="0"/>
        <v>High</v>
      </c>
      <c r="D21" s="3" t="e">
        <f t="shared" si="1"/>
        <v>#N/A</v>
      </c>
      <c r="E21" s="3" t="e">
        <f t="shared" si="2"/>
        <v>#N/A</v>
      </c>
      <c r="F21" s="3">
        <f t="shared" si="3"/>
        <v>0.52256140901869785</v>
      </c>
    </row>
    <row r="22" spans="1:6" x14ac:dyDescent="0.2">
      <c r="A22" s="3">
        <f>'Cleaned Data'!A69</f>
        <v>68</v>
      </c>
      <c r="B22" s="26">
        <f>VLOOKUP($A22,'Cleaned Data'!$A$2:$Y$69,17,TRUE)</f>
        <v>0.49586177899278283</v>
      </c>
      <c r="C22" t="str">
        <f t="shared" si="0"/>
        <v>High</v>
      </c>
      <c r="D22" s="3" t="e">
        <f t="shared" si="1"/>
        <v>#N/A</v>
      </c>
      <c r="E22" s="3" t="e">
        <f t="shared" si="2"/>
        <v>#N/A</v>
      </c>
      <c r="F22" s="3">
        <f t="shared" si="3"/>
        <v>0.49586177899278283</v>
      </c>
    </row>
    <row r="23" spans="1:6" x14ac:dyDescent="0.2">
      <c r="A23" s="3">
        <f>'Cleaned Data'!A49</f>
        <v>48</v>
      </c>
      <c r="B23" s="26">
        <f>VLOOKUP($A23,'Cleaned Data'!$A$2:$Y$69,17,TRUE)</f>
        <v>0.44392179396747816</v>
      </c>
      <c r="C23" t="str">
        <f t="shared" si="0"/>
        <v>High</v>
      </c>
      <c r="D23" s="3" t="e">
        <f t="shared" si="1"/>
        <v>#N/A</v>
      </c>
      <c r="E23" s="3" t="e">
        <f t="shared" si="2"/>
        <v>#N/A</v>
      </c>
      <c r="F23" s="3">
        <f t="shared" si="3"/>
        <v>0.44392179396747816</v>
      </c>
    </row>
    <row r="24" spans="1:6" x14ac:dyDescent="0.2">
      <c r="A24" s="3">
        <f>'Cleaned Data'!A27</f>
        <v>26</v>
      </c>
      <c r="B24" s="26">
        <f>VLOOKUP($A24,'Cleaned Data'!$A$2:$Y$69,17,TRUE)</f>
        <v>0.40782960483295627</v>
      </c>
      <c r="C24" t="str">
        <f t="shared" si="0"/>
        <v>High</v>
      </c>
      <c r="D24" s="3" t="e">
        <f t="shared" si="1"/>
        <v>#N/A</v>
      </c>
      <c r="E24" s="3" t="e">
        <f t="shared" si="2"/>
        <v>#N/A</v>
      </c>
      <c r="F24" s="3">
        <f t="shared" si="3"/>
        <v>0.40782960483295627</v>
      </c>
    </row>
    <row r="25" spans="1:6" x14ac:dyDescent="0.2">
      <c r="A25" s="3">
        <f>'Cleaned Data'!A31</f>
        <v>30</v>
      </c>
      <c r="B25" s="26">
        <f>VLOOKUP($A25,'Cleaned Data'!$A$2:$Y$69,17,TRUE)</f>
        <v>0.35218208564661946</v>
      </c>
      <c r="C25" t="str">
        <f t="shared" si="0"/>
        <v>Mid</v>
      </c>
      <c r="D25" s="3" t="e">
        <f t="shared" si="1"/>
        <v>#N/A</v>
      </c>
      <c r="E25" s="3">
        <f t="shared" si="2"/>
        <v>0.35218208564661946</v>
      </c>
      <c r="F25" s="3" t="e">
        <f t="shared" si="3"/>
        <v>#N/A</v>
      </c>
    </row>
    <row r="26" spans="1:6" x14ac:dyDescent="0.2">
      <c r="A26" s="3">
        <f>'Cleaned Data'!A8</f>
        <v>7</v>
      </c>
      <c r="B26" s="26">
        <f>VLOOKUP($A26,'Cleaned Data'!$A$2:$Y$69,17,TRUE)</f>
        <v>0.25955914933985852</v>
      </c>
      <c r="C26" t="str">
        <f t="shared" si="0"/>
        <v>Mid</v>
      </c>
      <c r="D26" s="3" t="e">
        <f t="shared" si="1"/>
        <v>#N/A</v>
      </c>
      <c r="E26" s="3">
        <f t="shared" si="2"/>
        <v>0.25955914933985852</v>
      </c>
      <c r="F26" s="3" t="e">
        <f t="shared" si="3"/>
        <v>#N/A</v>
      </c>
    </row>
    <row r="27" spans="1:6" x14ac:dyDescent="0.2">
      <c r="A27" s="3">
        <f>'Cleaned Data'!A10</f>
        <v>9</v>
      </c>
      <c r="B27" s="26">
        <f>VLOOKUP($A27,'Cleaned Data'!$A$2:$Y$69,17,TRUE)</f>
        <v>0.21377371402506096</v>
      </c>
      <c r="C27" t="str">
        <f t="shared" si="0"/>
        <v>Mid</v>
      </c>
      <c r="D27" s="3" t="e">
        <f t="shared" si="1"/>
        <v>#N/A</v>
      </c>
      <c r="E27" s="3">
        <f t="shared" si="2"/>
        <v>0.21377371402506096</v>
      </c>
      <c r="F27" s="3" t="e">
        <f t="shared" si="3"/>
        <v>#N/A</v>
      </c>
    </row>
    <row r="28" spans="1:6" x14ac:dyDescent="0.2">
      <c r="A28" s="3">
        <f>'Cleaned Data'!A68</f>
        <v>67</v>
      </c>
      <c r="B28" s="26">
        <f>VLOOKUP($A28,'Cleaned Data'!$A$2:$Y$69,17,TRUE)</f>
        <v>0.18206647721370234</v>
      </c>
      <c r="C28" t="str">
        <f t="shared" si="0"/>
        <v>Mid</v>
      </c>
      <c r="D28" s="3" t="e">
        <f t="shared" si="1"/>
        <v>#N/A</v>
      </c>
      <c r="E28" s="3">
        <f t="shared" si="2"/>
        <v>0.18206647721370234</v>
      </c>
      <c r="F28" s="3" t="e">
        <f t="shared" si="3"/>
        <v>#N/A</v>
      </c>
    </row>
    <row r="29" spans="1:6" x14ac:dyDescent="0.2">
      <c r="A29" s="3">
        <f>'Cleaned Data'!A61</f>
        <v>60</v>
      </c>
      <c r="B29" s="26">
        <f>VLOOKUP($A29,'Cleaned Data'!$A$2:$Y$69,17,TRUE)</f>
        <v>0.11500765755864795</v>
      </c>
      <c r="C29" t="str">
        <f t="shared" si="0"/>
        <v>Mid</v>
      </c>
      <c r="D29" s="3" t="e">
        <f t="shared" si="1"/>
        <v>#N/A</v>
      </c>
      <c r="E29" s="3">
        <f t="shared" si="2"/>
        <v>0.11500765755864795</v>
      </c>
      <c r="F29" s="3" t="e">
        <f t="shared" si="3"/>
        <v>#N/A</v>
      </c>
    </row>
    <row r="30" spans="1:6" x14ac:dyDescent="0.2">
      <c r="A30" s="3">
        <f>'Cleaned Data'!A19</f>
        <v>18</v>
      </c>
      <c r="B30" s="26">
        <f>VLOOKUP($A30,'Cleaned Data'!$A$2:$Y$69,17,TRUE)</f>
        <v>8.1529623599538081E-2</v>
      </c>
      <c r="C30" t="str">
        <f t="shared" si="0"/>
        <v>Mid</v>
      </c>
      <c r="D30" s="3" t="e">
        <f t="shared" si="1"/>
        <v>#N/A</v>
      </c>
      <c r="E30" s="3">
        <f t="shared" si="2"/>
        <v>8.1529623599538081E-2</v>
      </c>
      <c r="F30" s="3" t="e">
        <f t="shared" si="3"/>
        <v>#N/A</v>
      </c>
    </row>
    <row r="31" spans="1:6" x14ac:dyDescent="0.2">
      <c r="A31" s="3">
        <f>'Cleaned Data'!A3</f>
        <v>2</v>
      </c>
      <c r="B31" s="26">
        <f>VLOOKUP($A31,'Cleaned Data'!$A$2:$Y$69,17,TRUE)</f>
        <v>3.0137409619702529E-2</v>
      </c>
      <c r="C31" t="str">
        <f t="shared" si="0"/>
        <v>Mid</v>
      </c>
      <c r="D31" s="3" t="e">
        <f t="shared" si="1"/>
        <v>#N/A</v>
      </c>
      <c r="E31" s="3">
        <f t="shared" si="2"/>
        <v>3.0137409619702529E-2</v>
      </c>
      <c r="F31" s="3" t="e">
        <f t="shared" si="3"/>
        <v>#N/A</v>
      </c>
    </row>
    <row r="32" spans="1:6" x14ac:dyDescent="0.2">
      <c r="A32" s="3">
        <f>'Cleaned Data'!A65</f>
        <v>64</v>
      </c>
      <c r="B32" s="26">
        <f>VLOOKUP($A32,'Cleaned Data'!$A$2:$Y$69,17,TRUE)</f>
        <v>2.7749018530841052E-2</v>
      </c>
      <c r="C32" t="str">
        <f t="shared" si="0"/>
        <v>Mid</v>
      </c>
      <c r="D32" s="3" t="e">
        <f t="shared" si="1"/>
        <v>#N/A</v>
      </c>
      <c r="E32" s="3">
        <f t="shared" si="2"/>
        <v>2.7749018530841052E-2</v>
      </c>
      <c r="F32" s="3" t="e">
        <f t="shared" si="3"/>
        <v>#N/A</v>
      </c>
    </row>
    <row r="33" spans="1:6" x14ac:dyDescent="0.2">
      <c r="A33" s="3">
        <f>'Cleaned Data'!A6</f>
        <v>5</v>
      </c>
      <c r="B33" s="26">
        <f>VLOOKUP($A33,'Cleaned Data'!$A$2:$Y$69,17,TRUE)</f>
        <v>-1.9205893475324254E-2</v>
      </c>
      <c r="C33" t="str">
        <f t="shared" si="0"/>
        <v>Mid</v>
      </c>
      <c r="D33" s="3" t="e">
        <f t="shared" si="1"/>
        <v>#N/A</v>
      </c>
      <c r="E33" s="3">
        <f t="shared" si="2"/>
        <v>-1.9205893475324254E-2</v>
      </c>
      <c r="F33" s="3" t="e">
        <f t="shared" si="3"/>
        <v>#N/A</v>
      </c>
    </row>
    <row r="34" spans="1:6" x14ac:dyDescent="0.2">
      <c r="A34" s="3">
        <f>'Cleaned Data'!A26</f>
        <v>25</v>
      </c>
      <c r="B34" s="26">
        <f>VLOOKUP($A34,'Cleaned Data'!$A$2:$Y$69,17,TRUE)</f>
        <v>-2.0380708979643683E-2</v>
      </c>
      <c r="C34" t="str">
        <f t="shared" ref="C34:C65" si="4">IF(B34&lt;=PERCENTILE($B$2:$B$69,0.33),"Low",
  IF(B34&lt;=PERCENTILE($B$2:$B$69,0.66),"Mid","High"))</f>
        <v>Mid</v>
      </c>
      <c r="D34" s="3" t="e">
        <f t="shared" ref="D34:D69" si="5">IF(B34&lt;=$I$2,B34,NA())</f>
        <v>#N/A</v>
      </c>
      <c r="E34" s="3">
        <f t="shared" ref="E34:E69" si="6">IF(AND(B34&gt;$I$2,B34&lt;=$I$3),B34,NA())</f>
        <v>-2.0380708979643683E-2</v>
      </c>
      <c r="F34" s="3" t="e">
        <f t="shared" ref="F34:F69" si="7">IF(B34&gt;$I$3,B34,NA())</f>
        <v>#N/A</v>
      </c>
    </row>
    <row r="35" spans="1:6" x14ac:dyDescent="0.2">
      <c r="A35" s="3">
        <f>'Cleaned Data'!A13</f>
        <v>12</v>
      </c>
      <c r="B35" s="26">
        <f>VLOOKUP($A35,'Cleaned Data'!$A$2:$Y$69,17,TRUE)</f>
        <v>-3.3661971224411703E-2</v>
      </c>
      <c r="C35" t="str">
        <f t="shared" si="4"/>
        <v>Mid</v>
      </c>
      <c r="D35" s="3" t="e">
        <f t="shared" si="5"/>
        <v>#N/A</v>
      </c>
      <c r="E35" s="3">
        <f t="shared" si="6"/>
        <v>-3.3661971224411703E-2</v>
      </c>
      <c r="F35" s="3" t="e">
        <f t="shared" si="7"/>
        <v>#N/A</v>
      </c>
    </row>
    <row r="36" spans="1:6" x14ac:dyDescent="0.2">
      <c r="A36" s="3">
        <f>'Cleaned Data'!A5</f>
        <v>4</v>
      </c>
      <c r="B36" s="26">
        <f>VLOOKUP($A36,'Cleaned Data'!$A$2:$Y$69,17,TRUE)</f>
        <v>-4.7835060902929744E-2</v>
      </c>
      <c r="C36" t="str">
        <f t="shared" si="4"/>
        <v>Mid</v>
      </c>
      <c r="D36" s="3" t="e">
        <f t="shared" si="5"/>
        <v>#N/A</v>
      </c>
      <c r="E36" s="3">
        <f t="shared" si="6"/>
        <v>-4.7835060902929744E-2</v>
      </c>
      <c r="F36" s="3" t="e">
        <f t="shared" si="7"/>
        <v>#N/A</v>
      </c>
    </row>
    <row r="37" spans="1:6" x14ac:dyDescent="0.2">
      <c r="A37" s="3">
        <f>'Cleaned Data'!A54</f>
        <v>53</v>
      </c>
      <c r="B37" s="26">
        <f>VLOOKUP($A37,'Cleaned Data'!$A$2:$Y$69,17,TRUE)</f>
        <v>-5.2544020897447738E-2</v>
      </c>
      <c r="C37" t="str">
        <f t="shared" si="4"/>
        <v>Mid</v>
      </c>
      <c r="D37" s="3" t="e">
        <f t="shared" si="5"/>
        <v>#N/A</v>
      </c>
      <c r="E37" s="3">
        <f t="shared" si="6"/>
        <v>-5.2544020897447738E-2</v>
      </c>
      <c r="F37" s="3" t="e">
        <f t="shared" si="7"/>
        <v>#N/A</v>
      </c>
    </row>
    <row r="38" spans="1:6" x14ac:dyDescent="0.2">
      <c r="A38" s="3">
        <f>'Cleaned Data'!A34</f>
        <v>33</v>
      </c>
      <c r="B38" s="26">
        <f>VLOOKUP($A38,'Cleaned Data'!$A$2:$Y$69,17,TRUE)</f>
        <v>-6.6339953829958581E-2</v>
      </c>
      <c r="C38" t="str">
        <f t="shared" si="4"/>
        <v>Mid</v>
      </c>
      <c r="D38" s="3" t="e">
        <f t="shared" si="5"/>
        <v>#N/A</v>
      </c>
      <c r="E38" s="3">
        <f t="shared" si="6"/>
        <v>-6.6339953829958581E-2</v>
      </c>
      <c r="F38" s="3" t="e">
        <f t="shared" si="7"/>
        <v>#N/A</v>
      </c>
    </row>
    <row r="39" spans="1:6" x14ac:dyDescent="0.2">
      <c r="A39" s="3">
        <f>'Cleaned Data'!A59</f>
        <v>58</v>
      </c>
      <c r="B39" s="26">
        <f>VLOOKUP($A39,'Cleaned Data'!$A$2:$Y$69,17,TRUE)</f>
        <v>-9.008725761074475E-2</v>
      </c>
      <c r="C39" t="str">
        <f t="shared" si="4"/>
        <v>Mid</v>
      </c>
      <c r="D39" s="3" t="e">
        <f t="shared" si="5"/>
        <v>#N/A</v>
      </c>
      <c r="E39" s="3">
        <f t="shared" si="6"/>
        <v>-9.008725761074475E-2</v>
      </c>
      <c r="F39" s="3" t="e">
        <f t="shared" si="7"/>
        <v>#N/A</v>
      </c>
    </row>
    <row r="40" spans="1:6" x14ac:dyDescent="0.2">
      <c r="A40" s="3">
        <f>'Cleaned Data'!A20</f>
        <v>19</v>
      </c>
      <c r="B40" s="26">
        <f>VLOOKUP($A40,'Cleaned Data'!$A$2:$Y$69,17,TRUE)</f>
        <v>-9.9990824729217415E-2</v>
      </c>
      <c r="C40" t="str">
        <f t="shared" si="4"/>
        <v>Mid</v>
      </c>
      <c r="D40" s="3" t="e">
        <f t="shared" si="5"/>
        <v>#N/A</v>
      </c>
      <c r="E40" s="3">
        <f t="shared" si="6"/>
        <v>-9.9990824729217415E-2</v>
      </c>
      <c r="F40" s="3" t="e">
        <f t="shared" si="7"/>
        <v>#N/A</v>
      </c>
    </row>
    <row r="41" spans="1:6" x14ac:dyDescent="0.2">
      <c r="A41" s="3">
        <f>'Cleaned Data'!A45</f>
        <v>44</v>
      </c>
      <c r="B41" s="26">
        <f>VLOOKUP($A41,'Cleaned Data'!$A$2:$Y$69,17,TRUE)</f>
        <v>-0.12663196328091725</v>
      </c>
      <c r="C41" t="str">
        <f t="shared" si="4"/>
        <v>Mid</v>
      </c>
      <c r="D41" s="3" t="e">
        <f t="shared" si="5"/>
        <v>#N/A</v>
      </c>
      <c r="E41" s="3">
        <f t="shared" si="6"/>
        <v>-0.12663196328091725</v>
      </c>
      <c r="F41" s="3" t="e">
        <f t="shared" si="7"/>
        <v>#N/A</v>
      </c>
    </row>
    <row r="42" spans="1:6" x14ac:dyDescent="0.2">
      <c r="A42" s="3">
        <f>'Cleaned Data'!A50</f>
        <v>49</v>
      </c>
      <c r="B42" s="26">
        <f>VLOOKUP($A42,'Cleaned Data'!$A$2:$Y$69,17,TRUE)</f>
        <v>-0.17678830686423219</v>
      </c>
      <c r="C42" t="str">
        <f t="shared" si="4"/>
        <v>Mid</v>
      </c>
      <c r="D42" s="3" t="e">
        <f t="shared" si="5"/>
        <v>#N/A</v>
      </c>
      <c r="E42" s="3">
        <f t="shared" si="6"/>
        <v>-0.17678830686423219</v>
      </c>
      <c r="F42" s="3" t="e">
        <f t="shared" si="7"/>
        <v>#N/A</v>
      </c>
    </row>
    <row r="43" spans="1:6" x14ac:dyDescent="0.2">
      <c r="A43" s="3">
        <f>'Cleaned Data'!A35</f>
        <v>34</v>
      </c>
      <c r="B43" s="26">
        <f>VLOOKUP($A43,'Cleaned Data'!$A$2:$Y$69,17,TRUE)</f>
        <v>-0.19021799405606699</v>
      </c>
      <c r="C43" t="str">
        <f t="shared" si="4"/>
        <v>Mid</v>
      </c>
      <c r="D43" s="3" t="e">
        <f t="shared" si="5"/>
        <v>#N/A</v>
      </c>
      <c r="E43" s="3">
        <f t="shared" si="6"/>
        <v>-0.19021799405606699</v>
      </c>
      <c r="F43" s="3" t="e">
        <f t="shared" si="7"/>
        <v>#N/A</v>
      </c>
    </row>
    <row r="44" spans="1:6" x14ac:dyDescent="0.2">
      <c r="A44" s="3">
        <f>'Cleaned Data'!A15</f>
        <v>14</v>
      </c>
      <c r="B44" s="26">
        <f>VLOOKUP($A44,'Cleaned Data'!$A$2:$Y$69,17,TRUE)</f>
        <v>-0.2605915464233734</v>
      </c>
      <c r="C44" t="str">
        <f t="shared" si="4"/>
        <v>Mid</v>
      </c>
      <c r="D44" s="3" t="e">
        <f t="shared" si="5"/>
        <v>#N/A</v>
      </c>
      <c r="E44" s="3">
        <f t="shared" si="6"/>
        <v>-0.2605915464233734</v>
      </c>
      <c r="F44" s="3" t="e">
        <f t="shared" si="7"/>
        <v>#N/A</v>
      </c>
    </row>
    <row r="45" spans="1:6" x14ac:dyDescent="0.2">
      <c r="A45" s="3">
        <f>'Cleaned Data'!A7</f>
        <v>6</v>
      </c>
      <c r="B45" s="26">
        <f>VLOOKUP($A45,'Cleaned Data'!$A$2:$Y$69,17,TRUE)</f>
        <v>-0.2621778596358546</v>
      </c>
      <c r="C45" t="str">
        <f t="shared" si="4"/>
        <v>Mid</v>
      </c>
      <c r="D45" s="3" t="e">
        <f t="shared" si="5"/>
        <v>#N/A</v>
      </c>
      <c r="E45" s="3">
        <f t="shared" si="6"/>
        <v>-0.2621778596358546</v>
      </c>
      <c r="F45" s="3" t="e">
        <f t="shared" si="7"/>
        <v>#N/A</v>
      </c>
    </row>
    <row r="46" spans="1:6" x14ac:dyDescent="0.2">
      <c r="A46" s="3">
        <f>'Cleaned Data'!A66</f>
        <v>65</v>
      </c>
      <c r="B46" s="26">
        <f>VLOOKUP($A46,'Cleaned Data'!$A$2:$Y$69,17,TRUE)</f>
        <v>-0.29255942998801399</v>
      </c>
      <c r="C46" t="str">
        <f t="shared" si="4"/>
        <v>Mid</v>
      </c>
      <c r="D46" s="3" t="e">
        <f t="shared" si="5"/>
        <v>#N/A</v>
      </c>
      <c r="E46" s="3">
        <f t="shared" si="6"/>
        <v>-0.29255942998801399</v>
      </c>
      <c r="F46" s="3" t="e">
        <f t="shared" si="7"/>
        <v>#N/A</v>
      </c>
    </row>
    <row r="47" spans="1:6" x14ac:dyDescent="0.2">
      <c r="A47" s="3">
        <f>'Cleaned Data'!A57</f>
        <v>56</v>
      </c>
      <c r="B47" s="26">
        <f>VLOOKUP($A47,'Cleaned Data'!$A$2:$Y$69,17,TRUE)</f>
        <v>-0.30202515928075024</v>
      </c>
      <c r="C47" t="str">
        <f t="shared" si="4"/>
        <v>Low</v>
      </c>
      <c r="D47" s="3">
        <f t="shared" si="5"/>
        <v>-0.30202515928075024</v>
      </c>
      <c r="E47" s="3" t="e">
        <f t="shared" si="6"/>
        <v>#N/A</v>
      </c>
      <c r="F47" s="3" t="e">
        <f t="shared" si="7"/>
        <v>#N/A</v>
      </c>
    </row>
    <row r="48" spans="1:6" x14ac:dyDescent="0.2">
      <c r="A48" s="3">
        <f>'Cleaned Data'!A21</f>
        <v>20</v>
      </c>
      <c r="B48" s="26">
        <f>VLOOKUP($A48,'Cleaned Data'!$A$2:$Y$69,17,TRUE)</f>
        <v>-0.33512373402707402</v>
      </c>
      <c r="C48" t="str">
        <f t="shared" si="4"/>
        <v>Low</v>
      </c>
      <c r="D48" s="3">
        <f t="shared" si="5"/>
        <v>-0.33512373402707402</v>
      </c>
      <c r="E48" s="3" t="e">
        <f t="shared" si="6"/>
        <v>#N/A</v>
      </c>
      <c r="F48" s="3" t="e">
        <f t="shared" si="7"/>
        <v>#N/A</v>
      </c>
    </row>
    <row r="49" spans="1:6" x14ac:dyDescent="0.2">
      <c r="A49" s="3">
        <f>'Cleaned Data'!A16</f>
        <v>15</v>
      </c>
      <c r="B49" s="26">
        <f>VLOOKUP($A49,'Cleaned Data'!$A$2:$Y$69,17,TRUE)</f>
        <v>-0.3691605627390917</v>
      </c>
      <c r="C49" t="str">
        <f t="shared" si="4"/>
        <v>Low</v>
      </c>
      <c r="D49" s="3">
        <f t="shared" si="5"/>
        <v>-0.3691605627390917</v>
      </c>
      <c r="E49" s="3" t="e">
        <f t="shared" si="6"/>
        <v>#N/A</v>
      </c>
      <c r="F49" s="3" t="e">
        <f t="shared" si="7"/>
        <v>#N/A</v>
      </c>
    </row>
    <row r="50" spans="1:6" x14ac:dyDescent="0.2">
      <c r="A50" s="3">
        <f>'Cleaned Data'!A52</f>
        <v>51</v>
      </c>
      <c r="B50" s="26">
        <f>VLOOKUP($A50,'Cleaned Data'!$A$2:$Y$69,17,TRUE)</f>
        <v>-0.40810777741523274</v>
      </c>
      <c r="C50" t="str">
        <f t="shared" si="4"/>
        <v>Low</v>
      </c>
      <c r="D50" s="3">
        <f t="shared" si="5"/>
        <v>-0.40810777741523274</v>
      </c>
      <c r="E50" s="3" t="e">
        <f t="shared" si="6"/>
        <v>#N/A</v>
      </c>
      <c r="F50" s="3" t="e">
        <f t="shared" si="7"/>
        <v>#N/A</v>
      </c>
    </row>
    <row r="51" spans="1:6" x14ac:dyDescent="0.2">
      <c r="A51" s="3">
        <f>'Cleaned Data'!A62</f>
        <v>61</v>
      </c>
      <c r="B51" s="26">
        <f>VLOOKUP($A51,'Cleaned Data'!$A$2:$Y$69,17,TRUE)</f>
        <v>-0.44381694896653473</v>
      </c>
      <c r="C51" t="str">
        <f t="shared" si="4"/>
        <v>Low</v>
      </c>
      <c r="D51" s="3">
        <f t="shared" si="5"/>
        <v>-0.44381694896653473</v>
      </c>
      <c r="E51" s="3" t="e">
        <f t="shared" si="6"/>
        <v>#N/A</v>
      </c>
      <c r="F51" s="3" t="e">
        <f t="shared" si="7"/>
        <v>#N/A</v>
      </c>
    </row>
    <row r="52" spans="1:6" x14ac:dyDescent="0.2">
      <c r="A52" s="3">
        <f>'Cleaned Data'!A12</f>
        <v>11</v>
      </c>
      <c r="B52" s="26">
        <f>VLOOKUP($A52,'Cleaned Data'!$A$2:$Y$69,17,TRUE)</f>
        <v>-0.45647041412121292</v>
      </c>
      <c r="C52" t="str">
        <f t="shared" si="4"/>
        <v>Low</v>
      </c>
      <c r="D52" s="3">
        <f t="shared" si="5"/>
        <v>-0.45647041412121292</v>
      </c>
      <c r="E52" s="3" t="e">
        <f t="shared" si="6"/>
        <v>#N/A</v>
      </c>
      <c r="F52" s="3" t="e">
        <f t="shared" si="7"/>
        <v>#N/A</v>
      </c>
    </row>
    <row r="53" spans="1:6" x14ac:dyDescent="0.2">
      <c r="A53" s="3">
        <f>'Cleaned Data'!A32</f>
        <v>31</v>
      </c>
      <c r="B53" s="26">
        <f>VLOOKUP($A53,'Cleaned Data'!$A$2:$Y$69,17,TRUE)</f>
        <v>-0.49132233309197965</v>
      </c>
      <c r="C53" t="str">
        <f t="shared" si="4"/>
        <v>Low</v>
      </c>
      <c r="D53" s="3">
        <f t="shared" si="5"/>
        <v>-0.49132233309197965</v>
      </c>
      <c r="E53" s="3" t="e">
        <f t="shared" si="6"/>
        <v>#N/A</v>
      </c>
      <c r="F53" s="3" t="e">
        <f t="shared" si="7"/>
        <v>#N/A</v>
      </c>
    </row>
    <row r="54" spans="1:6" x14ac:dyDescent="0.2">
      <c r="A54" s="3">
        <f>'Cleaned Data'!A58</f>
        <v>57</v>
      </c>
      <c r="B54" s="26">
        <f>VLOOKUP($A54,'Cleaned Data'!$A$2:$Y$69,17,TRUE)</f>
        <v>-0.60954334755389761</v>
      </c>
      <c r="C54" t="str">
        <f t="shared" si="4"/>
        <v>Low</v>
      </c>
      <c r="D54" s="3">
        <f t="shared" si="5"/>
        <v>-0.60954334755389761</v>
      </c>
      <c r="E54" s="3" t="e">
        <f t="shared" si="6"/>
        <v>#N/A</v>
      </c>
      <c r="F54" s="3" t="e">
        <f t="shared" si="7"/>
        <v>#N/A</v>
      </c>
    </row>
    <row r="55" spans="1:6" x14ac:dyDescent="0.2">
      <c r="A55" s="3">
        <f>'Cleaned Data'!A64</f>
        <v>63</v>
      </c>
      <c r="B55" s="26">
        <f>VLOOKUP($A55,'Cleaned Data'!$A$2:$Y$69,17,TRUE)</f>
        <v>-0.61373313200529367</v>
      </c>
      <c r="C55" t="str">
        <f t="shared" si="4"/>
        <v>Low</v>
      </c>
      <c r="D55" s="3">
        <f t="shared" si="5"/>
        <v>-0.61373313200529367</v>
      </c>
      <c r="E55" s="3" t="e">
        <f t="shared" si="6"/>
        <v>#N/A</v>
      </c>
      <c r="F55" s="3" t="e">
        <f t="shared" si="7"/>
        <v>#N/A</v>
      </c>
    </row>
    <row r="56" spans="1:6" x14ac:dyDescent="0.2">
      <c r="A56" s="3">
        <f>'Cleaned Data'!A51</f>
        <v>50</v>
      </c>
      <c r="B56" s="26">
        <f>VLOOKUP($A56,'Cleaned Data'!$A$2:$Y$69,17,TRUE)</f>
        <v>-0.61949503952656615</v>
      </c>
      <c r="C56" t="str">
        <f t="shared" si="4"/>
        <v>Low</v>
      </c>
      <c r="D56" s="3">
        <f t="shared" si="5"/>
        <v>-0.61949503952656615</v>
      </c>
      <c r="E56" s="3" t="e">
        <f t="shared" si="6"/>
        <v>#N/A</v>
      </c>
      <c r="F56" s="3" t="e">
        <f t="shared" si="7"/>
        <v>#N/A</v>
      </c>
    </row>
    <row r="57" spans="1:6" x14ac:dyDescent="0.2">
      <c r="A57" s="3">
        <f>'Cleaned Data'!A55</f>
        <v>54</v>
      </c>
      <c r="B57" s="26">
        <f>VLOOKUP($A57,'Cleaned Data'!$A$2:$Y$69,17,TRUE)</f>
        <v>-0.67071666861487444</v>
      </c>
      <c r="C57" t="str">
        <f t="shared" si="4"/>
        <v>Low</v>
      </c>
      <c r="D57" s="3">
        <f t="shared" si="5"/>
        <v>-0.67071666861487444</v>
      </c>
      <c r="E57" s="3" t="e">
        <f t="shared" si="6"/>
        <v>#N/A</v>
      </c>
      <c r="F57" s="3" t="e">
        <f t="shared" si="7"/>
        <v>#N/A</v>
      </c>
    </row>
    <row r="58" spans="1:6" x14ac:dyDescent="0.2">
      <c r="A58" s="3">
        <f>'Cleaned Data'!A30</f>
        <v>29</v>
      </c>
      <c r="B58" s="26">
        <f>VLOOKUP($A58,'Cleaned Data'!$A$2:$Y$69,17,TRUE)</f>
        <v>-0.67212863287545099</v>
      </c>
      <c r="C58" t="str">
        <f t="shared" si="4"/>
        <v>Low</v>
      </c>
      <c r="D58" s="3">
        <f t="shared" si="5"/>
        <v>-0.67212863287545099</v>
      </c>
      <c r="E58" s="3" t="e">
        <f t="shared" si="6"/>
        <v>#N/A</v>
      </c>
      <c r="F58" s="3" t="e">
        <f t="shared" si="7"/>
        <v>#N/A</v>
      </c>
    </row>
    <row r="59" spans="1:6" x14ac:dyDescent="0.2">
      <c r="A59" s="3">
        <f>'Cleaned Data'!A67</f>
        <v>66</v>
      </c>
      <c r="B59" s="26">
        <f>VLOOKUP($A59,'Cleaned Data'!$A$2:$Y$69,17,TRUE)</f>
        <v>-0.71524974078961967</v>
      </c>
      <c r="C59" t="str">
        <f t="shared" si="4"/>
        <v>Low</v>
      </c>
      <c r="D59" s="3">
        <f t="shared" si="5"/>
        <v>-0.71524974078961967</v>
      </c>
      <c r="E59" s="3" t="e">
        <f t="shared" si="6"/>
        <v>#N/A</v>
      </c>
      <c r="F59" s="3" t="e">
        <f t="shared" si="7"/>
        <v>#N/A</v>
      </c>
    </row>
    <row r="60" spans="1:6" x14ac:dyDescent="0.2">
      <c r="A60" s="3">
        <f>'Cleaned Data'!A24</f>
        <v>23</v>
      </c>
      <c r="B60" s="26">
        <f>VLOOKUP($A60,'Cleaned Data'!$A$2:$Y$69,17,TRUE)</f>
        <v>-0.76780414434840027</v>
      </c>
      <c r="C60" t="str">
        <f t="shared" si="4"/>
        <v>Low</v>
      </c>
      <c r="D60" s="3">
        <f t="shared" si="5"/>
        <v>-0.76780414434840027</v>
      </c>
      <c r="E60" s="3" t="e">
        <f t="shared" si="6"/>
        <v>#N/A</v>
      </c>
      <c r="F60" s="3" t="e">
        <f t="shared" si="7"/>
        <v>#N/A</v>
      </c>
    </row>
    <row r="61" spans="1:6" x14ac:dyDescent="0.2">
      <c r="A61" s="3">
        <f>'Cleaned Data'!A23</f>
        <v>22</v>
      </c>
      <c r="B61" s="26">
        <f>VLOOKUP($A61,'Cleaned Data'!$A$2:$Y$69,17,TRUE)</f>
        <v>-0.79868411436490372</v>
      </c>
      <c r="C61" t="str">
        <f t="shared" si="4"/>
        <v>Low</v>
      </c>
      <c r="D61" s="3">
        <f t="shared" si="5"/>
        <v>-0.79868411436490372</v>
      </c>
      <c r="E61" s="3" t="e">
        <f t="shared" si="6"/>
        <v>#N/A</v>
      </c>
      <c r="F61" s="3" t="e">
        <f t="shared" si="7"/>
        <v>#N/A</v>
      </c>
    </row>
    <row r="62" spans="1:6" x14ac:dyDescent="0.2">
      <c r="A62" s="3">
        <f>'Cleaned Data'!A11</f>
        <v>10</v>
      </c>
      <c r="B62" s="26">
        <f>VLOOKUP($A62,'Cleaned Data'!$A$2:$Y$69,17,TRUE)</f>
        <v>-0.80761089921133444</v>
      </c>
      <c r="C62" t="str">
        <f t="shared" si="4"/>
        <v>Low</v>
      </c>
      <c r="D62" s="3">
        <f t="shared" si="5"/>
        <v>-0.80761089921133444</v>
      </c>
      <c r="E62" s="3" t="e">
        <f t="shared" si="6"/>
        <v>#N/A</v>
      </c>
      <c r="F62" s="3" t="e">
        <f t="shared" si="7"/>
        <v>#N/A</v>
      </c>
    </row>
    <row r="63" spans="1:6" x14ac:dyDescent="0.2">
      <c r="A63" s="3">
        <f>'Cleaned Data'!A56</f>
        <v>55</v>
      </c>
      <c r="B63" s="26">
        <f>VLOOKUP($A63,'Cleaned Data'!$A$2:$Y$69,17,TRUE)</f>
        <v>-0.90412244306867517</v>
      </c>
      <c r="C63" t="str">
        <f t="shared" si="4"/>
        <v>Low</v>
      </c>
      <c r="D63" s="3">
        <f t="shared" si="5"/>
        <v>-0.90412244306867517</v>
      </c>
      <c r="E63" s="3" t="e">
        <f t="shared" si="6"/>
        <v>#N/A</v>
      </c>
      <c r="F63" s="3" t="e">
        <f t="shared" si="7"/>
        <v>#N/A</v>
      </c>
    </row>
    <row r="64" spans="1:6" x14ac:dyDescent="0.2">
      <c r="A64" s="3">
        <f>'Cleaned Data'!A33</f>
        <v>32</v>
      </c>
      <c r="B64" s="26">
        <f>VLOOKUP($A64,'Cleaned Data'!$A$2:$Y$69,17,TRUE)</f>
        <v>-0.94881607811904412</v>
      </c>
      <c r="C64" t="str">
        <f t="shared" si="4"/>
        <v>Low</v>
      </c>
      <c r="D64" s="3">
        <f t="shared" si="5"/>
        <v>-0.94881607811904412</v>
      </c>
      <c r="E64" s="3" t="e">
        <f t="shared" si="6"/>
        <v>#N/A</v>
      </c>
      <c r="F64" s="3" t="e">
        <f t="shared" si="7"/>
        <v>#N/A</v>
      </c>
    </row>
    <row r="65" spans="1:6" x14ac:dyDescent="0.2">
      <c r="A65" s="3">
        <f>'Cleaned Data'!A28</f>
        <v>27</v>
      </c>
      <c r="B65" s="26">
        <f>VLOOKUP($A65,'Cleaned Data'!$A$2:$Y$69,17,TRUE)</f>
        <v>-1.1266896847311796</v>
      </c>
      <c r="C65" t="str">
        <f t="shared" si="4"/>
        <v>Low</v>
      </c>
      <c r="D65" s="3">
        <f t="shared" si="5"/>
        <v>-1.1266896847311796</v>
      </c>
      <c r="E65" s="3" t="e">
        <f t="shared" si="6"/>
        <v>#N/A</v>
      </c>
      <c r="F65" s="3" t="e">
        <f t="shared" si="7"/>
        <v>#N/A</v>
      </c>
    </row>
    <row r="66" spans="1:6" x14ac:dyDescent="0.2">
      <c r="A66" s="3">
        <f>'Cleaned Data'!A25</f>
        <v>24</v>
      </c>
      <c r="B66" s="26">
        <f>VLOOKUP($A66,'Cleaned Data'!$A$2:$Y$69,17,TRUE)</f>
        <v>-1.1423711897431661</v>
      </c>
      <c r="C66" t="str">
        <f t="shared" ref="C66:C69" si="8">IF(B66&lt;=PERCENTILE($B$2:$B$69,0.33),"Low",
  IF(B66&lt;=PERCENTILE($B$2:$B$69,0.66),"Mid","High"))</f>
        <v>Low</v>
      </c>
      <c r="D66" s="3">
        <f t="shared" si="5"/>
        <v>-1.1423711897431661</v>
      </c>
      <c r="E66" s="3" t="e">
        <f t="shared" si="6"/>
        <v>#N/A</v>
      </c>
      <c r="F66" s="3" t="e">
        <f t="shared" si="7"/>
        <v>#N/A</v>
      </c>
    </row>
    <row r="67" spans="1:6" x14ac:dyDescent="0.2">
      <c r="A67" s="3">
        <f>'Cleaned Data'!A17</f>
        <v>16</v>
      </c>
      <c r="B67" s="26">
        <f>VLOOKUP($A67,'Cleaned Data'!$A$2:$Y$69,17,TRUE)</f>
        <v>-1.2487435582665745</v>
      </c>
      <c r="C67" t="str">
        <f t="shared" si="8"/>
        <v>Low</v>
      </c>
      <c r="D67" s="3">
        <f t="shared" si="5"/>
        <v>-1.2487435582665745</v>
      </c>
      <c r="E67" s="3" t="e">
        <f t="shared" si="6"/>
        <v>#N/A</v>
      </c>
      <c r="F67" s="3" t="e">
        <f t="shared" si="7"/>
        <v>#N/A</v>
      </c>
    </row>
    <row r="68" spans="1:6" x14ac:dyDescent="0.2">
      <c r="A68" s="3">
        <f>'Cleaned Data'!A22</f>
        <v>21</v>
      </c>
      <c r="B68" s="26">
        <f>VLOOKUP($A68,'Cleaned Data'!$A$2:$Y$69,17,TRUE)</f>
        <v>-1.7758190295433505</v>
      </c>
      <c r="C68" t="str">
        <f t="shared" si="8"/>
        <v>Low</v>
      </c>
      <c r="D68" s="3">
        <f t="shared" si="5"/>
        <v>-1.7758190295433505</v>
      </c>
      <c r="E68" s="3" t="e">
        <f t="shared" si="6"/>
        <v>#N/A</v>
      </c>
      <c r="F68" s="3" t="e">
        <f t="shared" si="7"/>
        <v>#N/A</v>
      </c>
    </row>
    <row r="69" spans="1:6" x14ac:dyDescent="0.2">
      <c r="A69" s="3">
        <f>'Cleaned Data'!A18</f>
        <v>17</v>
      </c>
      <c r="B69" s="26">
        <f>VLOOKUP($A69,'Cleaned Data'!$A$2:$Y$69,17,TRUE)</f>
        <v>-1.9601929067867685</v>
      </c>
      <c r="C69" t="str">
        <f t="shared" si="8"/>
        <v>Low</v>
      </c>
      <c r="D69" s="3">
        <f t="shared" si="5"/>
        <v>-1.9601929067867685</v>
      </c>
      <c r="E69" s="3" t="e">
        <f t="shared" si="6"/>
        <v>#N/A</v>
      </c>
      <c r="F69" s="3" t="e">
        <f t="shared" si="7"/>
        <v>#N/A</v>
      </c>
    </row>
  </sheetData>
  <sheetProtection sheet="1" objects="1" scenarios="1"/>
  <sortState xmlns:xlrd2="http://schemas.microsoft.com/office/spreadsheetml/2017/richdata2" ref="A2:G69">
    <sortCondition descending="1" ref="B2:B6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C4F5-E09E-5849-882E-5BBE8369D5CA}">
  <dimension ref="A1:U4"/>
  <sheetViews>
    <sheetView zoomScale="106" workbookViewId="0">
      <selection activeCell="K11" sqref="K11"/>
    </sheetView>
  </sheetViews>
  <sheetFormatPr baseColWidth="10" defaultRowHeight="15" x14ac:dyDescent="0.2"/>
  <sheetData>
    <row r="1" spans="1:21" ht="19" x14ac:dyDescent="0.25">
      <c r="A1" s="47" t="s">
        <v>55</v>
      </c>
      <c r="B1" s="48"/>
      <c r="C1" s="48"/>
      <c r="D1" s="48"/>
      <c r="E1" s="48"/>
      <c r="F1" s="48"/>
      <c r="G1" s="48"/>
      <c r="H1" s="49"/>
    </row>
    <row r="2" spans="1:21" x14ac:dyDescent="0.2">
      <c r="A2" s="29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J2" s="3" t="s">
        <v>60</v>
      </c>
      <c r="K2" s="25" t="s">
        <v>7</v>
      </c>
      <c r="L2" s="25" t="s">
        <v>8</v>
      </c>
      <c r="M2" s="25" t="s">
        <v>61</v>
      </c>
      <c r="N2" s="25" t="s">
        <v>9</v>
      </c>
      <c r="O2" s="25" t="s">
        <v>62</v>
      </c>
      <c r="P2" s="25" t="s">
        <v>10</v>
      </c>
      <c r="Q2" s="25" t="s">
        <v>11</v>
      </c>
      <c r="R2" s="25" t="s">
        <v>12</v>
      </c>
      <c r="S2" s="25" t="s">
        <v>63</v>
      </c>
      <c r="T2" s="25" t="s">
        <v>48</v>
      </c>
      <c r="U2" s="25" t="s">
        <v>36</v>
      </c>
    </row>
    <row r="3" spans="1:21" x14ac:dyDescent="0.2">
      <c r="A3" s="33">
        <f>'Athlete Profile'!A3</f>
        <v>1</v>
      </c>
      <c r="B3" s="31">
        <f>VLOOKUP($A3,'Cleaned Data'!$A$2:$Y$69,2,TRUE)</f>
        <v>1.07</v>
      </c>
      <c r="C3" s="31">
        <f>VLOOKUP($A3,'Cleaned Data'!$A$2:$Y$69,3,TRUE)</f>
        <v>1.87</v>
      </c>
      <c r="D3" s="31">
        <f>VLOOKUP($A3,'Cleaned Data'!$A$2:$Y$69,4,TRUE)</f>
        <v>2.39</v>
      </c>
      <c r="E3" s="31">
        <f>VLOOKUP($A3,'Cleaned Data'!$A$2:$Y$69,5,TRUE)</f>
        <v>2.69</v>
      </c>
      <c r="F3" s="31">
        <f>VLOOKUP($A3,'Cleaned Data'!$A$2:$Y$69,6,TRUE)</f>
        <v>31.1</v>
      </c>
      <c r="G3" s="31">
        <f>VLOOKUP($A3,'Cleaned Data'!$A$2:$Y$69,7,TRUE)</f>
        <v>2.2000000000000002</v>
      </c>
      <c r="H3" s="32">
        <f>VLOOKUP($A3,'Cleaned Data'!$A$2:$Y$69,25,TRUE)</f>
        <v>57.518310048915964</v>
      </c>
      <c r="J3" s="3" t="s">
        <v>59</v>
      </c>
      <c r="K3" s="27">
        <f>VLOOKUP($A3,'Cleaned Data'!$A$2:$Y$69,8,TRUE)</f>
        <v>0.99854090181843647</v>
      </c>
      <c r="L3" s="27">
        <f>VLOOKUP($A3,'Cleaned Data'!$A$2:$Y$69,9,TRUE)</f>
        <v>0.82997555945247203</v>
      </c>
      <c r="M3" s="27">
        <f>VLOOKUP($A3,'Cleaned Data'!$A$2:$Y$69,10,TRUE)</f>
        <v>0.91425823063545431</v>
      </c>
      <c r="N3" s="27">
        <f>VLOOKUP($A3,'Cleaned Data'!$A$2:$Y$69,11,TRUE)</f>
        <v>1.2287678526080776</v>
      </c>
      <c r="O3" s="27">
        <f>VLOOKUP($A3,'Cleaned Data'!$A$2:$Y$69,12,TRUE)</f>
        <v>0.2602802235071216</v>
      </c>
      <c r="P3" s="27">
        <f>VLOOKUP($A3,'Cleaned Data'!$A$2:$Y$69,13,TRUE)</f>
        <v>0.74452403805759959</v>
      </c>
      <c r="Q3" s="27">
        <f>VLOOKUP($A3,'Cleaned Data'!$A$2:$Y$69,14,TRUE)</f>
        <v>0.60590223546155586</v>
      </c>
      <c r="R3" s="27">
        <f>VLOOKUP($A3,'Cleaned Data'!$A$2:$Y$69,15,TRUE)</f>
        <v>0.43239899759205525</v>
      </c>
      <c r="S3" s="27">
        <f>VLOOKUP($A3,'Cleaned Data'!$A$2:$Y$69,16,TRUE)</f>
        <v>0.51915061652680561</v>
      </c>
      <c r="T3" s="27">
        <f>VLOOKUP($A3,'Cleaned Data'!$A$2:$Y$69,17,TRUE)</f>
        <v>0.75183100489159671</v>
      </c>
      <c r="U3">
        <f>VLOOKUP($A3,'Cleaned Data'!$A$2:$Y$69,18,TRUE)</f>
        <v>10</v>
      </c>
    </row>
    <row r="4" spans="1:21" x14ac:dyDescent="0.2">
      <c r="A4" s="30" t="s">
        <v>23</v>
      </c>
      <c r="B4" s="28">
        <f>VLOOKUP($A$3,'Cleaned Data'!$A$2:$AE$69,26, FALSE)</f>
        <v>13</v>
      </c>
      <c r="C4" s="28">
        <f>VLOOKUP($A$3,'Cleaned Data'!$A$2:$AE$69,27, FALSE)</f>
        <v>13</v>
      </c>
      <c r="D4" s="28">
        <f>VLOOKUP($A$3,'Cleaned Data'!$A$2:$AE$69,28, FALSE)</f>
        <v>5</v>
      </c>
      <c r="E4" s="28">
        <f>VLOOKUP($A$3,'Cleaned Data'!$A$2:$AE$69,29, FALSE)</f>
        <v>31</v>
      </c>
      <c r="F4" s="28">
        <f>VLOOKUP($A$3,'Cleaned Data'!$A$2:$AE$69,30, FALSE)</f>
        <v>18</v>
      </c>
      <c r="G4" s="28">
        <f>VLOOKUP($A$3,'Cleaned Data'!$A$2:$AE$69,31, FALSE)</f>
        <v>17</v>
      </c>
      <c r="H4" s="28">
        <f>VLOOKUP($A$3,'Cleaned Data'!$A$2:$AE$69,18, FALSE)</f>
        <v>10</v>
      </c>
      <c r="J4" s="3" t="s">
        <v>56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3"/>
    </row>
  </sheetData>
  <sheetProtection sheet="1" objects="1" scenarios="1"/>
  <mergeCells count="1">
    <mergeCell ref="A1:H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BA786A-86F4-C24D-8CC8-37CDDB10B7B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0179-EA39-844F-9AD7-2927994BBA8E}">
  <dimension ref="A1:U6"/>
  <sheetViews>
    <sheetView workbookViewId="0">
      <selection activeCell="K18" sqref="K18"/>
    </sheetView>
  </sheetViews>
  <sheetFormatPr baseColWidth="10" defaultRowHeight="15" x14ac:dyDescent="0.2"/>
  <cols>
    <col min="10" max="10" width="13.83203125" bestFit="1" customWidth="1"/>
  </cols>
  <sheetData>
    <row r="1" spans="1:21" ht="19" x14ac:dyDescent="0.25">
      <c r="A1" s="47" t="s">
        <v>55</v>
      </c>
      <c r="B1" s="48"/>
      <c r="C1" s="48"/>
      <c r="D1" s="48"/>
      <c r="E1" s="48"/>
      <c r="F1" s="48"/>
      <c r="G1" s="48"/>
      <c r="H1" s="49"/>
    </row>
    <row r="2" spans="1:21" x14ac:dyDescent="0.2">
      <c r="A2" s="29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J2" s="3" t="s">
        <v>60</v>
      </c>
      <c r="K2" s="25" t="s">
        <v>7</v>
      </c>
      <c r="L2" s="25" t="s">
        <v>8</v>
      </c>
      <c r="M2" s="25" t="s">
        <v>61</v>
      </c>
      <c r="N2" s="25" t="s">
        <v>9</v>
      </c>
      <c r="O2" s="25" t="s">
        <v>62</v>
      </c>
      <c r="P2" s="25" t="s">
        <v>10</v>
      </c>
      <c r="Q2" s="25" t="s">
        <v>11</v>
      </c>
      <c r="R2" s="25" t="s">
        <v>12</v>
      </c>
      <c r="S2" s="25" t="s">
        <v>63</v>
      </c>
      <c r="T2" s="25" t="s">
        <v>48</v>
      </c>
      <c r="U2" s="25" t="s">
        <v>36</v>
      </c>
    </row>
    <row r="3" spans="1:21" x14ac:dyDescent="0.2">
      <c r="A3" s="33">
        <f>'Athlete Profile Comparison'!A3</f>
        <v>1</v>
      </c>
      <c r="B3" s="31">
        <f>VLOOKUP($A3,'Cleaned Data'!$A$2:$Y$69,2,TRUE)</f>
        <v>1.07</v>
      </c>
      <c r="C3" s="31">
        <f>VLOOKUP($A3,'Cleaned Data'!$A$2:$Y$69,3,TRUE)</f>
        <v>1.87</v>
      </c>
      <c r="D3" s="31">
        <f>VLOOKUP($A3,'Cleaned Data'!$A$2:$Y$69,4,TRUE)</f>
        <v>2.39</v>
      </c>
      <c r="E3" s="31">
        <f>VLOOKUP($A3,'Cleaned Data'!$A$2:$Y$69,5,TRUE)</f>
        <v>2.69</v>
      </c>
      <c r="F3" s="31">
        <f>VLOOKUP($A3,'Cleaned Data'!$A$2:$Y$69,6,TRUE)</f>
        <v>31.1</v>
      </c>
      <c r="G3" s="31">
        <f>VLOOKUP($A3,'Cleaned Data'!$A$2:$Y$69,7,TRUE)</f>
        <v>2.2000000000000002</v>
      </c>
      <c r="H3" s="32">
        <f>VLOOKUP($A3,'Cleaned Data'!$A$2:$Y$69,25,TRUE)</f>
        <v>57.518310048915964</v>
      </c>
      <c r="J3" s="3" t="s">
        <v>66</v>
      </c>
      <c r="K3" s="27">
        <f>VLOOKUP($A3,'Cleaned Data'!$A$2:$Y$69,8,TRUE)</f>
        <v>0.99854090181843647</v>
      </c>
      <c r="L3" s="27">
        <f>VLOOKUP($A3,'Cleaned Data'!$A$2:$Y$69,9,TRUE)</f>
        <v>0.82997555945247203</v>
      </c>
      <c r="M3" s="27">
        <f>VLOOKUP($A3,'Cleaned Data'!$A$2:$Y$69,10,TRUE)</f>
        <v>0.91425823063545431</v>
      </c>
      <c r="N3" s="27">
        <f>VLOOKUP($A3,'Cleaned Data'!$A$2:$Y$69,11,TRUE)</f>
        <v>1.2287678526080776</v>
      </c>
      <c r="O3" s="27">
        <f>VLOOKUP($A3,'Cleaned Data'!$A$2:$Y$69,12,TRUE)</f>
        <v>0.2602802235071216</v>
      </c>
      <c r="P3" s="27">
        <f>VLOOKUP($A3,'Cleaned Data'!$A$2:$Y$69,13,TRUE)</f>
        <v>0.74452403805759959</v>
      </c>
      <c r="Q3" s="27">
        <f>VLOOKUP($A3,'Cleaned Data'!$A$2:$Y$69,14,TRUE)</f>
        <v>0.60590223546155586</v>
      </c>
      <c r="R3" s="27">
        <f>VLOOKUP($A3,'Cleaned Data'!$A$2:$Y$69,15,TRUE)</f>
        <v>0.43239899759205525</v>
      </c>
      <c r="S3" s="27">
        <f>VLOOKUP($A3,'Cleaned Data'!$A$2:$Y$69,16,TRUE)</f>
        <v>0.51915061652680561</v>
      </c>
      <c r="T3" s="27">
        <f>VLOOKUP($A3,'Cleaned Data'!$A$2:$Y$69,17,TRUE)</f>
        <v>0.75183100489159671</v>
      </c>
      <c r="U3">
        <f>VLOOKUP($A3,'Cleaned Data'!$A$2:$Y$69,18,TRUE)</f>
        <v>10</v>
      </c>
    </row>
    <row r="4" spans="1:21" x14ac:dyDescent="0.2">
      <c r="A4" s="30" t="s">
        <v>23</v>
      </c>
      <c r="B4" s="28">
        <f>VLOOKUP($A$3,'Cleaned Data'!$A$2:$AE$69,26, FALSE)</f>
        <v>13</v>
      </c>
      <c r="C4" s="28">
        <f>VLOOKUP($A$3,'Cleaned Data'!$A$2:$AE$69,27, FALSE)</f>
        <v>13</v>
      </c>
      <c r="D4" s="28">
        <f>VLOOKUP($A$3,'Cleaned Data'!$A$2:$AE$69,28, FALSE)</f>
        <v>5</v>
      </c>
      <c r="E4" s="28">
        <f>VLOOKUP($A$3,'Cleaned Data'!$A$2:$AE$69,29, FALSE)</f>
        <v>31</v>
      </c>
      <c r="F4" s="28">
        <f>VLOOKUP($A$3,'Cleaned Data'!$A$2:$AE$69,30, FALSE)</f>
        <v>18</v>
      </c>
      <c r="G4" s="28">
        <f>VLOOKUP($A$3,'Cleaned Data'!$A$2:$AE$69,31, FALSE)</f>
        <v>17</v>
      </c>
      <c r="H4" s="28">
        <f>VLOOKUP($A$3,'Cleaned Data'!$A$2:$AE$69,18, FALSE)</f>
        <v>10</v>
      </c>
      <c r="J4" s="3" t="s">
        <v>67</v>
      </c>
      <c r="K4" s="27">
        <f>VLOOKUP($A5,'Cleaned Data'!$A$2:$Y$69,8,TRUE)</f>
        <v>0.29472352608737479</v>
      </c>
      <c r="L4" s="27">
        <f>VLOOKUP($A5,'Cleaned Data'!$A$2:$Y$69,9,TRUE)</f>
        <v>0.32579172844686044</v>
      </c>
      <c r="M4" s="27">
        <f>VLOOKUP($A5,'Cleaned Data'!$A$2:$Y$69,10,TRUE)</f>
        <v>0.31025762726711759</v>
      </c>
      <c r="N4" s="27">
        <f>VLOOKUP($A5,'Cleaned Data'!$A$2:$Y$69,11,TRUE)</f>
        <v>0.70317443240144761</v>
      </c>
      <c r="O4" s="27">
        <f>VLOOKUP($A5,'Cleaned Data'!$A$2:$Y$69,12,TRUE)</f>
        <v>-1.1124734559687826</v>
      </c>
      <c r="P4" s="27">
        <f>VLOOKUP($A5,'Cleaned Data'!$A$2:$Y$69,13,TRUE)</f>
        <v>-0.20464951178366747</v>
      </c>
      <c r="Q4" s="27">
        <f>VLOOKUP($A5,'Cleaned Data'!$A$2:$Y$69,14,TRUE)</f>
        <v>-7.6993101743733874E-2</v>
      </c>
      <c r="R4" s="27">
        <f>VLOOKUP($A5,'Cleaned Data'!$A$2:$Y$69,15,TRUE)</f>
        <v>1.2680322510038526E-3</v>
      </c>
      <c r="S4" s="27">
        <f>VLOOKUP($A5,'Cleaned Data'!$A$2:$Y$69,16,TRUE)</f>
        <v>-3.7862534746365008E-2</v>
      </c>
      <c r="T4" s="27">
        <f>VLOOKUP($A5,'Cleaned Data'!$A$2:$Y$69,17,TRUE)</f>
        <v>3.0137409619702529E-2</v>
      </c>
      <c r="U4">
        <f>VLOOKUP($A5,'Cleaned Data'!$A$2:$Y$69,18,TRUE)</f>
        <v>30</v>
      </c>
    </row>
    <row r="5" spans="1:21" x14ac:dyDescent="0.2">
      <c r="A5" s="33">
        <f>'Athlete Profile Comparison'!A5</f>
        <v>2</v>
      </c>
      <c r="B5" s="31">
        <f>VLOOKUP($A5,'Cleaned Data'!$A$2:$Y$69,2,TRUE)</f>
        <v>1.1100000000000001</v>
      </c>
      <c r="C5" s="31">
        <f>VLOOKUP($A5,'Cleaned Data'!$A$2:$Y$69,3,TRUE)</f>
        <v>1.92</v>
      </c>
      <c r="D5" s="31">
        <f>VLOOKUP($A5,'Cleaned Data'!$A$2:$Y$69,4,TRUE)</f>
        <v>2.4700000000000002</v>
      </c>
      <c r="E5" s="31">
        <f>VLOOKUP($A5,'Cleaned Data'!$A$2:$Y$69,5,TRUE)</f>
        <v>2.98</v>
      </c>
      <c r="F5" s="31">
        <f>VLOOKUP($A5,'Cleaned Data'!$A$2:$Y$69,6,TRUE)</f>
        <v>27.2</v>
      </c>
      <c r="G5" s="31">
        <f>VLOOKUP($A5,'Cleaned Data'!$A$2:$Y$69,7,TRUE)</f>
        <v>2.1</v>
      </c>
      <c r="H5" s="32">
        <f>VLOOKUP($A5,'Cleaned Data'!$A$2:$Y$69,25,TRUE)</f>
        <v>50.301374096197023</v>
      </c>
      <c r="J5" s="3" t="s">
        <v>56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3"/>
    </row>
    <row r="6" spans="1:21" x14ac:dyDescent="0.2">
      <c r="A6" s="30" t="s">
        <v>23</v>
      </c>
      <c r="B6" s="28">
        <f>VLOOKUP($A$3,'Cleaned Data'!$A$2:$AE$69,26, FALSE)</f>
        <v>13</v>
      </c>
      <c r="C6" s="28">
        <f>VLOOKUP($A$3,'Cleaned Data'!$A$2:$AE$69,27, FALSE)</f>
        <v>13</v>
      </c>
      <c r="D6" s="28">
        <f>VLOOKUP($A$3,'Cleaned Data'!$A$2:$AE$69,28, FALSE)</f>
        <v>5</v>
      </c>
      <c r="E6" s="28">
        <f>VLOOKUP($A$3,'Cleaned Data'!$A$2:$AE$69,29, FALSE)</f>
        <v>31</v>
      </c>
      <c r="F6" s="28">
        <f>VLOOKUP($A$3,'Cleaned Data'!$A$2:$AE$69,30, FALSE)</f>
        <v>18</v>
      </c>
      <c r="G6" s="28">
        <f>VLOOKUP($A$3,'Cleaned Data'!$A$2:$AE$69,31, FALSE)</f>
        <v>17</v>
      </c>
      <c r="H6" s="28">
        <f>VLOOKUP($A$3,'Cleaned Data'!$A$2:$AE$69,18, FALSE)</f>
        <v>10</v>
      </c>
    </row>
  </sheetData>
  <sheetProtection sheet="1" objects="1" scenarios="1"/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7E51AD9-4E2F-AB42-AC05-8332169B630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  <x14:conditionalFormatting xmlns:xm="http://schemas.microsoft.com/office/excel/2006/main">
          <x14:cfRule type="iconSet" priority="1" id="{24034CF2-AD43-6D42-8F8C-7031EAE2C0C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B6:H6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7B45-418E-004F-B587-0BD99CB721CE}">
  <dimension ref="A1:H5"/>
  <sheetViews>
    <sheetView workbookViewId="0">
      <selection activeCell="A2" sqref="A2:G5"/>
    </sheetView>
  </sheetViews>
  <sheetFormatPr baseColWidth="10" defaultRowHeight="15" x14ac:dyDescent="0.2"/>
  <cols>
    <col min="2" max="2" width="12.5" bestFit="1" customWidth="1"/>
    <col min="3" max="3" width="13.5" bestFit="1" customWidth="1"/>
    <col min="4" max="4" width="12.5" bestFit="1" customWidth="1"/>
    <col min="5" max="5" width="11.1640625" bestFit="1" customWidth="1"/>
  </cols>
  <sheetData>
    <row r="1" spans="1:8" ht="19" x14ac:dyDescent="0.25">
      <c r="B1" s="50"/>
      <c r="C1" s="50"/>
      <c r="D1" s="50"/>
      <c r="E1" s="50"/>
      <c r="F1" s="50"/>
      <c r="G1" s="50"/>
      <c r="H1" s="34"/>
    </row>
    <row r="2" spans="1:8" x14ac:dyDescent="0.2"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</row>
    <row r="3" spans="1:8" x14ac:dyDescent="0.2">
      <c r="A3" s="3" t="s">
        <v>56</v>
      </c>
      <c r="B3" s="27">
        <f>'Cleaned Data'!B70</f>
        <v>1.1267499999999997</v>
      </c>
      <c r="C3" s="27">
        <f>'Cleaned Data'!C70</f>
        <v>1.9523088235294115</v>
      </c>
      <c r="D3" s="27">
        <f>'Cleaned Data'!D70</f>
        <v>2.5770294117647068</v>
      </c>
      <c r="E3" s="27">
        <f>'Cleaned Data'!E70</f>
        <v>2.7449852941176474</v>
      </c>
      <c r="F3" s="27">
        <f>'Cleaned Data'!F70</f>
        <v>27.639705882352942</v>
      </c>
      <c r="G3" s="27">
        <f>'Cleaned Data'!G70</f>
        <v>2.0997058823529411</v>
      </c>
    </row>
    <row r="4" spans="1:8" x14ac:dyDescent="0.2">
      <c r="A4" s="3" t="s">
        <v>57</v>
      </c>
      <c r="B4">
        <f>'Cleaned Data'!B72</f>
        <v>1.31</v>
      </c>
      <c r="C4">
        <f>'Cleaned Data'!C72</f>
        <v>2.27</v>
      </c>
      <c r="D4">
        <f>'Cleaned Data'!D72</f>
        <v>3.02</v>
      </c>
      <c r="E4">
        <f>'Cleaned Data'!E72</f>
        <v>3.43</v>
      </c>
      <c r="F4">
        <f>'Cleaned Data'!F72</f>
        <v>42.8</v>
      </c>
      <c r="G4">
        <f>'Cleaned Data'!G72</f>
        <v>2.95</v>
      </c>
    </row>
    <row r="5" spans="1:8" x14ac:dyDescent="0.2">
      <c r="A5" s="3" t="s">
        <v>58</v>
      </c>
      <c r="B5">
        <f>'Cleaned Data'!B73</f>
        <v>1.01</v>
      </c>
      <c r="C5">
        <f>'Cleaned Data'!C73</f>
        <v>1.76</v>
      </c>
      <c r="D5">
        <f>'Cleaned Data'!D73</f>
        <v>2.3199999999999998</v>
      </c>
      <c r="E5">
        <f>'Cleaned Data'!E73</f>
        <v>2.298</v>
      </c>
      <c r="F5">
        <f>'Cleaned Data'!F73</f>
        <v>16.5</v>
      </c>
      <c r="G5">
        <f>'Cleaned Data'!G73</f>
        <v>1.68</v>
      </c>
    </row>
  </sheetData>
  <sheetProtection sheet="1" objects="1" scenarios="1"/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Full Team Profile</vt:lpstr>
      <vt:lpstr>Athlete Profile</vt:lpstr>
      <vt:lpstr>Athlete Profile Comparison</vt:lpstr>
      <vt:lpstr>Raw Data</vt:lpstr>
      <vt:lpstr>Cleaned Data</vt:lpstr>
      <vt:lpstr>TSA_Chart</vt:lpstr>
      <vt:lpstr>Athlete Dashboard Data</vt:lpstr>
      <vt:lpstr>Athlete Comparison Data</vt:lpstr>
      <vt:lpstr>Coach Dashboard Data</vt:lpstr>
      <vt:lpstr>Agility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 Troiano</cp:lastModifiedBy>
  <dcterms:created xsi:type="dcterms:W3CDTF">2006-09-16T00:00:00Z</dcterms:created>
  <dcterms:modified xsi:type="dcterms:W3CDTF">2025-10-20T00:53:20Z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7371BC28216F45278EAC4BFA39227F76_13</vt:lpwstr>
  </property>
  <property fmtid="{D5CDD505-2E9C-101B-9397-08002B2CF9AE}" pid="3" name="KSOProductBuildVer">
    <vt:lpwstr>2057-12.2.0.21179</vt:lpwstr>
  </property>
</Properties>
</file>